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815" yWindow="570" windowWidth="20730" windowHeight="10020" tabRatio="902" firstSheet="21" activeTab="27"/>
  </bookViews>
  <sheets>
    <sheet name="표지 (2)" sheetId="80" r:id="rId1"/>
    <sheet name="예산내역서 (총괄)" sheetId="81" r:id="rId2"/>
    <sheet name="표지" sheetId="1" state="hidden" r:id="rId3"/>
    <sheet name="용역비총괄표" sheetId="2" state="hidden" r:id="rId4"/>
    <sheet name="1.기본계획" sheetId="16" r:id="rId5"/>
    <sheet name="1-1.일위대가" sheetId="15" r:id="rId6"/>
    <sheet name="1-2.수량산출" sheetId="14" r:id="rId7"/>
    <sheet name="2.조경기본계획" sheetId="21" r:id="rId8"/>
    <sheet name="2-1.일위대가" sheetId="29" r:id="rId9"/>
    <sheet name="2-2.산출근거" sheetId="30" r:id="rId10"/>
    <sheet name="3.농지전용" sheetId="22" r:id="rId11"/>
    <sheet name="3-1.일위대가" sheetId="32" r:id="rId12"/>
    <sheet name="3-2.산출근거" sheetId="33" r:id="rId13"/>
    <sheet name="4.산지전용" sheetId="23" r:id="rId14"/>
    <sheet name="4-1.사업계획서작성" sheetId="34" r:id="rId15"/>
    <sheet name="4-2.실측도" sheetId="35" r:id="rId16"/>
    <sheet name="4-3.산림조사서" sheetId="36" r:id="rId17"/>
    <sheet name="5.지구단위계획" sheetId="37" r:id="rId18"/>
    <sheet name="5-1.일위대가" sheetId="38" r:id="rId19"/>
    <sheet name="5-2.산출근거(1)" sheetId="39" r:id="rId20"/>
    <sheet name="5-3.산출근거(2)" sheetId="40" r:id="rId21"/>
    <sheet name="6.(기본및실시)예산내역서" sheetId="69" r:id="rId22"/>
    <sheet name="6-1.기초DATA 입력" sheetId="66" r:id="rId23"/>
    <sheet name="6-2.(기본및실시)직접인건비 내역" sheetId="70" r:id="rId24"/>
    <sheet name="6-3.기본및실시설계투입인원" sheetId="71" r:id="rId25"/>
    <sheet name="6-5.(기본및실시)적용수량 산출근거" sheetId="72" r:id="rId26"/>
    <sheet name="6-6.(기본및실시)직접경비" sheetId="73" r:id="rId27"/>
    <sheet name="6-7.(기본및실시)손해배상보험료" sheetId="74" r:id="rId28"/>
    <sheet name="7.수요 및 사업타당성조사용역" sheetId="75" r:id="rId29"/>
    <sheet name="7-1.일위대가" sheetId="76" r:id="rId30"/>
    <sheet name="7-2.인건비산출근거" sheetId="77" r:id="rId31"/>
    <sheet name="7-3.경비산출근거" sheetId="78" r:id="rId32"/>
    <sheet name="7-4.인력투입량 배분" sheetId="79" r:id="rId33"/>
    <sheet name="8.관리용역비" sheetId="64" r:id="rId34"/>
    <sheet name="8-1.산출내역" sheetId="65"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#N/A</definedName>
    <definedName name="___A183154">#REF!</definedName>
    <definedName name="___t3">#REF!</definedName>
    <definedName name="___T4">#REF!</definedName>
    <definedName name="__A183154">#REF!</definedName>
    <definedName name="__B140007">#REF!</definedName>
    <definedName name="__box01">#REF!</definedName>
    <definedName name="__DOG1">#REF!</definedName>
    <definedName name="__DOG2">#REF!</definedName>
    <definedName name="__DOG22">#REF!</definedName>
    <definedName name="__DOG3">#REF!</definedName>
    <definedName name="__DOG33">#REF!</definedName>
    <definedName name="__DOG4">#REF!</definedName>
    <definedName name="__IL1">#REF!</definedName>
    <definedName name="__PI48">#REF!</definedName>
    <definedName name="__PI60">#REF!</definedName>
    <definedName name="__RO110">#REF!</definedName>
    <definedName name="__RO22">#REF!</definedName>
    <definedName name="__RO35">#REF!</definedName>
    <definedName name="__RO45">#REF!</definedName>
    <definedName name="__RO60">#REF!</definedName>
    <definedName name="__RO80">#REF!</definedName>
    <definedName name="__t3">#REF!</definedName>
    <definedName name="__T4">#REF!</definedName>
    <definedName name="__TON1">#REF!</definedName>
    <definedName name="__TON2">#REF!</definedName>
    <definedName name="__WW2">#REF!</definedName>
    <definedName name="__WW3">#REF!</definedName>
    <definedName name="__WW6">#REF!</definedName>
    <definedName name="__WW7">#REF!</definedName>
    <definedName name="__WW8">#REF!</definedName>
    <definedName name="_1">#REF!</definedName>
    <definedName name="_1._PANEL_BD.__LP___1">#REF!</definedName>
    <definedName name="_1공장">#REF!</definedName>
    <definedName name="_2">#REF!</definedName>
    <definedName name="_2공장">#REF!</definedName>
    <definedName name="_3">#REF!</definedName>
    <definedName name="_3공장">#REF!</definedName>
    <definedName name="_4">#REF!</definedName>
    <definedName name="_5">#REF!</definedName>
    <definedName name="_6">#REF!</definedName>
    <definedName name="_7">#REF!</definedName>
    <definedName name="_A183154">#REF!</definedName>
    <definedName name="_B">#REF!</definedName>
    <definedName name="_B140007">#REF!</definedName>
    <definedName name="_box01">#REF!</definedName>
    <definedName name="_ctc1">#REF!</definedName>
    <definedName name="_ctc2">#REF!</definedName>
    <definedName name="_ctc3">#REF!</definedName>
    <definedName name="_ctc4">#REF!</definedName>
    <definedName name="_ctc5">#REF!</definedName>
    <definedName name="_ctc6">#REF!</definedName>
    <definedName name="_DOG1">#REF!</definedName>
    <definedName name="_DOG2">#REF!</definedName>
    <definedName name="_DOG22">#REF!</definedName>
    <definedName name="_DOG3">#REF!</definedName>
    <definedName name="_DOG33">#REF!</definedName>
    <definedName name="_DOG4">#REF!</definedName>
    <definedName name="_Fill" hidden="1">#REF!</definedName>
    <definedName name="_xlnm._FilterDatabase" localSheetId="23" hidden="1">'6-2.(기본및실시)직접인건비 내역'!$A$5:$P$225</definedName>
    <definedName name="_xlnm._FilterDatabase" hidden="1">#REF!</definedName>
    <definedName name="_flm1">#REF!</definedName>
    <definedName name="_flm2">#REF!</definedName>
    <definedName name="_flm3">#REF!</definedName>
    <definedName name="_flm4">#REF!</definedName>
    <definedName name="_flm5">#REF!</definedName>
    <definedName name="_flm6">#REF!</definedName>
    <definedName name="_flm7">#REF!</definedName>
    <definedName name="_flv1">#REF!</definedName>
    <definedName name="_flv2">#REF!</definedName>
    <definedName name="_flv3">#REF!</definedName>
    <definedName name="_flv4">#REF!</definedName>
    <definedName name="_flv5">#REF!</definedName>
    <definedName name="_flv6">#REF!</definedName>
    <definedName name="_flv7">#REF!</definedName>
    <definedName name="_gdg54">#REF!</definedName>
    <definedName name="_HSH1">#REF!</definedName>
    <definedName name="_HSH2">#REF!</definedName>
    <definedName name="_hun1">#REF!</definedName>
    <definedName name="_hun2">#REF!</definedName>
    <definedName name="_IL1">#REF!</definedName>
    <definedName name="_IU69997">#REF!</definedName>
    <definedName name="_IU79997">#REF!</definedName>
    <definedName name="_IV65999">#REF!</definedName>
    <definedName name="_IV67999">#REF!</definedName>
    <definedName name="_IV68999">#REF!</definedName>
    <definedName name="_IV69999">#REF!</definedName>
    <definedName name="_IV88888">#REF!</definedName>
    <definedName name="_IV99999">#REF!</definedName>
    <definedName name="_IV999999">#REF!</definedName>
    <definedName name="_Key1" hidden="1">#REF!</definedName>
    <definedName name="_Key2" hidden="1">#REF!</definedName>
    <definedName name="_NP1">#REF!</definedName>
    <definedName name="_NP2">#REF!</definedName>
    <definedName name="_NSH1">#REF!</definedName>
    <definedName name="_NSH2">#REF!</definedName>
    <definedName name="_Order1" hidden="1">255</definedName>
    <definedName name="_Order2" hidden="1">255</definedName>
    <definedName name="_p1">#REF!</definedName>
    <definedName name="_pa1">#REF!</definedName>
    <definedName name="_pa2">#REF!</definedName>
    <definedName name="_Parse_Out" hidden="1">#REF!</definedName>
    <definedName name="_PE1">#REF!</definedName>
    <definedName name="_PE10">#REF!</definedName>
    <definedName name="_PE11">#REF!</definedName>
    <definedName name="_PE12">#REF!</definedName>
    <definedName name="_PE13">#REF!</definedName>
    <definedName name="_PE14">#REF!</definedName>
    <definedName name="_PE15">#REF!</definedName>
    <definedName name="_PE16">#REF!</definedName>
    <definedName name="_PE17">#REF!</definedName>
    <definedName name="_PE18">#REF!</definedName>
    <definedName name="_PE19">#REF!</definedName>
    <definedName name="_PE2">#REF!</definedName>
    <definedName name="_PE20">#REF!</definedName>
    <definedName name="_PE21">#REF!</definedName>
    <definedName name="_PE22">#REF!</definedName>
    <definedName name="_PE23">#REF!</definedName>
    <definedName name="_PE24">#REF!</definedName>
    <definedName name="_PE25">#REF!</definedName>
    <definedName name="_PE26">#REF!</definedName>
    <definedName name="_PE27">#REF!</definedName>
    <definedName name="_PE28">#REF!</definedName>
    <definedName name="_PE29">#REF!</definedName>
    <definedName name="_PE3">#REF!</definedName>
    <definedName name="_PE30">#REF!</definedName>
    <definedName name="_PE31">#REF!</definedName>
    <definedName name="_PE32">#REF!</definedName>
    <definedName name="_PE33">#REF!</definedName>
    <definedName name="_PE34">#REF!</definedName>
    <definedName name="_PE35">#REF!</definedName>
    <definedName name="_PE36">#REF!</definedName>
    <definedName name="_PE37">#REF!</definedName>
    <definedName name="_PE38">#REF!</definedName>
    <definedName name="_PE39">#REF!</definedName>
    <definedName name="_PE4">#REF!</definedName>
    <definedName name="_PE40">#REF!</definedName>
    <definedName name="_PE41">#REF!</definedName>
    <definedName name="_PE42">#REF!</definedName>
    <definedName name="_PE43">#REF!</definedName>
    <definedName name="_PE44">#REF!</definedName>
    <definedName name="_PE45">#REF!</definedName>
    <definedName name="_PE46">#REF!</definedName>
    <definedName name="_PE47">#REF!</definedName>
    <definedName name="_PE48">#REF!</definedName>
    <definedName name="_PE49">#REF!</definedName>
    <definedName name="_PE5">#REF!</definedName>
    <definedName name="_PE50">#REF!</definedName>
    <definedName name="_PE51">#REF!</definedName>
    <definedName name="_PE52">#REF!</definedName>
    <definedName name="_PE53">#REF!</definedName>
    <definedName name="_PE54">#REF!</definedName>
    <definedName name="_PE55">#REF!</definedName>
    <definedName name="_PE56">#REF!</definedName>
    <definedName name="_PE57">#REF!</definedName>
    <definedName name="_PE58">#REF!</definedName>
    <definedName name="_PE59">#REF!</definedName>
    <definedName name="_PE6">#REF!</definedName>
    <definedName name="_PE60">#REF!</definedName>
    <definedName name="_PE61">#REF!</definedName>
    <definedName name="_PE62">#REF!</definedName>
    <definedName name="_PE7">#REF!</definedName>
    <definedName name="_PE8">#REF!</definedName>
    <definedName name="_PE9">#REF!</definedName>
    <definedName name="_PI48">#REF!</definedName>
    <definedName name="_PI60">#REF!</definedName>
    <definedName name="_PL1">#REF!</definedName>
    <definedName name="_PL10">#REF!</definedName>
    <definedName name="_PL11">#REF!</definedName>
    <definedName name="_PL12">#REF!</definedName>
    <definedName name="_PL13">#REF!</definedName>
    <definedName name="_PL14">#REF!</definedName>
    <definedName name="_PL15">#REF!</definedName>
    <definedName name="_PL16">#REF!</definedName>
    <definedName name="_PL17">#REF!</definedName>
    <definedName name="_PL18">#REF!</definedName>
    <definedName name="_PL19">#REF!</definedName>
    <definedName name="_PL2">#REF!</definedName>
    <definedName name="_PL20">#REF!</definedName>
    <definedName name="_PL21">#REF!</definedName>
    <definedName name="_PL22">#REF!</definedName>
    <definedName name="_PL23">#REF!</definedName>
    <definedName name="_PL24">#REF!</definedName>
    <definedName name="_PL25">#REF!</definedName>
    <definedName name="_PL26">#REF!</definedName>
    <definedName name="_PL27">#REF!</definedName>
    <definedName name="_PL28">#REF!</definedName>
    <definedName name="_PL29">#REF!</definedName>
    <definedName name="_PL3">#REF!</definedName>
    <definedName name="_PL30">#REF!</definedName>
    <definedName name="_PL31">#REF!</definedName>
    <definedName name="_PL32">#REF!</definedName>
    <definedName name="_PL33">#REF!</definedName>
    <definedName name="_PL34">#REF!</definedName>
    <definedName name="_PL35">#REF!</definedName>
    <definedName name="_PL36">#REF!</definedName>
    <definedName name="_PL37">#REF!</definedName>
    <definedName name="_PL38">#REF!</definedName>
    <definedName name="_PL39">#REF!</definedName>
    <definedName name="_PL4">#REF!</definedName>
    <definedName name="_PL40">#REF!</definedName>
    <definedName name="_PL41">#REF!</definedName>
    <definedName name="_PL42">#REF!</definedName>
    <definedName name="_PL43">#REF!</definedName>
    <definedName name="_PL44">#REF!</definedName>
    <definedName name="_PL45">#REF!</definedName>
    <definedName name="_PL46">#REF!</definedName>
    <definedName name="_PL47">#REF!</definedName>
    <definedName name="_PL48">#REF!</definedName>
    <definedName name="_PL49">#REF!</definedName>
    <definedName name="_PL5">#REF!</definedName>
    <definedName name="_PL50">#REF!</definedName>
    <definedName name="_PL51">#REF!</definedName>
    <definedName name="_PL52">#REF!</definedName>
    <definedName name="_PL53">#REF!</definedName>
    <definedName name="_PL54">#REF!</definedName>
    <definedName name="_PL55">#REF!</definedName>
    <definedName name="_PL56">#REF!</definedName>
    <definedName name="_PL57">#REF!</definedName>
    <definedName name="_PL58">#REF!</definedName>
    <definedName name="_PL59">#REF!</definedName>
    <definedName name="_PL6">#REF!</definedName>
    <definedName name="_PL60">#REF!</definedName>
    <definedName name="_PL61">#REF!</definedName>
    <definedName name="_PL62">#REF!</definedName>
    <definedName name="_PL7">#REF!</definedName>
    <definedName name="_PL8">#REF!</definedName>
    <definedName name="_PL9">#REF!</definedName>
    <definedName name="_PM1">#REF!</definedName>
    <definedName name="_PM10">#REF!</definedName>
    <definedName name="_PM11">#REF!</definedName>
    <definedName name="_PM12">#REF!</definedName>
    <definedName name="_PM13">#REF!</definedName>
    <definedName name="_PM14">#REF!</definedName>
    <definedName name="_PM15">#REF!</definedName>
    <definedName name="_PM16">#REF!</definedName>
    <definedName name="_PM17">#REF!</definedName>
    <definedName name="_PM18">#REF!</definedName>
    <definedName name="_PM19">#REF!</definedName>
    <definedName name="_PM2">#REF!</definedName>
    <definedName name="_PM20">#REF!</definedName>
    <definedName name="_PM21">#REF!</definedName>
    <definedName name="_PM22">#REF!</definedName>
    <definedName name="_PM23">#REF!</definedName>
    <definedName name="_PM24">#REF!</definedName>
    <definedName name="_PM25">#REF!</definedName>
    <definedName name="_PM26">#REF!</definedName>
    <definedName name="_PM27">#REF!</definedName>
    <definedName name="_PM28">#REF!</definedName>
    <definedName name="_PM29">#REF!</definedName>
    <definedName name="_PM3">#REF!</definedName>
    <definedName name="_PM30">#REF!</definedName>
    <definedName name="_PM31">#REF!</definedName>
    <definedName name="_PM32">#REF!</definedName>
    <definedName name="_PM33">#REF!</definedName>
    <definedName name="_PM34">#REF!</definedName>
    <definedName name="_PM35">#REF!</definedName>
    <definedName name="_PM36">#REF!</definedName>
    <definedName name="_PM37">#REF!</definedName>
    <definedName name="_PM38">#REF!</definedName>
    <definedName name="_PM39">#REF!</definedName>
    <definedName name="_PM4">#REF!</definedName>
    <definedName name="_PM40">#REF!</definedName>
    <definedName name="_PM41">#REF!</definedName>
    <definedName name="_PM42">#REF!</definedName>
    <definedName name="_PM43">#REF!</definedName>
    <definedName name="_PM44">#REF!</definedName>
    <definedName name="_PM45">#REF!</definedName>
    <definedName name="_PM46">#REF!</definedName>
    <definedName name="_PM47">#REF!</definedName>
    <definedName name="_PM48">#REF!</definedName>
    <definedName name="_PM49">#REF!</definedName>
    <definedName name="_PM5">#REF!</definedName>
    <definedName name="_PM50">#REF!</definedName>
    <definedName name="_PM51">#REF!</definedName>
    <definedName name="_PM52">#REF!</definedName>
    <definedName name="_PM53">#REF!</definedName>
    <definedName name="_PM54">#REF!</definedName>
    <definedName name="_PM55">#REF!</definedName>
    <definedName name="_PM56">#REF!</definedName>
    <definedName name="_PM57">#REF!</definedName>
    <definedName name="_PM58">#REF!</definedName>
    <definedName name="_PM59">#REF!</definedName>
    <definedName name="_PM6">#REF!</definedName>
    <definedName name="_PM60">#REF!</definedName>
    <definedName name="_PM61">#REF!</definedName>
    <definedName name="_PM62">#REF!</definedName>
    <definedName name="_PM7">#REF!</definedName>
    <definedName name="_PM8">#REF!</definedName>
    <definedName name="_PM9">#REF!</definedName>
    <definedName name="_qs1">#REF!</definedName>
    <definedName name="_qs12">#REF!</definedName>
    <definedName name="_qs2">#REF!</definedName>
    <definedName name="_qs22">#REF!</definedName>
    <definedName name="_Regression_Out" hidden="1">#REF!</definedName>
    <definedName name="_Regression_X" hidden="1">#REF!</definedName>
    <definedName name="_Regression_Y" hidden="1">#REF!</definedName>
    <definedName name="_RO110">#REF!</definedName>
    <definedName name="_RO22">#REF!</definedName>
    <definedName name="_RO35">#REF!</definedName>
    <definedName name="_RO45">#REF!</definedName>
    <definedName name="_RO60">#REF!</definedName>
    <definedName name="_RO80">#REF!</definedName>
    <definedName name="_slm1">#REF!</definedName>
    <definedName name="_slm2">#REF!</definedName>
    <definedName name="_slm3">#REF!</definedName>
    <definedName name="_slm4">#REF!</definedName>
    <definedName name="_slm5">#REF!</definedName>
    <definedName name="_slm6">#REF!</definedName>
    <definedName name="_slm7">#REF!</definedName>
    <definedName name="_Sort" hidden="1">#REF!</definedName>
    <definedName name="_sp1">#REF!</definedName>
    <definedName name="_sp2">#REF!</definedName>
    <definedName name="_sp3">#REF!</definedName>
    <definedName name="_t3">#REF!</definedName>
    <definedName name="_T4">#REF!</definedName>
    <definedName name="_Ted1">#REF!</definedName>
    <definedName name="_TON1">#REF!</definedName>
    <definedName name="_TON2">#REF!</definedName>
    <definedName name="_Ts1">#REF!</definedName>
    <definedName name="_UAS1">#REF!</definedName>
    <definedName name="_wd1">#REF!</definedName>
    <definedName name="_wd2">#REF!</definedName>
    <definedName name="_WW2">#REF!</definedName>
    <definedName name="_WW3">#REF!</definedName>
    <definedName name="_WW6">#REF!</definedName>
    <definedName name="_WW7">#REF!</definedName>
    <definedName name="_WW8">#REF!</definedName>
    <definedName name="\a">#REF!</definedName>
    <definedName name="\A1A">#N/A</definedName>
    <definedName name="\b">#REF!</definedName>
    <definedName name="\c">#REF!</definedName>
    <definedName name="\d">#REF!</definedName>
    <definedName name="\DD">#N/A</definedName>
    <definedName name="\DE">#N/A</definedName>
    <definedName name="\DF">#N/A</definedName>
    <definedName name="\e">#N/A</definedName>
    <definedName name="\ER">#N/A</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P1">#REF!</definedName>
    <definedName name="\q">#REF!</definedName>
    <definedName name="\r">#N/A</definedName>
    <definedName name="\s">#N/A</definedName>
    <definedName name="\t">#N/A</definedName>
    <definedName name="\u">#N/A</definedName>
    <definedName name="\v">#N/A</definedName>
    <definedName name="\w">#REF!</definedName>
    <definedName name="\x">#REF!</definedName>
    <definedName name="\y">#REF!</definedName>
    <definedName name="\z">#REF!</definedName>
    <definedName name="a">#REF!</definedName>
    <definedName name="aa">[18]직접경비!#REF!</definedName>
    <definedName name="aaa">#REF!</definedName>
    <definedName name="AAAA">#REF!</definedName>
    <definedName name="AAAAAA">#REF!</definedName>
    <definedName name="AAAAAAAAAAAAAAAAAAA">#REF!</definedName>
    <definedName name="AAAADS">#REF!</definedName>
    <definedName name="AAD">#REF!</definedName>
    <definedName name="ab">#REF!</definedName>
    <definedName name="ABC">#REF!</definedName>
    <definedName name="ABUTH">#REF!</definedName>
    <definedName name="ac">#REF!</definedName>
    <definedName name="ACD">#REF!</definedName>
    <definedName name="AD">#REF!</definedName>
    <definedName name="AE">#REF!</definedName>
    <definedName name="AED">#REF!</definedName>
    <definedName name="aerft">#REF!</definedName>
    <definedName name="AF">#REF!</definedName>
    <definedName name="ag">#REF!</definedName>
    <definedName name="AGD">#REF!</definedName>
    <definedName name="AH">#REF!</definedName>
    <definedName name="AI">#REF!</definedName>
    <definedName name="AID">#REF!</definedName>
    <definedName name="AK">#REF!</definedName>
    <definedName name="AKD">#REF!</definedName>
    <definedName name="ALL">#REF!</definedName>
    <definedName name="ALPHA">#REF!</definedName>
    <definedName name="AM">#REF!</definedName>
    <definedName name="AMD">#REF!</definedName>
    <definedName name="ANFRK2">#REF!</definedName>
    <definedName name="ANFRK3">#REF!</definedName>
    <definedName name="anfrkk">#REF!</definedName>
    <definedName name="ANG">#REF!</definedName>
    <definedName name="anscount" hidden="1">1</definedName>
    <definedName name="AO">#REF!</definedName>
    <definedName name="AOD">#REF!</definedName>
    <definedName name="aq">#REF!</definedName>
    <definedName name="AQD">#REF!</definedName>
    <definedName name="AS">#REF!</definedName>
    <definedName name="ASD">#REF!</definedName>
    <definedName name="ASDASDAS">#REF!</definedName>
    <definedName name="ASDD">#REF!</definedName>
    <definedName name="ASFDAS">#REF!</definedName>
    <definedName name="AU">#REF!</definedName>
    <definedName name="AUD">#REF!</definedName>
    <definedName name="AW">#REF!</definedName>
    <definedName name="AWD">#REF!</definedName>
    <definedName name="az">#REF!</definedName>
    <definedName name="A삼">#REF!</definedName>
    <definedName name="A이">#REF!</definedName>
    <definedName name="A일">#REF!</definedName>
    <definedName name="b">#REF!</definedName>
    <definedName name="B10A1P">#REF!</definedName>
    <definedName name="b10a1t">#REF!</definedName>
    <definedName name="b10a2p">#REF!</definedName>
    <definedName name="b10a2t">#REF!</definedName>
    <definedName name="B11A1P">#REF!</definedName>
    <definedName name="b11a1t">#REF!</definedName>
    <definedName name="b11a2p">#REF!</definedName>
    <definedName name="b11a2t">#REF!</definedName>
    <definedName name="B12A1P">#REF!</definedName>
    <definedName name="b12a1t">#REF!</definedName>
    <definedName name="b12a2p">#REF!</definedName>
    <definedName name="b12a2t">#REF!</definedName>
    <definedName name="B13A1P">#REF!</definedName>
    <definedName name="b13a1t">#REF!</definedName>
    <definedName name="b13a2p">#REF!</definedName>
    <definedName name="b13a2t">#REF!</definedName>
    <definedName name="B14A1P">#REF!</definedName>
    <definedName name="b14a1t">#REF!</definedName>
    <definedName name="b14a2p">#REF!</definedName>
    <definedName name="b14a2t">#REF!</definedName>
    <definedName name="B15A1P">#REF!</definedName>
    <definedName name="b15a1t">#REF!</definedName>
    <definedName name="b15a2p">#REF!</definedName>
    <definedName name="b15a2t">#REF!</definedName>
    <definedName name="B16A1T">#REF!</definedName>
    <definedName name="B16A2P">#REF!</definedName>
    <definedName name="B1A">#REF!</definedName>
    <definedName name="B1A1P">#REF!</definedName>
    <definedName name="b1a1t">#REF!</definedName>
    <definedName name="b1a2p">#REF!</definedName>
    <definedName name="b1a2t">#REF!</definedName>
    <definedName name="B1WL">#REF!</definedName>
    <definedName name="B1WR">#REF!</definedName>
    <definedName name="B2A">#REF!</definedName>
    <definedName name="B2A1P">#REF!</definedName>
    <definedName name="b2a1t">#REF!</definedName>
    <definedName name="b2a2p">#REF!</definedName>
    <definedName name="b2a2t">#REF!</definedName>
    <definedName name="B2WL">#REF!</definedName>
    <definedName name="B2WR">#REF!</definedName>
    <definedName name="B30A1P">#REF!</definedName>
    <definedName name="b30a1t">#REF!</definedName>
    <definedName name="b30a2p">#REF!</definedName>
    <definedName name="b30a2t">#REF!</definedName>
    <definedName name="B3A">#REF!</definedName>
    <definedName name="B3A1P">#REF!</definedName>
    <definedName name="b3a1t">#REF!</definedName>
    <definedName name="b3a2p">#REF!</definedName>
    <definedName name="b3a2t">#REF!</definedName>
    <definedName name="B4A">#REF!</definedName>
    <definedName name="B4A1P">#REF!</definedName>
    <definedName name="b4a1t">#REF!</definedName>
    <definedName name="b4a2p">#REF!</definedName>
    <definedName name="b4a2t">#REF!</definedName>
    <definedName name="B5A">#REF!</definedName>
    <definedName name="B5A1P">#REF!</definedName>
    <definedName name="b5a1t">#REF!</definedName>
    <definedName name="b5a2p">#REF!</definedName>
    <definedName name="b5a2t">#REF!</definedName>
    <definedName name="B6A">#REF!</definedName>
    <definedName name="B6A1P">#REF!</definedName>
    <definedName name="b6a1t">#REF!</definedName>
    <definedName name="b6a2p">#REF!</definedName>
    <definedName name="b6a2t">#REF!</definedName>
    <definedName name="B7A">#REF!</definedName>
    <definedName name="B7A1P">#REF!</definedName>
    <definedName name="b7a1t">#REF!</definedName>
    <definedName name="b7a2p">#REF!</definedName>
    <definedName name="b7a2t">#REF!</definedName>
    <definedName name="B8A">#REF!</definedName>
    <definedName name="B8A1P">#REF!</definedName>
    <definedName name="b8a1t">#REF!</definedName>
    <definedName name="b8a2p">#REF!</definedName>
    <definedName name="b8a2t">#REF!</definedName>
    <definedName name="B9A1P">#REF!</definedName>
    <definedName name="b9a1t">#REF!</definedName>
    <definedName name="b9a2p">#REF!</definedName>
    <definedName name="b9a2t">#REF!</definedName>
    <definedName name="BA">#REF!</definedName>
    <definedName name="BA1P">#REF!</definedName>
    <definedName name="ba1t">#REF!</definedName>
    <definedName name="ba2p">#REF!</definedName>
    <definedName name="ba2t">#REF!</definedName>
    <definedName name="BASE_0">#REF!</definedName>
    <definedName name="BASE05">#REF!</definedName>
    <definedName name="BASE29">#REF!</definedName>
    <definedName name="BC">#REF!</definedName>
    <definedName name="BCD">#REF!</definedName>
    <definedName name="BD">#REF!</definedName>
    <definedName name="BE">#REF!</definedName>
    <definedName name="BED">#REF!</definedName>
    <definedName name="BETA">#REF!</definedName>
    <definedName name="BF">#REF!</definedName>
    <definedName name="BG">#REF!</definedName>
    <definedName name="BHU">#REF!</definedName>
    <definedName name="biuuuuo">#REF!</definedName>
    <definedName name="BMO">#REF!</definedName>
    <definedName name="box">#REF!</definedName>
    <definedName name="BOX형수로집계">#REF!</definedName>
    <definedName name="BSH">#REF!</definedName>
    <definedName name="BV">#REF!</definedName>
    <definedName name="BW">#REF!</definedName>
    <definedName name="B이">#REF!</definedName>
    <definedName name="B일">#REF!</definedName>
    <definedName name="B제로">#REF!</definedName>
    <definedName name="C_">#REF!</definedName>
    <definedName name="c1.a1p">#REF!</definedName>
    <definedName name="c1.a1t">#REF!</definedName>
    <definedName name="c1.a2p">#REF!</definedName>
    <definedName name="c1.a2t">#REF!</definedName>
    <definedName name="c2.a1p">#REF!</definedName>
    <definedName name="c2.a1t">#REF!</definedName>
    <definedName name="c2.a2p">#REF!</definedName>
    <definedName name="c2.a2t">#REF!</definedName>
    <definedName name="CA">#REF!</definedName>
    <definedName name="CABLE">#REF!</definedName>
    <definedName name="CB">#REF!</definedName>
    <definedName name="CC">#N/A</definedName>
    <definedName name="CCC">#REF!</definedName>
    <definedName name="cccc">#REF!</definedName>
    <definedName name="CD">#REF!</definedName>
    <definedName name="CE">#REF!</definedName>
    <definedName name="CF">#REF!</definedName>
    <definedName name="CGFS">#REF!</definedName>
    <definedName name="CH">#REF!</definedName>
    <definedName name="CI">#REF!</definedName>
    <definedName name="CJ">#REF!</definedName>
    <definedName name="CJFRMS">#REF!</definedName>
    <definedName name="cjsdur">#REF!</definedName>
    <definedName name="CON">#REF!</definedName>
    <definedName name="CPU시험사001">#REF!</definedName>
    <definedName name="CPU시험사002">#REF!</definedName>
    <definedName name="CPU시험사011">#REF!</definedName>
    <definedName name="CPU시험사982">#REF!</definedName>
    <definedName name="CPU시험사991">#REF!</definedName>
    <definedName name="CPU시험사992">#REF!</definedName>
    <definedName name="_xlnm.Criteria">#REF!</definedName>
    <definedName name="CTC">#REF!</definedName>
    <definedName name="CZXC">#REF!</definedName>
    <definedName name="d">#REF!</definedName>
    <definedName name="D_FE">#REF!</definedName>
    <definedName name="D_FO">#REF!</definedName>
    <definedName name="DA">#REF!</definedName>
    <definedName name="DAA">#REF!</definedName>
    <definedName name="DANGA">#REF!,#REF!</definedName>
    <definedName name="DASASQ">#REF!</definedName>
    <definedName name="DASDAS">#REF!</definedName>
    <definedName name="data">#REF!</definedName>
    <definedName name="DATA1">#REF!</definedName>
    <definedName name="_xlnm.Database">#REF!</definedName>
    <definedName name="database1">#REF!</definedName>
    <definedName name="database2">#REF!</definedName>
    <definedName name="DB">#REF!</definedName>
    <definedName name="DB고급">#REF!</definedName>
    <definedName name="DB단순">#REF!</definedName>
    <definedName name="DB보통">#REF!</definedName>
    <definedName name="DB입력인일">#REF!</definedName>
    <definedName name="DB작업공수">#REF!</definedName>
    <definedName name="DC">#REF!</definedName>
    <definedName name="ddd">#REF!</definedName>
    <definedName name="ddddd" hidden="1">#REF!</definedName>
    <definedName name="DDE">#REF!</definedName>
    <definedName name="DDO">#REF!</definedName>
    <definedName name="ddwe">#REF!</definedName>
    <definedName name="DE">#N/A</definedName>
    <definedName name="df">#REF!</definedName>
    <definedName name="DFDS">#REF!</definedName>
    <definedName name="DFS">#REF!</definedName>
    <definedName name="DFVTGE">#REF!</definedName>
    <definedName name="DG">#N/A</definedName>
    <definedName name="DH">#REF!</definedName>
    <definedName name="DHS">#REF!</definedName>
    <definedName name="DI">#REF!</definedName>
    <definedName name="Digitizer댓수">#REF!</definedName>
    <definedName name="Digitizer비용">#REF!</definedName>
    <definedName name="DJ">#REF!</definedName>
    <definedName name="DKJFL">BlankMacro1</definedName>
    <definedName name="dks">#REF!</definedName>
    <definedName name="DLFE">#REF!</definedName>
    <definedName name="DLFO">#REF!</definedName>
    <definedName name="DPI">#REF!</definedName>
    <definedName name="ds">#REF!</definedName>
    <definedName name="DSE">#REF!</definedName>
    <definedName name="DSFFFSDF">#REF!</definedName>
    <definedName name="DSFS">#REF!</definedName>
    <definedName name="DSO">#REF!</definedName>
    <definedName name="dsv">[0]!BlankMacro1</definedName>
    <definedName name="DWEDW">#REF!</definedName>
    <definedName name="e">[9]일위대가!#REF!</definedName>
    <definedName name="E40M">#REF!</definedName>
    <definedName name="E41M">#REF!</definedName>
    <definedName name="E42M">#REF!</definedName>
    <definedName name="E42P">#REF!</definedName>
    <definedName name="E43M">#REF!</definedName>
    <definedName name="E43P">#REF!</definedName>
    <definedName name="E44M">#REF!</definedName>
    <definedName name="E44P">#REF!</definedName>
    <definedName name="E45M">#REF!</definedName>
    <definedName name="E45P">#REF!</definedName>
    <definedName name="E46M">#REF!</definedName>
    <definedName name="E46P">#REF!</definedName>
    <definedName name="E47M">#REF!</definedName>
    <definedName name="E47P">#REF!</definedName>
    <definedName name="E48M">#REF!</definedName>
    <definedName name="E48P">#REF!</definedName>
    <definedName name="E49M">#REF!</definedName>
    <definedName name="E49P">#REF!</definedName>
    <definedName name="E4M">#REF!</definedName>
    <definedName name="E4P">#REF!</definedName>
    <definedName name="E50M">#REF!</definedName>
    <definedName name="E50P">#REF!</definedName>
    <definedName name="E51E">#REF!</definedName>
    <definedName name="E52M">#REF!</definedName>
    <definedName name="E52P">#REF!</definedName>
    <definedName name="E53M">#REF!</definedName>
    <definedName name="E53P">#REF!</definedName>
    <definedName name="E54M">#REF!</definedName>
    <definedName name="E54P">#REF!</definedName>
    <definedName name="E55M">#REF!</definedName>
    <definedName name="E55P">#REF!</definedName>
    <definedName name="E56M">#REF!</definedName>
    <definedName name="E56P">#REF!</definedName>
    <definedName name="E57M">#REF!</definedName>
    <definedName name="E57P">#REF!</definedName>
    <definedName name="E58M">#REF!</definedName>
    <definedName name="E58P">#REF!</definedName>
    <definedName name="E59M">#REF!</definedName>
    <definedName name="E59P">#REF!</definedName>
    <definedName name="E5M">#REF!</definedName>
    <definedName name="E5P">#REF!</definedName>
    <definedName name="E60M">#REF!</definedName>
    <definedName name="E60P">#REF!</definedName>
    <definedName name="E61M">#REF!</definedName>
    <definedName name="E61P">#REF!</definedName>
    <definedName name="E62M">#REF!</definedName>
    <definedName name="E62P">#REF!</definedName>
    <definedName name="E63M">#REF!</definedName>
    <definedName name="E63P">#REF!</definedName>
    <definedName name="E64M">#REF!</definedName>
    <definedName name="E64P">#REF!</definedName>
    <definedName name="E65M">#REF!</definedName>
    <definedName name="E65P">#REF!</definedName>
    <definedName name="E66M">#REF!</definedName>
    <definedName name="E66P">#REF!</definedName>
    <definedName name="E67M">#REF!</definedName>
    <definedName name="E67P">#REF!</definedName>
    <definedName name="E68M">#REF!</definedName>
    <definedName name="E6M">#REF!</definedName>
    <definedName name="E6P">#REF!</definedName>
    <definedName name="E7M">#REF!</definedName>
    <definedName name="E7P">#REF!</definedName>
    <definedName name="E8M">#REF!</definedName>
    <definedName name="E8P">#REF!</definedName>
    <definedName name="E9M">#REF!</definedName>
    <definedName name="E9P">#REF!</definedName>
    <definedName name="EA">#REF!</definedName>
    <definedName name="earthp">#REF!</definedName>
    <definedName name="EB">#REF!</definedName>
    <definedName name="EC">#REF!</definedName>
    <definedName name="edddfgcv">#REF!</definedName>
    <definedName name="edit__home__del__branch_\f">#REF!</definedName>
    <definedName name="eee">[0]!BlankMacro1</definedName>
    <definedName name="EEEE">#REF!</definedName>
    <definedName name="EEF">#REF!</definedName>
    <definedName name="efgghiuoi">#REF!</definedName>
    <definedName name="egi휀스1">#REF!</definedName>
    <definedName name="eh">#REF!</definedName>
    <definedName name="el">#REF!</definedName>
    <definedName name="EL1A1P">#REF!</definedName>
    <definedName name="el1a1t">#REF!</definedName>
    <definedName name="el1a2p">#REF!</definedName>
    <definedName name="el1a2t">#REF!</definedName>
    <definedName name="EL2A1P">#REF!</definedName>
    <definedName name="el2a1t">#REF!</definedName>
    <definedName name="el2a2p">#REF!</definedName>
    <definedName name="el2a2t">#REF!</definedName>
    <definedName name="EL3A1P">#REF!</definedName>
    <definedName name="el3a1t">#REF!</definedName>
    <definedName name="el3a2p">#REF!</definedName>
    <definedName name="el3a2t">#REF!</definedName>
    <definedName name="ELFE">#REF!</definedName>
    <definedName name="ELP">#REF!</definedName>
    <definedName name="EO">#REF!</definedName>
    <definedName name="er">#REF!</definedName>
    <definedName name="ERGREG">#REF!</definedName>
    <definedName name="ERRT">#REF!</definedName>
    <definedName name="ertsgdfg">#REF!</definedName>
    <definedName name="ewew">#REF!</definedName>
    <definedName name="fck">#REF!</definedName>
    <definedName name="FDSTT">#REF!</definedName>
    <definedName name="FEEL">#REF!</definedName>
    <definedName name="FF">#REF!</definedName>
    <definedName name="FFF">#REF!</definedName>
    <definedName name="FG">#REF!</definedName>
    <definedName name="FGD">#REF!</definedName>
    <definedName name="FGGG">#REF!</definedName>
    <definedName name="FOOT1">#REF!</definedName>
    <definedName name="FOOT2">#REF!</definedName>
    <definedName name="FOOT3">#REF!</definedName>
    <definedName name="FS">#REF!</definedName>
    <definedName name="fsdf">#REF!</definedName>
    <definedName name="fsdfhgb">#REF!</definedName>
    <definedName name="F이">#REF!</definedName>
    <definedName name="F일">#REF!</definedName>
    <definedName name="G1A1P">#REF!</definedName>
    <definedName name="g1a1t">#REF!</definedName>
    <definedName name="g1a2p">#REF!</definedName>
    <definedName name="g1a2t">#REF!</definedName>
    <definedName name="G2A1P">#REF!</definedName>
    <definedName name="g2a1t">#REF!</definedName>
    <definedName name="g2a2p">#REF!</definedName>
    <definedName name="g2a2t">#REF!</definedName>
    <definedName name="G3A1P">#REF!</definedName>
    <definedName name="g3a1t">#REF!</definedName>
    <definedName name="g3a2p">#REF!</definedName>
    <definedName name="g3a2t">#REF!</definedName>
    <definedName name="G4A1P">#REF!</definedName>
    <definedName name="g4a1t">#REF!</definedName>
    <definedName name="g4a2p">#REF!</definedName>
    <definedName name="g4a2t">#REF!</definedName>
    <definedName name="G5A1P">#REF!</definedName>
    <definedName name="g5a1t">#REF!</definedName>
    <definedName name="g5a2p">#REF!</definedName>
    <definedName name="g5a2t">#REF!</definedName>
    <definedName name="G6A1P">#REF!</definedName>
    <definedName name="g6a1t">#REF!</definedName>
    <definedName name="g6a2p">#REF!</definedName>
    <definedName name="g6a2t">#REF!</definedName>
    <definedName name="GAK">#REF!</definedName>
    <definedName name="GC">#REF!</definedName>
    <definedName name="GDFGD">#REF!</definedName>
    <definedName name="gfdsg">#REF!</definedName>
    <definedName name="GG">#REF!</definedName>
    <definedName name="ggg">#REF!</definedName>
    <definedName name="GGGFGG">#REF!</definedName>
    <definedName name="GH">#REF!</definedName>
    <definedName name="ghgfhyt">#REF!</definedName>
    <definedName name="gigin">#REF!</definedName>
    <definedName name="gkdah">#REF!</definedName>
    <definedName name="GLA1P">#REF!</definedName>
    <definedName name="gla1t">#REF!</definedName>
    <definedName name="gla2p">#REF!</definedName>
    <definedName name="gla2t">#REF!</definedName>
    <definedName name="GS">#REF!</definedName>
    <definedName name="gt">#REF!</definedName>
    <definedName name="gu">#REF!,#REF!</definedName>
    <definedName name="H">#REF!</definedName>
    <definedName name="H10A1P">#REF!</definedName>
    <definedName name="h10a1t">#REF!</definedName>
    <definedName name="h10a2p">#REF!</definedName>
    <definedName name="h10a2t">#REF!</definedName>
    <definedName name="H11A1P">#REF!</definedName>
    <definedName name="h11a1t">#REF!</definedName>
    <definedName name="h11a2p">#REF!</definedName>
    <definedName name="H11A2T">#REF!</definedName>
    <definedName name="H1A1P">#REF!</definedName>
    <definedName name="h1a1t">#REF!</definedName>
    <definedName name="h1a2p">#REF!</definedName>
    <definedName name="h1a2t">#REF!</definedName>
    <definedName name="H1L">#REF!</definedName>
    <definedName name="H1R">#REF!</definedName>
    <definedName name="H1WL">#REF!</definedName>
    <definedName name="H1WR">#REF!</definedName>
    <definedName name="H2A1P">#REF!</definedName>
    <definedName name="h2a1t">#REF!</definedName>
    <definedName name="h2a2p">#REF!</definedName>
    <definedName name="h2a2t">#REF!</definedName>
    <definedName name="H2L">#REF!</definedName>
    <definedName name="H2R">#REF!</definedName>
    <definedName name="H2WL">#REF!</definedName>
    <definedName name="H2WR">#REF!</definedName>
    <definedName name="H3A1P">#REF!</definedName>
    <definedName name="h3a1t">#REF!</definedName>
    <definedName name="h3a2p">#REF!</definedName>
    <definedName name="h3a2t">#REF!</definedName>
    <definedName name="H3AP1">#REF!</definedName>
    <definedName name="H3L">#REF!</definedName>
    <definedName name="H3R">#REF!</definedName>
    <definedName name="H3WL">#REF!</definedName>
    <definedName name="H3WR">#REF!</definedName>
    <definedName name="h4a1p">#REF!</definedName>
    <definedName name="h4a1t">#REF!</definedName>
    <definedName name="h4a2p">#REF!</definedName>
    <definedName name="h4a2t">#REF!</definedName>
    <definedName name="H4L">#REF!</definedName>
    <definedName name="H4R">#REF!</definedName>
    <definedName name="H5A1P">#REF!</definedName>
    <definedName name="h5a1t">#REF!</definedName>
    <definedName name="h5a2p">#REF!</definedName>
    <definedName name="h5a2t">#REF!</definedName>
    <definedName name="H5L">#REF!</definedName>
    <definedName name="H5R">#REF!</definedName>
    <definedName name="H6A1P">#REF!</definedName>
    <definedName name="h6a1t">#REF!</definedName>
    <definedName name="h6a2p">#REF!</definedName>
    <definedName name="h6a2t">#REF!</definedName>
    <definedName name="H6L">#REF!</definedName>
    <definedName name="H6R">#REF!</definedName>
    <definedName name="H7A1P">#REF!</definedName>
    <definedName name="h7a1t">#REF!</definedName>
    <definedName name="h7a2p">#REF!</definedName>
    <definedName name="h7a2t">#REF!</definedName>
    <definedName name="H7L">#REF!</definedName>
    <definedName name="H7R">#REF!</definedName>
    <definedName name="H8A1P">#REF!</definedName>
    <definedName name="h8a1t">#REF!</definedName>
    <definedName name="h8a2p">#REF!</definedName>
    <definedName name="h8a2t">#REF!</definedName>
    <definedName name="H9A">#REF!</definedName>
    <definedName name="H9A1P">#REF!</definedName>
    <definedName name="h9a1t">#REF!</definedName>
    <definedName name="h9a2p">#REF!</definedName>
    <definedName name="h9a2t">#REF!</definedName>
    <definedName name="HA">#REF!</definedName>
    <definedName name="HA1P">#REF!</definedName>
    <definedName name="ha1t">#REF!</definedName>
    <definedName name="ha2p">#REF!</definedName>
    <definedName name="ha2t">#REF!</definedName>
    <definedName name="HB">#REF!</definedName>
    <definedName name="HC">#REF!</definedName>
    <definedName name="HD">#REF!</definedName>
    <definedName name="HE">#REF!</definedName>
    <definedName name="HF">#REF!</definedName>
    <definedName name="hgjghkj">#REF!</definedName>
    <definedName name="HH">#REF!</definedName>
    <definedName name="hkjy">#REF!</definedName>
    <definedName name="HL">#REF!</definedName>
    <definedName name="HMAX">#N/A</definedName>
    <definedName name="HO">#REF!</definedName>
    <definedName name="HR">#REF!</definedName>
    <definedName name="Hs">#REF!</definedName>
    <definedName name="HSH">#REF!</definedName>
    <definedName name="HT">#REF!</definedName>
    <definedName name="HWL">#REF!</definedName>
    <definedName name="HWR">#REF!</definedName>
    <definedName name="hw비용">#REF!</definedName>
    <definedName name="HW설치사001">#REF!</definedName>
    <definedName name="HW설치사002">#REF!</definedName>
    <definedName name="HW설치사011">#REF!</definedName>
    <definedName name="HW설치사982">#REF!</definedName>
    <definedName name="HW설치사991">#REF!</definedName>
    <definedName name="HW설치사992">#REF!</definedName>
    <definedName name="HW시험사001">#REF!</definedName>
    <definedName name="HW시험사002">#REF!</definedName>
    <definedName name="HW시험사011">#REF!</definedName>
    <definedName name="HW시험사982">#REF!</definedName>
    <definedName name="HW시험사991">#REF!</definedName>
    <definedName name="HW시험사992">#REF!</definedName>
    <definedName name="H사">#REF!</definedName>
    <definedName name="H삼">#REF!</definedName>
    <definedName name="H이">#REF!</definedName>
    <definedName name="H일">#REF!</definedName>
    <definedName name="I">#REF!</definedName>
    <definedName name="ID">#REF!,#REF!</definedName>
    <definedName name="id_공통공사비">#REF!</definedName>
    <definedName name="id_단위시설별_공사비">#REF!</definedName>
    <definedName name="id_제잡비">#REF!</definedName>
    <definedName name="IL">#REF!</definedName>
    <definedName name="IMP">#REF!</definedName>
    <definedName name="J">#REF!</definedName>
    <definedName name="J_D">#REF!</definedName>
    <definedName name="JBG" hidden="1">#REF!</definedName>
    <definedName name="JGHCJ">#REF!</definedName>
    <definedName name="JH">#REF!</definedName>
    <definedName name="jhkreewz">#REF!</definedName>
    <definedName name="JJ">#REF!</definedName>
    <definedName name="jmhkuykj">#REF!</definedName>
    <definedName name="jujmuy">#REF!</definedName>
    <definedName name="jyguj">#REF!</definedName>
    <definedName name="JYH">#REF!</definedName>
    <definedName name="JYTUJTY">#REF!</definedName>
    <definedName name="K">#REF!</definedName>
    <definedName name="K_D">#REF!</definedName>
    <definedName name="K_PR">#REF!</definedName>
    <definedName name="KAE">#REF!</definedName>
    <definedName name="KAS">#REF!</definedName>
    <definedName name="Ka일">#REF!</definedName>
    <definedName name="Ka투">#REF!</definedName>
    <definedName name="KD">#REF!</definedName>
    <definedName name="Kea">#REF!</definedName>
    <definedName name="KFJG">#REF!</definedName>
    <definedName name="Kh">#REF!</definedName>
    <definedName name="KK">#REF!</definedName>
    <definedName name="kkit">#REF!</definedName>
    <definedName name="Ko">#REF!</definedName>
    <definedName name="kv">#REF!</definedName>
    <definedName name="KVO">#REF!</definedName>
    <definedName name="L">#REF!</definedName>
    <definedName name="L1A1P">#REF!</definedName>
    <definedName name="l1a1t">#REF!</definedName>
    <definedName name="l1a2p">#REF!</definedName>
    <definedName name="l1a2t">#REF!</definedName>
    <definedName name="L2A1P">#REF!</definedName>
    <definedName name="l2a1t">#REF!</definedName>
    <definedName name="l2a2p">#REF!</definedName>
    <definedName name="l2a2t">#REF!</definedName>
    <definedName name="L3A1P">#REF!</definedName>
    <definedName name="l3a1t">#REF!</definedName>
    <definedName name="l3a2p">#REF!</definedName>
    <definedName name="l3a2t">#REF!</definedName>
    <definedName name="L4A1P">#REF!</definedName>
    <definedName name="l4a1t">#REF!</definedName>
    <definedName name="l4a2p">#REF!</definedName>
    <definedName name="l4a2t">#REF!</definedName>
    <definedName name="L5A1P">#REF!</definedName>
    <definedName name="l5a1t">#REF!</definedName>
    <definedName name="l5a2p">#REF!</definedName>
    <definedName name="l5a2t">#REF!</definedName>
    <definedName name="L6A1P">#REF!</definedName>
    <definedName name="l6a1t">#REF!</definedName>
    <definedName name="l6a2p">#REF!</definedName>
    <definedName name="l6a2t">#REF!</definedName>
    <definedName name="LA">#REF!</definedName>
    <definedName name="LA1P">#REF!</definedName>
    <definedName name="la1t">#REF!</definedName>
    <definedName name="la2p">#REF!</definedName>
    <definedName name="la2t">#REF!</definedName>
    <definedName name="lc">#REF!</definedName>
    <definedName name="LF">#REF!</definedName>
    <definedName name="LH">#REF!</definedName>
    <definedName name="LL">#N/A</definedName>
    <definedName name="LLFE">#N/A</definedName>
    <definedName name="LLFO">#REF!</definedName>
    <definedName name="lll">[0]!BlankMacro1</definedName>
    <definedName name="LMO">#REF!</definedName>
    <definedName name="LP___4">#REF!</definedName>
    <definedName name="LPI">#REF!</definedName>
    <definedName name="LSH">#REF!</definedName>
    <definedName name="M">#REF!</definedName>
    <definedName name="M_EF">#REF!</definedName>
    <definedName name="M1A1P">#REF!</definedName>
    <definedName name="m1a1t">#REF!</definedName>
    <definedName name="m1a2p">#REF!</definedName>
    <definedName name="m1a2t">#REF!</definedName>
    <definedName name="M2A1P">#REF!</definedName>
    <definedName name="m2a1t">#REF!</definedName>
    <definedName name="m2a2p">#REF!</definedName>
    <definedName name="m2a2t">#REF!</definedName>
    <definedName name="M3A1P">#REF!</definedName>
    <definedName name="m3a1t">#REF!</definedName>
    <definedName name="m3a2p">#REF!</definedName>
    <definedName name="m3a2t">#REF!</definedName>
    <definedName name="M4A1P">#REF!</definedName>
    <definedName name="m4a1t">#REF!</definedName>
    <definedName name="m4a2p">#REF!</definedName>
    <definedName name="m4a2t">#REF!</definedName>
    <definedName name="MD">#REF!</definedName>
    <definedName name="mjhmu">#REF!</definedName>
    <definedName name="mnbvjjl">#REF!</definedName>
    <definedName name="MONEY">#REF!,#REF!</definedName>
    <definedName name="MOTOR__농형_전폐">#REF!</definedName>
    <definedName name="MUO_REA">#REF!</definedName>
    <definedName name="MUO_TOE">#REF!</definedName>
    <definedName name="N">#REF!</definedName>
    <definedName name="N_C">#REF!</definedName>
    <definedName name="N_D">#REF!</definedName>
    <definedName name="N_Q">#REF!</definedName>
    <definedName name="N_R">#REF!</definedName>
    <definedName name="N1S">#REF!</definedName>
    <definedName name="N2S">#REF!</definedName>
    <definedName name="N3S">#REF!</definedName>
    <definedName name="nbvn">#REF!</definedName>
    <definedName name="NDO">#REF!</definedName>
    <definedName name="NMB">#REF!</definedName>
    <definedName name="nmhj">#REF!</definedName>
    <definedName name="NPI">#REF!</definedName>
    <definedName name="NSH">#REF!</definedName>
    <definedName name="NSO">#REF!</definedName>
    <definedName name="nvbnbmr">#REF!</definedName>
    <definedName name="n이">#REF!</definedName>
    <definedName name="n이_1">#REF!</definedName>
    <definedName name="n이_2">#REF!</definedName>
    <definedName name="n일">#REF!</definedName>
    <definedName name="N치">#REF!</definedName>
    <definedName name="OIJH">#REF!</definedName>
    <definedName name="okjhbv">#REF!</definedName>
    <definedName name="OOO">#REF!</definedName>
    <definedName name="OUTPOINT1">#REF!</definedName>
    <definedName name="OUTPOINT2">#REF!</definedName>
    <definedName name="OUTPUT">#REF!</definedName>
    <definedName name="P">#REF!</definedName>
    <definedName name="P_A">#REF!</definedName>
    <definedName name="P_D">#REF!</definedName>
    <definedName name="P_E">#REF!</definedName>
    <definedName name="P100E">#REF!</definedName>
    <definedName name="P100L">#REF!</definedName>
    <definedName name="P100M">#REF!</definedName>
    <definedName name="P101E">#REF!</definedName>
    <definedName name="P101L">#REF!</definedName>
    <definedName name="P101M">#REF!</definedName>
    <definedName name="P102E">#REF!</definedName>
    <definedName name="P102L">#REF!</definedName>
    <definedName name="P102M">#REF!</definedName>
    <definedName name="P103E">#REF!</definedName>
    <definedName name="P103L">#REF!</definedName>
    <definedName name="P103M">#REF!</definedName>
    <definedName name="P104E">#REF!</definedName>
    <definedName name="P104L">#REF!</definedName>
    <definedName name="P104M">#REF!</definedName>
    <definedName name="P105E">#REF!</definedName>
    <definedName name="P105L">#REF!</definedName>
    <definedName name="P105M">#REF!</definedName>
    <definedName name="P106E">#REF!</definedName>
    <definedName name="P106L">#REF!</definedName>
    <definedName name="P106M">#REF!</definedName>
    <definedName name="P107E">#REF!</definedName>
    <definedName name="P107L">#REF!</definedName>
    <definedName name="P107M">#REF!</definedName>
    <definedName name="P108E">#REF!</definedName>
    <definedName name="P108L">#REF!</definedName>
    <definedName name="P108M">#REF!</definedName>
    <definedName name="P109E">#REF!</definedName>
    <definedName name="P109L">#REF!</definedName>
    <definedName name="P109M">#REF!</definedName>
    <definedName name="P10E">#REF!</definedName>
    <definedName name="P10L">#REF!</definedName>
    <definedName name="P10M">#REF!</definedName>
    <definedName name="P110E">#REF!</definedName>
    <definedName name="P110L">#REF!</definedName>
    <definedName name="P110M">#REF!</definedName>
    <definedName name="P111E">#REF!</definedName>
    <definedName name="P111L">#REF!</definedName>
    <definedName name="P111M">#REF!</definedName>
    <definedName name="P112E">#REF!</definedName>
    <definedName name="P112L">#REF!</definedName>
    <definedName name="P112M">#REF!</definedName>
    <definedName name="P113E">#REF!</definedName>
    <definedName name="P113L">#REF!</definedName>
    <definedName name="P113M">#REF!</definedName>
    <definedName name="P114E">#REF!</definedName>
    <definedName name="P114L">#REF!</definedName>
    <definedName name="P114M">#REF!</definedName>
    <definedName name="P115E">#REF!</definedName>
    <definedName name="P115L">#REF!</definedName>
    <definedName name="P115M">#REF!</definedName>
    <definedName name="P116E">#REF!</definedName>
    <definedName name="P116L">#REF!</definedName>
    <definedName name="P116M">#REF!</definedName>
    <definedName name="P117E">#REF!</definedName>
    <definedName name="P117L">#REF!</definedName>
    <definedName name="P117M">#REF!</definedName>
    <definedName name="P118E">#REF!</definedName>
    <definedName name="P118L">#REF!</definedName>
    <definedName name="P118M">#REF!</definedName>
    <definedName name="P119E">#REF!</definedName>
    <definedName name="P119L">#REF!</definedName>
    <definedName name="P119M">#REF!</definedName>
    <definedName name="P11E">#REF!</definedName>
    <definedName name="P11L">#REF!</definedName>
    <definedName name="P11M">#REF!</definedName>
    <definedName name="P120E">#REF!</definedName>
    <definedName name="P120L">#REF!</definedName>
    <definedName name="P120M">#REF!</definedName>
    <definedName name="P121E">#REF!</definedName>
    <definedName name="P121L">#REF!</definedName>
    <definedName name="P121M">#REF!</definedName>
    <definedName name="P122E">#REF!</definedName>
    <definedName name="P122L">#REF!</definedName>
    <definedName name="P122M">#REF!</definedName>
    <definedName name="P123E">#REF!</definedName>
    <definedName name="P123L">#REF!</definedName>
    <definedName name="P123M">#REF!</definedName>
    <definedName name="P124E">#REF!</definedName>
    <definedName name="P124L">#REF!</definedName>
    <definedName name="P124M">#REF!</definedName>
    <definedName name="P125E">#REF!</definedName>
    <definedName name="P125L">#REF!</definedName>
    <definedName name="P125M">#REF!</definedName>
    <definedName name="P126E">#REF!</definedName>
    <definedName name="P126L">#REF!</definedName>
    <definedName name="P126M">#REF!</definedName>
    <definedName name="P12E">#REF!</definedName>
    <definedName name="P12L">#REF!</definedName>
    <definedName name="P12M">#REF!</definedName>
    <definedName name="P13E">#REF!</definedName>
    <definedName name="P13L">#REF!</definedName>
    <definedName name="P13M">#REF!</definedName>
    <definedName name="P14E">#REF!</definedName>
    <definedName name="P14L">#REF!</definedName>
    <definedName name="P14M">#REF!</definedName>
    <definedName name="P15E">#REF!</definedName>
    <definedName name="P15L">#REF!</definedName>
    <definedName name="P15M">#REF!</definedName>
    <definedName name="P16E">#REF!</definedName>
    <definedName name="P16L">#REF!</definedName>
    <definedName name="P16M">#REF!</definedName>
    <definedName name="P17E">#REF!</definedName>
    <definedName name="P17L">#REF!</definedName>
    <definedName name="P17M">#REF!</definedName>
    <definedName name="P18E">#REF!</definedName>
    <definedName name="P18L">#REF!</definedName>
    <definedName name="P18M">#REF!</definedName>
    <definedName name="P19E">#REF!</definedName>
    <definedName name="P19L">#REF!</definedName>
    <definedName name="P19M">#REF!</definedName>
    <definedName name="P1E">#REF!</definedName>
    <definedName name="P1L">#REF!</definedName>
    <definedName name="P1M">#REF!</definedName>
    <definedName name="P20E">#REF!</definedName>
    <definedName name="P20L">#REF!</definedName>
    <definedName name="P20M">#REF!</definedName>
    <definedName name="P21E">#REF!</definedName>
    <definedName name="P21L">#REF!</definedName>
    <definedName name="P21M">#REF!</definedName>
    <definedName name="P22E">#REF!</definedName>
    <definedName name="P22L">#REF!</definedName>
    <definedName name="P22M">#REF!</definedName>
    <definedName name="P23E">#REF!</definedName>
    <definedName name="P23L">#REF!</definedName>
    <definedName name="P23M">#REF!</definedName>
    <definedName name="P24E">#REF!</definedName>
    <definedName name="P24L">#REF!</definedName>
    <definedName name="P24M">#REF!</definedName>
    <definedName name="P25E">#REF!</definedName>
    <definedName name="P25L">#REF!</definedName>
    <definedName name="P25M">#REF!</definedName>
    <definedName name="P26E">#REF!</definedName>
    <definedName name="P26L">#REF!</definedName>
    <definedName name="P26M">#REF!</definedName>
    <definedName name="P27E">#REF!</definedName>
    <definedName name="P27L">#REF!</definedName>
    <definedName name="P27M">#REF!</definedName>
    <definedName name="P28E">#REF!</definedName>
    <definedName name="P28L">#REF!</definedName>
    <definedName name="P28M">#REF!</definedName>
    <definedName name="P29E">#REF!</definedName>
    <definedName name="P29L">#REF!</definedName>
    <definedName name="P29M">#REF!</definedName>
    <definedName name="P2E">#REF!</definedName>
    <definedName name="P2L">#REF!</definedName>
    <definedName name="P2M">#REF!</definedName>
    <definedName name="P30E">#REF!</definedName>
    <definedName name="P30L">#REF!</definedName>
    <definedName name="P30M">#REF!</definedName>
    <definedName name="P31E">#REF!</definedName>
    <definedName name="P31L">#REF!</definedName>
    <definedName name="P31M">#REF!</definedName>
    <definedName name="P32E">#REF!</definedName>
    <definedName name="P32L">#REF!</definedName>
    <definedName name="P32M">#REF!</definedName>
    <definedName name="P33E">#REF!</definedName>
    <definedName name="P33L">#REF!</definedName>
    <definedName name="P33M">#REF!</definedName>
    <definedName name="P34E">#REF!</definedName>
    <definedName name="P34L">#REF!</definedName>
    <definedName name="P34M">#REF!</definedName>
    <definedName name="P35E">#REF!</definedName>
    <definedName name="P35L">#REF!</definedName>
    <definedName name="P35M">#REF!</definedName>
    <definedName name="P36E">#REF!</definedName>
    <definedName name="P36L">#REF!</definedName>
    <definedName name="P36M">#REF!</definedName>
    <definedName name="P37E">#REF!</definedName>
    <definedName name="P37L">#REF!</definedName>
    <definedName name="P37M">#REF!</definedName>
    <definedName name="P38E">#REF!</definedName>
    <definedName name="P38L">#REF!</definedName>
    <definedName name="P38M">#REF!</definedName>
    <definedName name="P39E">#REF!</definedName>
    <definedName name="P39L">#REF!</definedName>
    <definedName name="P39M">#REF!</definedName>
    <definedName name="P3E">#REF!</definedName>
    <definedName name="P3L">#REF!</definedName>
    <definedName name="P3M">#REF!</definedName>
    <definedName name="P40E">#REF!</definedName>
    <definedName name="P40L">#REF!</definedName>
    <definedName name="P40M">#REF!</definedName>
    <definedName name="P41E">#REF!</definedName>
    <definedName name="P41L">#REF!</definedName>
    <definedName name="P41M">#REF!</definedName>
    <definedName name="P42E">#REF!</definedName>
    <definedName name="P42L">#REF!</definedName>
    <definedName name="P42M">#REF!</definedName>
    <definedName name="P43E">#REF!</definedName>
    <definedName name="P43L">#REF!</definedName>
    <definedName name="P43M">#REF!</definedName>
    <definedName name="P44E">#REF!</definedName>
    <definedName name="P44L">#REF!</definedName>
    <definedName name="P44M">#REF!</definedName>
    <definedName name="P45E">#REF!</definedName>
    <definedName name="P45L">#REF!</definedName>
    <definedName name="P45M">#REF!</definedName>
    <definedName name="P46E">#REF!</definedName>
    <definedName name="P46L">#REF!</definedName>
    <definedName name="P46M">#REF!</definedName>
    <definedName name="P47E">#REF!</definedName>
    <definedName name="P47L">#REF!</definedName>
    <definedName name="P47M">#REF!</definedName>
    <definedName name="P48E">#REF!</definedName>
    <definedName name="P48L">#REF!</definedName>
    <definedName name="P48M">#REF!</definedName>
    <definedName name="P49E">#REF!</definedName>
    <definedName name="P49L">#REF!</definedName>
    <definedName name="P49M">#REF!</definedName>
    <definedName name="P4E">#REF!</definedName>
    <definedName name="P4L">#REF!</definedName>
    <definedName name="P4M">#REF!</definedName>
    <definedName name="P50E">#REF!</definedName>
    <definedName name="P50L">#REF!</definedName>
    <definedName name="P50M">#REF!</definedName>
    <definedName name="P51E">#REF!</definedName>
    <definedName name="P51L">#REF!</definedName>
    <definedName name="P51M">#REF!</definedName>
    <definedName name="P52E">#REF!</definedName>
    <definedName name="P52L">#REF!</definedName>
    <definedName name="P52M">#REF!</definedName>
    <definedName name="P53E">#REF!</definedName>
    <definedName name="P53L">#REF!</definedName>
    <definedName name="P53M">#REF!</definedName>
    <definedName name="P54E">#REF!</definedName>
    <definedName name="P54L">#REF!</definedName>
    <definedName name="P54M">#REF!</definedName>
    <definedName name="P55E">#REF!</definedName>
    <definedName name="P55L">#REF!</definedName>
    <definedName name="P55M">#REF!</definedName>
    <definedName name="P56E">#REF!</definedName>
    <definedName name="P56L">#REF!</definedName>
    <definedName name="P56M">#REF!</definedName>
    <definedName name="P57E">#REF!</definedName>
    <definedName name="P57L">#REF!</definedName>
    <definedName name="P57M">#REF!</definedName>
    <definedName name="P58E">#REF!</definedName>
    <definedName name="P58L">#REF!</definedName>
    <definedName name="P58M">#REF!</definedName>
    <definedName name="P59E">#REF!</definedName>
    <definedName name="P59L">#REF!</definedName>
    <definedName name="P59M">#REF!</definedName>
    <definedName name="P5E">#REF!</definedName>
    <definedName name="P5L">#REF!</definedName>
    <definedName name="P5M">#REF!</definedName>
    <definedName name="P60E">#REF!</definedName>
    <definedName name="P60L">#REF!</definedName>
    <definedName name="P60M">#REF!</definedName>
    <definedName name="P61E">#REF!</definedName>
    <definedName name="P61L">#REF!</definedName>
    <definedName name="P61M">#REF!</definedName>
    <definedName name="P62E">#REF!</definedName>
    <definedName name="P62L">#REF!</definedName>
    <definedName name="P62M">#REF!</definedName>
    <definedName name="P63E">#REF!</definedName>
    <definedName name="P63L">#REF!</definedName>
    <definedName name="P63M">#REF!</definedName>
    <definedName name="P64E">#REF!</definedName>
    <definedName name="P64L">#REF!</definedName>
    <definedName name="P64M">#REF!</definedName>
    <definedName name="P65E">#REF!</definedName>
    <definedName name="P65L">#REF!</definedName>
    <definedName name="P65M">#REF!</definedName>
    <definedName name="P66E">#REF!</definedName>
    <definedName name="P66L">#REF!</definedName>
    <definedName name="P66M">#REF!</definedName>
    <definedName name="P67E">#REF!</definedName>
    <definedName name="P67L">#REF!</definedName>
    <definedName name="P67M">#REF!</definedName>
    <definedName name="P68E">#REF!</definedName>
    <definedName name="P68L">#REF!</definedName>
    <definedName name="P68M">#REF!</definedName>
    <definedName name="P69E">#REF!</definedName>
    <definedName name="P69L">#REF!</definedName>
    <definedName name="P69M">#REF!</definedName>
    <definedName name="P6E">#REF!</definedName>
    <definedName name="P6L">#REF!</definedName>
    <definedName name="P6M">#REF!</definedName>
    <definedName name="P70E">#REF!</definedName>
    <definedName name="P70L">#REF!</definedName>
    <definedName name="P70M">#REF!</definedName>
    <definedName name="P71E">#REF!</definedName>
    <definedName name="P71L">#REF!</definedName>
    <definedName name="P71M">#REF!</definedName>
    <definedName name="P72E">#REF!</definedName>
    <definedName name="P72L">#REF!</definedName>
    <definedName name="P72M">#REF!</definedName>
    <definedName name="P73E">#REF!</definedName>
    <definedName name="P73L">#REF!</definedName>
    <definedName name="P73M">#REF!</definedName>
    <definedName name="P74E">#REF!</definedName>
    <definedName name="P74L">#REF!</definedName>
    <definedName name="P74M">#REF!</definedName>
    <definedName name="P75E">#REF!</definedName>
    <definedName name="P75L">#REF!</definedName>
    <definedName name="P75M">#REF!</definedName>
    <definedName name="P76E">#REF!</definedName>
    <definedName name="P76L">#REF!</definedName>
    <definedName name="P76M">#REF!</definedName>
    <definedName name="P77E">#REF!</definedName>
    <definedName name="P77L">#REF!</definedName>
    <definedName name="P77M">#REF!</definedName>
    <definedName name="P78E">#REF!</definedName>
    <definedName name="P78L">#REF!</definedName>
    <definedName name="P78M">#REF!</definedName>
    <definedName name="P79E">#REF!</definedName>
    <definedName name="P79L">#REF!</definedName>
    <definedName name="P79M">#REF!</definedName>
    <definedName name="P7E">#REF!</definedName>
    <definedName name="P7L">#REF!</definedName>
    <definedName name="P7M">#REF!</definedName>
    <definedName name="P80E">#REF!</definedName>
    <definedName name="P80L">#REF!</definedName>
    <definedName name="P80M">#REF!</definedName>
    <definedName name="P81E">#REF!</definedName>
    <definedName name="P81L">#REF!</definedName>
    <definedName name="P81M">#REF!</definedName>
    <definedName name="P82E">#REF!</definedName>
    <definedName name="P82L">#REF!</definedName>
    <definedName name="P82M">#REF!</definedName>
    <definedName name="P83E">#REF!</definedName>
    <definedName name="P83L">#REF!</definedName>
    <definedName name="P83M">#REF!</definedName>
    <definedName name="P84E">#REF!</definedName>
    <definedName name="P84L">#REF!</definedName>
    <definedName name="P84M">#REF!</definedName>
    <definedName name="P85E">#REF!</definedName>
    <definedName name="P85L">#REF!</definedName>
    <definedName name="P85M">#REF!</definedName>
    <definedName name="P86E">#REF!</definedName>
    <definedName name="P86L">#REF!</definedName>
    <definedName name="P86M">#REF!</definedName>
    <definedName name="P87E">#REF!</definedName>
    <definedName name="P87L">#REF!</definedName>
    <definedName name="P87M">#REF!</definedName>
    <definedName name="P88E">#REF!</definedName>
    <definedName name="P88L">#REF!</definedName>
    <definedName name="P88M">#REF!</definedName>
    <definedName name="P89E">#REF!</definedName>
    <definedName name="P89L">#REF!</definedName>
    <definedName name="P89M">#REF!</definedName>
    <definedName name="P8E">#REF!</definedName>
    <definedName name="P8L">#REF!</definedName>
    <definedName name="P8M">#REF!</definedName>
    <definedName name="P90E">#REF!</definedName>
    <definedName name="P90L">#REF!</definedName>
    <definedName name="P90M">#REF!</definedName>
    <definedName name="P91E">#REF!</definedName>
    <definedName name="P91L">#REF!</definedName>
    <definedName name="P91M">#REF!</definedName>
    <definedName name="P92E">#REF!</definedName>
    <definedName name="P92L">#REF!</definedName>
    <definedName name="P92M">#REF!</definedName>
    <definedName name="P93E">#REF!</definedName>
    <definedName name="P93L">#REF!</definedName>
    <definedName name="P93M">#REF!</definedName>
    <definedName name="P94E">#REF!</definedName>
    <definedName name="P94L">#REF!</definedName>
    <definedName name="P94M">#REF!</definedName>
    <definedName name="P95E">#REF!</definedName>
    <definedName name="P95L">#REF!</definedName>
    <definedName name="P95M">#REF!</definedName>
    <definedName name="P96E">#REF!</definedName>
    <definedName name="P96L">#REF!</definedName>
    <definedName name="P96M">#REF!</definedName>
    <definedName name="P97E">#REF!</definedName>
    <definedName name="P97L">#REF!</definedName>
    <definedName name="P97M">#REF!</definedName>
    <definedName name="P98E">#REF!</definedName>
    <definedName name="P98L">#REF!</definedName>
    <definedName name="P98M">#REF!</definedName>
    <definedName name="P99E">#REF!</definedName>
    <definedName name="P99L">#REF!</definedName>
    <definedName name="P99M">#REF!</definedName>
    <definedName name="P9E">#REF!</definedName>
    <definedName name="P9L">#REF!</definedName>
    <definedName name="P9M">#REF!</definedName>
    <definedName name="Pa">#REF!</definedName>
    <definedName name="pa삼">#REF!</definedName>
    <definedName name="Pa오">#REF!</definedName>
    <definedName name="PB">#REF!</definedName>
    <definedName name="PC">#REF!</definedName>
    <definedName name="PCSW댓수">#REF!</definedName>
    <definedName name="PCSW비용">#REF!</definedName>
    <definedName name="PC대여비">#REF!</definedName>
    <definedName name="PD">#REF!</definedName>
    <definedName name="PE">#REF!</definedName>
    <definedName name="PF">#REF!</definedName>
    <definedName name="PFD">#REF!</definedName>
    <definedName name="PG">#REF!</definedName>
    <definedName name="PH">#REF!</definedName>
    <definedName name="pile길이">#REF!</definedName>
    <definedName name="pipe">#REF!</definedName>
    <definedName name="piph">#REF!</definedName>
    <definedName name="PJR">#REF!</definedName>
    <definedName name="Plotter댓수">#REF!</definedName>
    <definedName name="Plotter비용">#REF!</definedName>
    <definedName name="PO">#REF!</definedName>
    <definedName name="POKL">#REF!</definedName>
    <definedName name="POOM">#REF!</definedName>
    <definedName name="PPA">#REF!</definedName>
    <definedName name="PPP">#REF!</definedName>
    <definedName name="PRINT">#REF!</definedName>
    <definedName name="_xlnm.Print_Area" localSheetId="4">'1.기본계획'!$A$1:$M$39</definedName>
    <definedName name="_xlnm.Print_Area" localSheetId="5">'1-1.일위대가'!$A$1:$M$224</definedName>
    <definedName name="_xlnm.Print_Area" localSheetId="6">'1-2.수량산출'!$A$1:$I$59</definedName>
    <definedName name="_xlnm.Print_Area" localSheetId="7">'2.조경기본계획'!$A$1:$M$22</definedName>
    <definedName name="_xlnm.Print_Area" localSheetId="8">'2-1.일위대가'!$A$1:$M$43</definedName>
    <definedName name="_xlnm.Print_Area" localSheetId="9">'2-2.산출근거'!$A$1:$H$28</definedName>
    <definedName name="_xlnm.Print_Area" localSheetId="10">'3.농지전용'!$A$1:$L$19</definedName>
    <definedName name="_xlnm.Print_Area" localSheetId="12">'3-2.산출근거'!$A$1:$G$28</definedName>
    <definedName name="_xlnm.Print_Area" localSheetId="13">'4.산지전용'!$A$1:$M$14</definedName>
    <definedName name="_xlnm.Print_Area" localSheetId="14">'4-1.사업계획서작성'!$A$1:$L$26</definedName>
    <definedName name="_xlnm.Print_Area" localSheetId="15">'4-2.실측도'!$A$1:$E$21</definedName>
    <definedName name="_xlnm.Print_Area" localSheetId="16">'4-3.산림조사서'!$A$1:$E$35</definedName>
    <definedName name="_xlnm.Print_Area" localSheetId="17">'5.지구단위계획'!$A$1:$M$25</definedName>
    <definedName name="_xlnm.Print_Area" localSheetId="19">'5-2.산출근거(1)'!$A$1:$L$35</definedName>
    <definedName name="_xlnm.Print_Area" localSheetId="20">'5-3.산출근거(2)'!$A$1:$I$17</definedName>
    <definedName name="_xlnm.Print_Area" localSheetId="21">'6.(기본및실시)예산내역서'!$A$1:$I$22</definedName>
    <definedName name="_xlnm.Print_Area" localSheetId="22">'6-1.기초DATA 입력'!$A$1:$J$48</definedName>
    <definedName name="_xlnm.Print_Area" localSheetId="24">'6-3.기본및실시설계투입인원'!$A$1:$Y$45</definedName>
    <definedName name="_xlnm.Print_Area" localSheetId="25">'6-5.(기본및실시)적용수량 산출근거'!$A$1:$J$39</definedName>
    <definedName name="_xlnm.Print_Area" localSheetId="26">'6-6.(기본및실시)직접경비'!$A$1:$I$45</definedName>
    <definedName name="_xlnm.Print_Area" localSheetId="27">'6-7.(기본및실시)손해배상보험료'!$A$1:$K$35</definedName>
    <definedName name="_xlnm.Print_Area" localSheetId="28">'7.수요 및 사업타당성조사용역'!$A$1:$M$20</definedName>
    <definedName name="_xlnm.Print_Area" localSheetId="29">'7-1.일위대가'!$A$1:$M$52</definedName>
    <definedName name="_xlnm.Print_Area" localSheetId="30">'7-2.인건비산출근거'!$A$1:$I$41</definedName>
    <definedName name="_xlnm.Print_Area" localSheetId="32">'7-4.인력투입량 배분'!$A$1:$F$45</definedName>
    <definedName name="_xlnm.Print_Area" localSheetId="33">'8.관리용역비'!$A$1:$M$11</definedName>
    <definedName name="_xlnm.Print_Area" localSheetId="1">'예산내역서 (총괄)'!$A$1:$M$22</definedName>
    <definedName name="_xlnm.Print_Area" localSheetId="3">용역비총괄표!$A$1:$M$29</definedName>
    <definedName name="_xlnm.Print_Area" localSheetId="0">'표지 (2)'!$A$2:$L$25</definedName>
    <definedName name="_xlnm.Print_Area">#REF!</definedName>
    <definedName name="Print_Area_MI">#REF!</definedName>
    <definedName name="PRINT_AREA_MI1">#REF!</definedName>
    <definedName name="Print_T">#REF!</definedName>
    <definedName name="PRINT_TILTES">#REF!</definedName>
    <definedName name="print_tital">#REF!</definedName>
    <definedName name="print_title">#REF!</definedName>
    <definedName name="_xlnm.Print_Titles" localSheetId="5">'1-1.일위대가'!$3:$4</definedName>
    <definedName name="_xlnm.Print_Titles" localSheetId="8">'2-1.일위대가'!$3:$4</definedName>
    <definedName name="_xlnm.Print_Titles" localSheetId="11">'3-1.일위대가'!$3:$4</definedName>
    <definedName name="_xlnm.Print_Titles" localSheetId="18">'5-1.일위대가'!$3:$4</definedName>
    <definedName name="_xlnm.Print_Titles" localSheetId="23">'6-2.(기본및실시)직접인건비 내역'!$1:$4</definedName>
    <definedName name="_xlnm.Print_Titles" localSheetId="25">'6-5.(기본및실시)적용수량 산출근거'!$25:$25</definedName>
    <definedName name="_xlnm.Print_Titles" localSheetId="29">'7-1.일위대가'!$3:$4</definedName>
    <definedName name="_xlnm.Print_Titles" localSheetId="32">'7-4.인력투입량 배분'!$3:$4</definedName>
    <definedName name="_xlnm.Print_Titles">#REF!</definedName>
    <definedName name="PRINT_TITLES_MI">#REF!</definedName>
    <definedName name="printer">#REF!</definedName>
    <definedName name="PRINTER_AREA">#REF!</definedName>
    <definedName name="printer_Titles">#REF!</definedName>
    <definedName name="printer_ttitle">#REF!</definedName>
    <definedName name="PRIT_TITLE">#REF!</definedName>
    <definedName name="PRIT_TITLES">#REF!</definedName>
    <definedName name="Projects">#REF!</definedName>
    <definedName name="PS">#REF!</definedName>
    <definedName name="PUM">#REF!</definedName>
    <definedName name="Q">#REF!</definedName>
    <definedName name="qa">#REF!</definedName>
    <definedName name="qasd">#REF!</definedName>
    <definedName name="Qe앨">#REF!</definedName>
    <definedName name="qi">#REF!</definedName>
    <definedName name="qq">#REF!</definedName>
    <definedName name="QQQ" hidden="1">#REF!</definedName>
    <definedName name="qsco">#REF!</definedName>
    <definedName name="QU">#REF!</definedName>
    <definedName name="qwertyhjn">#REF!</definedName>
    <definedName name="qwetyui">#REF!</definedName>
    <definedName name="qws">#REF!</definedName>
    <definedName name="QWWWE">#REF!</definedName>
    <definedName name="q디">#REF!</definedName>
    <definedName name="q앨">#REF!</definedName>
    <definedName name="_xlnm.Recorder">#REF!</definedName>
    <definedName name="REF_6">#REF!</definedName>
    <definedName name="REF_F">#REF!</definedName>
    <definedName name="REF_G">#REF!</definedName>
    <definedName name="REF_H">#REF!</definedName>
    <definedName name="REF_J">#REF!</definedName>
    <definedName name="REF_L">#REF!</definedName>
    <definedName name="REF_O">#REF!</definedName>
    <definedName name="REF_Q">#REF!</definedName>
    <definedName name="retfvbnolkjn">#REF!</definedName>
    <definedName name="RF">BlankMacro1</definedName>
    <definedName name="RJRJ">BlankMacro1</definedName>
    <definedName name="RJRKJRKJR">BlankMacro1</definedName>
    <definedName name="RL">BlankMacro1</definedName>
    <definedName name="RLTJD">BlankMacro1</definedName>
    <definedName name="Rl이">#REF!</definedName>
    <definedName name="Rl일">#REF!</definedName>
    <definedName name="RM_D">#REF!</definedName>
    <definedName name="RPE">#REF!</definedName>
    <definedName name="RRR">#REF!</definedName>
    <definedName name="RT">#REF!,#REF!,#REF!</definedName>
    <definedName name="RTTTTTTTTTTT">#REF!</definedName>
    <definedName name="rty">#REF!,#REF!</definedName>
    <definedName name="rtyuiuknm">#REF!</definedName>
    <definedName name="s">[9]일위대가!#REF!</definedName>
    <definedName name="S_BB">#REF!</definedName>
    <definedName name="S_BU">#REF!</definedName>
    <definedName name="S_EF">#REF!</definedName>
    <definedName name="SADE">#REF!</definedName>
    <definedName name="SALI">#REF!</definedName>
    <definedName name="sanch_2">#REF!</definedName>
    <definedName name="sanch_3">#REF!</definedName>
    <definedName name="sanch_4">#REF!</definedName>
    <definedName name="sb_공통공사비">#REF!</definedName>
    <definedName name="sb_단위시설별공사비">#REF!</definedName>
    <definedName name="sb_제잡비">#REF!</definedName>
    <definedName name="sb010_가설공사_1">#REF!</definedName>
    <definedName name="sb020_가설공사_2">#REF!</definedName>
    <definedName name="sb030_공통장비비">#REF!</definedName>
    <definedName name="sb040_현장관리비">#REF!</definedName>
    <definedName name="sb050_기타공통비">#REF!</definedName>
    <definedName name="sb101_토공사">#REF!</definedName>
    <definedName name="sb102_지정공사">#REF!</definedName>
    <definedName name="sb103_철근콘크리트공사">#REF!</definedName>
    <definedName name="sb104_철골공사">#REF!</definedName>
    <definedName name="sb105_조적공사">#REF!</definedName>
    <definedName name="sb106_미장공사">#REF!</definedName>
    <definedName name="sb107_방수공사">#REF!</definedName>
    <definedName name="sb108_목공사">#REF!</definedName>
    <definedName name="sb109_금속공사">#REF!</definedName>
    <definedName name="sb110_지붕및홈통공사">#REF!</definedName>
    <definedName name="sb111_문_셔터_부속자재">#REF!</definedName>
    <definedName name="sb112_창_창호추가공사">#REF!</definedName>
    <definedName name="sb113_유리공사">#REF!</definedName>
    <definedName name="sb114_타일및돌공사">#REF!</definedName>
    <definedName name="sb115_도장공사">#REF!</definedName>
    <definedName name="sb116_수장공사_1">#REF!</definedName>
    <definedName name="sb117_수장공사_2">#REF!</definedName>
    <definedName name="sb118_실내설비공사">#REF!</definedName>
    <definedName name="sb201_창고">#REF!</definedName>
    <definedName name="sb202_경비실">#REF!</definedName>
    <definedName name="sb203_기타경비시설">#REF!</definedName>
    <definedName name="sb204_차고">#REF!</definedName>
    <definedName name="sb301_정화조공사">#REF!</definedName>
    <definedName name="sb302_우수맨홀">#REF!</definedName>
    <definedName name="sb303_우수배수관설치">#REF!</definedName>
    <definedName name="sb401_굴취">#REF!</definedName>
    <definedName name="sb402_식재_파종">#REF!</definedName>
    <definedName name="sb403_식재관련_부대공">#REF!</definedName>
    <definedName name="sb404_조경시설물공사">#REF!</definedName>
    <definedName name="sb501_문_문주_설치">#REF!</definedName>
    <definedName name="sb502_울타리_담장설치">#REF!</definedName>
    <definedName name="sb503_기타경계시설">#REF!</definedName>
    <definedName name="sb601_해체_철거공사">#REF!</definedName>
    <definedName name="sb602_보수_및_이전공사">#REF!</definedName>
    <definedName name="sck">#REF!</definedName>
    <definedName name="SDFFFF">#REF!</definedName>
    <definedName name="SDFSDFF">#REF!</definedName>
    <definedName name="sdgfhgh">#REF!</definedName>
    <definedName name="SDS">#REF!</definedName>
    <definedName name="sdsd">#REF!</definedName>
    <definedName name="SEV">#REF!</definedName>
    <definedName name="SG1A">#REF!</definedName>
    <definedName name="SG2A">#REF!</definedName>
    <definedName name="SHEET56">#REF!</definedName>
    <definedName name="sido">#REF!</definedName>
    <definedName name="SK">#REF!</definedName>
    <definedName name="SKE">#REF!</definedName>
    <definedName name="SKEW">#REF!</definedName>
    <definedName name="SL1A">#REF!</definedName>
    <definedName name="SL2A">#REF!</definedName>
    <definedName name="SL2B">#REF!</definedName>
    <definedName name="SL3A">#REF!</definedName>
    <definedName name="SL3B">#REF!</definedName>
    <definedName name="SL4A">#REF!</definedName>
    <definedName name="SLFE">#REF!</definedName>
    <definedName name="SLFO">#REF!</definedName>
    <definedName name="SM10A">#REF!</definedName>
    <definedName name="SM10B">#REF!</definedName>
    <definedName name="SM11A">#REF!</definedName>
    <definedName name="SM11B">#REF!</definedName>
    <definedName name="SM12A">#REF!</definedName>
    <definedName name="SM12B">#REF!</definedName>
    <definedName name="SM1A">#REF!</definedName>
    <definedName name="SM2A">#REF!</definedName>
    <definedName name="SM3A">#REF!</definedName>
    <definedName name="SM3B">#REF!</definedName>
    <definedName name="SM4A">#REF!</definedName>
    <definedName name="SM5A">#REF!</definedName>
    <definedName name="SM5B">#REF!</definedName>
    <definedName name="SM6A">#REF!</definedName>
    <definedName name="SM6B">#REF!</definedName>
    <definedName name="SM7A">#REF!</definedName>
    <definedName name="SM7B">#REF!</definedName>
    <definedName name="SM7C">#REF!</definedName>
    <definedName name="SM8A">#REF!</definedName>
    <definedName name="SM9A">#REF!</definedName>
    <definedName name="SM9B">#REF!</definedName>
    <definedName name="SM9C">#REF!</definedName>
    <definedName name="SO">#N/A</definedName>
    <definedName name="SPACE">#REF!</definedName>
    <definedName name="sr">#REF!,#REF!</definedName>
    <definedName name="ss">#REF!</definedName>
    <definedName name="sss" hidden="1">#REF!</definedName>
    <definedName name="SSSS">#REF!</definedName>
    <definedName name="startA">#REF!</definedName>
    <definedName name="stEg">#REF!</definedName>
    <definedName name="stEv">#REF!</definedName>
    <definedName name="stJh">#REF!</definedName>
    <definedName name="stMh">#REF!</definedName>
    <definedName name="stPe">#REF!</definedName>
    <definedName name="stTr">#REF!</definedName>
    <definedName name="ST산출">[0]!BlankMacro1</definedName>
    <definedName name="SUO_REA">#REF!</definedName>
    <definedName name="SUO_TOE">#REF!</definedName>
    <definedName name="SW">#REF!</definedName>
    <definedName name="SWL">#REF!</definedName>
    <definedName name="SWR">#REF!</definedName>
    <definedName name="SW개발기간">#REF!</definedName>
    <definedName name="SW개발사무실임대비">#REF!</definedName>
    <definedName name="SW개발상시인력">#REF!</definedName>
    <definedName name="sw비용">#REF!</definedName>
    <definedName name="SW시험기사">#REF!</definedName>
    <definedName name="SW시험사001">#REF!</definedName>
    <definedName name="SW시험사002">#REF!</definedName>
    <definedName name="SW시험사011">#REF!</definedName>
    <definedName name="SW시험사982">#REF!</definedName>
    <definedName name="SW시험사991">#REF!</definedName>
    <definedName name="SW시험사992">#REF!</definedName>
    <definedName name="SW직접인건비">#REF!</definedName>
    <definedName name="sy">#REF!</definedName>
    <definedName name="szvoikhg">#REF!</definedName>
    <definedName name="T">#REF!</definedName>
    <definedName name="T10M">#REF!</definedName>
    <definedName name="T10P">#REF!</definedName>
    <definedName name="T11M">#REF!</definedName>
    <definedName name="T11P">#REF!</definedName>
    <definedName name="T12M">#REF!</definedName>
    <definedName name="T12P">#REF!</definedName>
    <definedName name="T13M">#REF!</definedName>
    <definedName name="T13P">#REF!</definedName>
    <definedName name="T14M">#REF!</definedName>
    <definedName name="T14P">#REF!</definedName>
    <definedName name="T15M">#REF!</definedName>
    <definedName name="T15P">#REF!</definedName>
    <definedName name="T16M">#REF!</definedName>
    <definedName name="t1a1p">#REF!</definedName>
    <definedName name="t1a1t">#REF!</definedName>
    <definedName name="t1a2p">#REF!</definedName>
    <definedName name="t1a2t">#REF!</definedName>
    <definedName name="T1S">#REF!</definedName>
    <definedName name="t2a1p">#REF!</definedName>
    <definedName name="t2a1t">#REF!</definedName>
    <definedName name="t2a2p">#REF!</definedName>
    <definedName name="t2a2t">#REF!</definedName>
    <definedName name="T2S">#REF!</definedName>
    <definedName name="T3A1P">#REF!</definedName>
    <definedName name="t3a1t">#REF!</definedName>
    <definedName name="t3a2p">#REF!</definedName>
    <definedName name="t3a2t">#REF!</definedName>
    <definedName name="T3S">#REF!</definedName>
    <definedName name="TA1P">#REF!</definedName>
    <definedName name="ta1t">#REF!</definedName>
    <definedName name="ta2p">#REF!</definedName>
    <definedName name="ta2t">#REF!</definedName>
    <definedName name="Tb">#REF!</definedName>
    <definedName name="Tba">#REF!</definedName>
    <definedName name="Ted">#REF!</definedName>
    <definedName name="Tel">#REF!</definedName>
    <definedName name="TITLE">#REF!</definedName>
    <definedName name="Tl">#REF!</definedName>
    <definedName name="TMO">#REF!</definedName>
    <definedName name="Tra">#REF!</definedName>
    <definedName name="Tsa">#REF!</definedName>
    <definedName name="TT">#N/A</definedName>
    <definedName name="TTT">#REF!</definedName>
    <definedName name="TTTTTTD">#REF!</definedName>
    <definedName name="TW">#REF!</definedName>
    <definedName name="TWL">#REF!</definedName>
    <definedName name="TWR">#REF!</definedName>
    <definedName name="TYF">#REF!</definedName>
    <definedName name="TYGHTRS">#REF!</definedName>
    <definedName name="U">#REF!</definedName>
    <definedName name="ubnvjyu">#REF!</definedName>
    <definedName name="UD">#REF!</definedName>
    <definedName name="ul">#REF!</definedName>
    <definedName name="um">#REF!</definedName>
    <definedName name="UU">#REF!</definedName>
    <definedName name="uw">#REF!</definedName>
    <definedName name="V">#REF!</definedName>
    <definedName name="vbnrea">#REF!</definedName>
    <definedName name="vchtrt">#REF!</definedName>
    <definedName name="VMAX">#N/A</definedName>
    <definedName name="VVH">#REF!</definedName>
    <definedName name="VVV">#REF!</definedName>
    <definedName name="W">#REF!</definedName>
    <definedName name="WALL">#REF!</definedName>
    <definedName name="WD">#REF!</definedName>
    <definedName name="WD_P">#REF!</definedName>
    <definedName name="WD_W">#REF!</definedName>
    <definedName name="wew" hidden="1">#REF!</definedName>
    <definedName name="WIRE">#REF!</definedName>
    <definedName name="wla">#REF!</definedName>
    <definedName name="Wm">#REF!</definedName>
    <definedName name="wn">#REF!</definedName>
    <definedName name="wrn.신용찬." hidden="1">{#N/A,#N/A,TRUE,"토적및재료집계";#N/A,#N/A,TRUE,"토적및재료집계";#N/A,#N/A,TRUE,"단위량"}</definedName>
    <definedName name="wrn.일위대가." hidden="1">{#N/A,#N/A,TRUE,"대가1"}</definedName>
    <definedName name="ws">#REF!</definedName>
    <definedName name="WSO">#REF!</definedName>
    <definedName name="Ws삼">#REF!</definedName>
    <definedName name="Ws이">#REF!</definedName>
    <definedName name="Ws일">#REF!</definedName>
    <definedName name="WW">#REF!</definedName>
    <definedName name="www">#REF!</definedName>
    <definedName name="X">#REF!</definedName>
    <definedName name="XDFGD">#REF!</definedName>
    <definedName name="XX">#REF!</definedName>
    <definedName name="xxx">#REF!</definedName>
    <definedName name="xxxhxt">#REF!</definedName>
    <definedName name="XzQ">#REF!</definedName>
    <definedName name="y">#REF!</definedName>
    <definedName name="YC">#REF!</definedName>
    <definedName name="YD">#REF!</definedName>
    <definedName name="YHJ">#REF!</definedName>
    <definedName name="YJDZZZ">#REF!</definedName>
    <definedName name="yy">BlankMacro1</definedName>
    <definedName name="yyuti">#REF!</definedName>
    <definedName name="Z">#REF!</definedName>
    <definedName name="ZSFDZ">#REF!</definedName>
    <definedName name="zxzdSA">#REF!</definedName>
    <definedName name="ZZ999999999999999999">#REF!</definedName>
    <definedName name="ㄱ">#REF!</definedName>
    <definedName name="ㄱ1">#REF!</definedName>
    <definedName name="ㄱ10">#REF!</definedName>
    <definedName name="ㄱ11">#REF!</definedName>
    <definedName name="ㄱ12">#REF!</definedName>
    <definedName name="ㄱ13">#REF!</definedName>
    <definedName name="ㄱ14">#REF!</definedName>
    <definedName name="ㄱ15">#REF!</definedName>
    <definedName name="ㄱ16">#REF!</definedName>
    <definedName name="ㄱ17">#REF!</definedName>
    <definedName name="ㄱ2">#REF!</definedName>
    <definedName name="ㄱ3">#REF!</definedName>
    <definedName name="ㄱ4">#REF!</definedName>
    <definedName name="ㄱ5">#REF!</definedName>
    <definedName name="ㄱ6">#REF!</definedName>
    <definedName name="ㄱ7">#REF!</definedName>
    <definedName name="ㄱ8">#REF!</definedName>
    <definedName name="ㄱ9">#REF!</definedName>
    <definedName name="ㄱㄷ">#REF!</definedName>
    <definedName name="가">#REF!</definedName>
    <definedName name="가2">#REF!</definedName>
    <definedName name="가3">#REF!</definedName>
    <definedName name="가4">#REF!</definedName>
    <definedName name="가5">#REF!</definedName>
    <definedName name="가6">#REF!</definedName>
    <definedName name="가도" hidden="1">#REF!</definedName>
    <definedName name="가로등">[0]!가로등</definedName>
    <definedName name="가로등입력">[0]!가로등입력</definedName>
    <definedName name="가스탐사지형계수">#REF!</definedName>
    <definedName name="가시나무H4.5">#REF!</definedName>
    <definedName name="가이윤율">#REF!</definedName>
    <definedName name="가중치">#REF!</definedName>
    <definedName name="각도">#REF!</definedName>
    <definedName name="간노">#REF!</definedName>
    <definedName name="간접경비">#REF!</definedName>
    <definedName name="간지1">#REF!</definedName>
    <definedName name="감나무H2.5">#REF!</definedName>
    <definedName name="감나무H3.0">#REF!</definedName>
    <definedName name="갑03">#REF!</definedName>
    <definedName name="개발뱃치1">#REF!</definedName>
    <definedName name="개발실시간1">#REF!</definedName>
    <definedName name="개발온라인1">#REF!</definedName>
    <definedName name="개발원가">#REF!</definedName>
    <definedName name="개발원가1">#REF!</definedName>
    <definedName name="갱부" localSheetId="28">'[1]2000노임기준'!#REF!</definedName>
    <definedName name="갱부" localSheetId="29">'[1]2000노임기준'!#REF!</definedName>
    <definedName name="갱부" localSheetId="30">'[1]2000노임기준'!#REF!</definedName>
    <definedName name="갱부" localSheetId="31">'[1]2000노임기준'!#REF!</definedName>
    <definedName name="갱부" localSheetId="32">'[1]2000노임기준'!#REF!</definedName>
    <definedName name="갱부">'[1]2000노임기준'!#REF!</definedName>
    <definedName name="갱부001">#REF!</definedName>
    <definedName name="갱부002">#REF!</definedName>
    <definedName name="갱부011">#REF!</definedName>
    <definedName name="갱부982">#REF!</definedName>
    <definedName name="갱부991">#REF!</definedName>
    <definedName name="갱부992">#REF!</definedName>
    <definedName name="거푸집">[2]설계기준!#REF!</definedName>
    <definedName name="거푸집설치">#REF!</definedName>
    <definedName name="건설기계운전기사001">#REF!</definedName>
    <definedName name="건설기계운전기사002">#REF!</definedName>
    <definedName name="건설기계운전기사011">#REF!</definedName>
    <definedName name="건설기계운전기사982">#REF!</definedName>
    <definedName name="건설기계운전기사991">#REF!</definedName>
    <definedName name="건설기계운전기사992">#REF!</definedName>
    <definedName name="건설기계운전조수001">#REF!</definedName>
    <definedName name="건설기계운전조수002">#REF!</definedName>
    <definedName name="건설기계운전조수011">#REF!</definedName>
    <definedName name="건설기계운전조수982">#REF!</definedName>
    <definedName name="건설기계운전조수991">#REF!</definedName>
    <definedName name="건설기계운전조수992">#REF!</definedName>
    <definedName name="건설기계조장001">#REF!</definedName>
    <definedName name="건설기계조장002">#REF!</definedName>
    <definedName name="건설기계조장011">#REF!</definedName>
    <definedName name="건설기계조장982">#REF!</definedName>
    <definedName name="건설기계조장991">#REF!</definedName>
    <definedName name="건설기계조장992">#REF!</definedName>
    <definedName name="건축목공">[3]일위대가!#REF!</definedName>
    <definedName name="건축목공001">#REF!</definedName>
    <definedName name="건축목공002">#REF!</definedName>
    <definedName name="건축목공011">#REF!</definedName>
    <definedName name="건축목공982">#REF!</definedName>
    <definedName name="건축목공991">#REF!</definedName>
    <definedName name="건축목공992">#REF!</definedName>
    <definedName name="건축물등기수">#REF!</definedName>
    <definedName name="겉표지">#REF!</definedName>
    <definedName name="견적서">#REF!</definedName>
    <definedName name="견적서1">#REF!</definedName>
    <definedName name="견적서2">#REF!</definedName>
    <definedName name="견적서3">#REF!</definedName>
    <definedName name="견적서4">#REF!</definedName>
    <definedName name="견적서5">#REF!</definedName>
    <definedName name="견적서6">#REF!</definedName>
    <definedName name="견적토목">#REF!</definedName>
    <definedName name="견출공001">#REF!</definedName>
    <definedName name="견출공002">#REF!</definedName>
    <definedName name="견출공011">#REF!</definedName>
    <definedName name="견출공982">#REF!</definedName>
    <definedName name="견출공991">#REF!</definedName>
    <definedName name="견출공992">#REF!</definedName>
    <definedName name="경계석설치">#REF!</definedName>
    <definedName name="경단가">#REF!</definedName>
    <definedName name="경비">#REF!</definedName>
    <definedName name="經費">#REF!</definedName>
    <definedName name="경비2">[0]!BlankMacro1</definedName>
    <definedName name="경비단가">#REF!</definedName>
    <definedName name="경비율">#REF!</definedName>
    <definedName name="경유" localSheetId="28">#REF!</definedName>
    <definedName name="경유" localSheetId="29">#REF!</definedName>
    <definedName name="경유" localSheetId="30">#REF!</definedName>
    <definedName name="경유" localSheetId="31">#REF!</definedName>
    <definedName name="경유" localSheetId="32">#REF!</definedName>
    <definedName name="경유">#REF!</definedName>
    <definedName name="계">#REF!</definedName>
    <definedName name="계1">#REF!</definedName>
    <definedName name="계18">#REF!</definedName>
    <definedName name="계2">#REF!</definedName>
    <definedName name="계3">#REF!</definedName>
    <definedName name="계4">#REF!</definedName>
    <definedName name="계산">#REF!</definedName>
    <definedName name="계약단가">#REF!</definedName>
    <definedName name="계약보증금납부서">#REF!</definedName>
    <definedName name="계약서">#REF!</definedName>
    <definedName name="계장공001">#REF!</definedName>
    <definedName name="계장공002">#REF!</definedName>
    <definedName name="계장공011">#REF!</definedName>
    <definedName name="계장공982">#REF!</definedName>
    <definedName name="계장공991">#REF!</definedName>
    <definedName name="계장공992">#REF!</definedName>
    <definedName name="고">#REF!</definedName>
    <definedName name="고급">#REF!</definedName>
    <definedName name="고급기능">#REF!</definedName>
    <definedName name="고급기능사">[3]일위대가!#REF!</definedName>
    <definedName name="고급기능사노임">#REF!</definedName>
    <definedName name="고급기술자">#REF!</definedName>
    <definedName name="고급기술자2">[4]고시단가!$F$9</definedName>
    <definedName name="고급기술자노임">#REF!</definedName>
    <definedName name="고급단가" localSheetId="21">'[5]기본설계(단지)'!$E$84</definedName>
    <definedName name="고급단가">'6-1.기초DATA 입력'!$E$47</definedName>
    <definedName name="고급단가2" localSheetId="21">'[5]실시설계(단지)'!$E$90</definedName>
    <definedName name="고급단가2">'[6](실시설계)적용수량 산출근거'!#REF!</definedName>
    <definedName name="고급단가3" localSheetId="21">'[5]기본및실시설계(단지)'!$E$90</definedName>
    <definedName name="고급단가3">'[7]기본및실시설계(단지)'!$E$90</definedName>
    <definedName name="고급단가3_1">'6-1.기초DATA 입력'!$E$47</definedName>
    <definedName name="고급도화">#REF!</definedName>
    <definedName name="고급선원001">#REF!</definedName>
    <definedName name="고급선원002">#REF!</definedName>
    <definedName name="고급선원011">#REF!</definedName>
    <definedName name="고급선원982">#REF!</definedName>
    <definedName name="고급선원991">#REF!</definedName>
    <definedName name="고급선원992">#REF!</definedName>
    <definedName name="고급엔지니어링">#REF!</definedName>
    <definedName name="고급여비">#REF!</definedName>
    <definedName name="고급원자력비파괴시험공001">#REF!</definedName>
    <definedName name="고급원자력비파괴시험공002">#REF!</definedName>
    <definedName name="고급원자력비파괴시험공011">#REF!</definedName>
    <definedName name="고급원자력비파괴시험공982">#REF!</definedName>
    <definedName name="고급원자력비파괴시험공991">#REF!</definedName>
    <definedName name="고급원자력비파괴시험공992">#REF!</definedName>
    <definedName name="고급임금">#REF!</definedName>
    <definedName name="고급전체">#REF!</definedName>
    <definedName name="고급조경">#REF!</definedName>
    <definedName name="고급지도제작">#REF!</definedName>
    <definedName name="고급측량">#REF!</definedName>
    <definedName name="고급항공사진">#REF!</definedName>
    <definedName name="고기">#REF!</definedName>
    <definedName name="고능">#REF!</definedName>
    <definedName name="고보">#REF!</definedName>
    <definedName name="고술">#REF!</definedName>
    <definedName name="고승히">[8]관접합및부설!#REF!</definedName>
    <definedName name="고압케이블전공001">#REF!</definedName>
    <definedName name="고압케이블전공002">#REF!</definedName>
    <definedName name="고압케이블전공011">#REF!</definedName>
    <definedName name="고압케이블전공982">#REF!</definedName>
    <definedName name="고압케이블전공991">#REF!</definedName>
    <definedName name="고압케이블전공992">#REF!</definedName>
    <definedName name="고용기준일">#REF!</definedName>
    <definedName name="곰솔H3.0xW1.0">#REF!</definedName>
    <definedName name="곰솔H3.0xW1.2xR10">#REF!</definedName>
    <definedName name="곰솔H3.5xW1.5xR12">#REF!</definedName>
    <definedName name="공_____종">[9]일위대가!#REF!</definedName>
    <definedName name="공고공람비">[10]직접경비!#REF!</definedName>
    <definedName name="공고공람비.">[11]직접경비!#REF!</definedName>
    <definedName name="공공근로사업비">#REF!</definedName>
    <definedName name="공급가액">#REF!</definedName>
    <definedName name="공단">#REF!</definedName>
    <definedName name="공보">#REF!</definedName>
    <definedName name="공사">#REF!</definedName>
    <definedName name="공사개요">#REF!</definedName>
    <definedName name="공사기간">#REF!</definedName>
    <definedName name="공사노임">#REF!</definedName>
    <definedName name="공사명">#REF!</definedName>
    <definedName name="공사원가">#REF!</definedName>
    <definedName name="공사원가명세서">#REF!</definedName>
    <definedName name="공사임율산출">#REF!</definedName>
    <definedName name="공전">#REF!</definedName>
    <definedName name="공정표">#REF!</definedName>
    <definedName name="과업명">#REF!</definedName>
    <definedName name="관급">#REF!,#REF!,#REF!</definedName>
    <definedName name="관리용역간지">BlankMacro1</definedName>
    <definedName name="관리인원비율">#REF!</definedName>
    <definedName name="광명">#REF!</definedName>
    <definedName name="광케이블설치사001">#REF!</definedName>
    <definedName name="광케이블설치사002">#REF!</definedName>
    <definedName name="광케이블설치사011">#REF!</definedName>
    <definedName name="광케이블설치사982">#REF!</definedName>
    <definedName name="광케이블설치사991">#REF!</definedName>
    <definedName name="광케이블설치사992">#REF!</definedName>
    <definedName name="광통신설치사001">#REF!</definedName>
    <definedName name="광통신설치사002">#REF!</definedName>
    <definedName name="광통신설치사011">#REF!</definedName>
    <definedName name="광통신설치사982">#REF!</definedName>
    <definedName name="광통신설치사991">#REF!</definedName>
    <definedName name="광통신설치사992">#REF!</definedName>
    <definedName name="교각">#REF!</definedName>
    <definedName name="교량계">#REF!</definedName>
    <definedName name="교외지비율">#REF!</definedName>
    <definedName name="교육">[10]직접인건비!#REF!</definedName>
    <definedName name="교육.">[11]직접인건비!#REF!</definedName>
    <definedName name="교통">[10]직접인건비!#REF!</definedName>
    <definedName name="교통.">[11]직접인건비!#REF!</definedName>
    <definedName name="교폭">#REF!</definedName>
    <definedName name="구">#REF!</definedName>
    <definedName name="구릉지비율">#REF!</definedName>
    <definedName name="구조작업량">#REF!</definedName>
    <definedName name="구조지형계수">#REF!</definedName>
    <definedName name="구조화일수">#REF!</definedName>
    <definedName name="구체콘">#REF!</definedName>
    <definedName name="권">BlankMacro1</definedName>
    <definedName name="궤도공001">#REF!</definedName>
    <definedName name="궤도공002">#REF!</definedName>
    <definedName name="궤도공011">#REF!</definedName>
    <definedName name="궤도공982">#REF!</definedName>
    <definedName name="궤도공991">#REF!</definedName>
    <definedName name="궤도공992">#REF!</definedName>
    <definedName name="규모계수">#REF!</definedName>
    <definedName name="규모별보정계수">#REF!</definedName>
    <definedName name="규모보정계수">#REF!</definedName>
    <definedName name="그리스">[12]기초단가!$B$35</definedName>
    <definedName name="극한모멘트">#REF!</definedName>
    <definedName name="근로자계수">#REF!</definedName>
    <definedName name="금액">#REF!</definedName>
    <definedName name="급조연장">#REF!</definedName>
    <definedName name="기">#N/A</definedName>
    <definedName name="기계">BlankMacro1</definedName>
    <definedName name="기계3">BlankMacro1</definedName>
    <definedName name="기계4">BlankMacro1</definedName>
    <definedName name="기계5">BlankMacro1</definedName>
    <definedName name="기계공001">#REF!</definedName>
    <definedName name="기계공002">#REF!</definedName>
    <definedName name="기계공011">#REF!</definedName>
    <definedName name="기계공982">#REF!</definedName>
    <definedName name="기계공991">#REF!</definedName>
    <definedName name="기계공992">#REF!</definedName>
    <definedName name="기계설치공001">#REF!</definedName>
    <definedName name="기계설치공002">#REF!</definedName>
    <definedName name="기계설치공011">#REF!</definedName>
    <definedName name="기계설치공982">#REF!</definedName>
    <definedName name="기계설치공991">#REF!</definedName>
    <definedName name="기계설치공992">#REF!</definedName>
    <definedName name="기능수">#REF!</definedName>
    <definedName name="기름">#REF!</definedName>
    <definedName name="기본계획간지">BlankMacro1</definedName>
    <definedName name="기상">[10]직접인건비!#REF!</definedName>
    <definedName name="기상.">[11]직접인건비!#REF!</definedName>
    <definedName name="기성품">BlankMacro1</definedName>
    <definedName name="기술">#REF!</definedName>
    <definedName name="기술료">#REF!</definedName>
    <definedName name="기술료율">#REF!</definedName>
    <definedName name="기술사">#REF!</definedName>
    <definedName name="기술사단가" localSheetId="21">'[5]기본설계(단지)'!$A$84</definedName>
    <definedName name="기술사단가">'6-1.기초DATA 입력'!$A$47</definedName>
    <definedName name="기술사단가2" localSheetId="21">'[5]실시설계(단지)'!$A$90</definedName>
    <definedName name="기술사단가2">'[6](실시설계)적용수량 산출근거'!#REF!</definedName>
    <definedName name="기술사단가3" localSheetId="21">'[5]기본및실시설계(단지)'!$A$90</definedName>
    <definedName name="기술사단가3">'[7]기본및실시설계(단지)'!$A$90</definedName>
    <definedName name="기술사단가3_1">'6-1.기초DATA 입력'!$A$47</definedName>
    <definedName name="기조">#REF!</definedName>
    <definedName name="기종계수">#REF!</definedName>
    <definedName name="기준품보정">[2]설계기준!#REF!</definedName>
    <definedName name="기초인건비">#REF!</definedName>
    <definedName name="기초콘">#REF!</definedName>
    <definedName name="기층포설">[8]단가!$C$83</definedName>
    <definedName name="기타">[10]직접인건비!#REF!</definedName>
    <definedName name="기타경비" hidden="1">{#N/A,#N/A,TRUE,"토적및재료집계";#N/A,#N/A,TRUE,"토적및재료집계";#N/A,#N/A,TRUE,"단위량"}</definedName>
    <definedName name="기타자재">[0]!기타자재</definedName>
    <definedName name="김종복">BlankMacro1</definedName>
    <definedName name="깊이">#REF!</definedName>
    <definedName name="ㄴ">#REF!</definedName>
    <definedName name="ㄴ1">#REF!</definedName>
    <definedName name="ㄴ2">#REF!</definedName>
    <definedName name="ㄴ3">#REF!</definedName>
    <definedName name="ㄴ4">#REF!</definedName>
    <definedName name="ㄴ5">#REF!</definedName>
    <definedName name="ㄴ6">#REF!</definedName>
    <definedName name="ㄴㅇ">#REF!</definedName>
    <definedName name="ㄴㅇㄴ">#REF!</definedName>
    <definedName name="나">#REF!</definedName>
    <definedName name="나2">#REF!</definedName>
    <definedName name="나3">#REF!</definedName>
    <definedName name="나4">#REF!</definedName>
    <definedName name="나5">#REF!</definedName>
    <definedName name="나6">#REF!</definedName>
    <definedName name="낙찰">#REF!</definedName>
    <definedName name="낙찰율">#REF!</definedName>
    <definedName name="난방구조일수">#REF!</definedName>
    <definedName name="난방정위치작업일수">#REF!</definedName>
    <definedName name="난방조사연장">#REF!</definedName>
    <definedName name="난방탐사연장">#REF!</definedName>
    <definedName name="남천H1.2">#REF!</definedName>
    <definedName name="내">#N/A</definedName>
    <definedName name="내공H">#REF!</definedName>
    <definedName name="내공V">#REF!</definedName>
    <definedName name="내공넓이">#REF!</definedName>
    <definedName name="내공높이">#REF!</definedName>
    <definedName name="내벽">#REF!</definedName>
    <definedName name="내선전공001">#REF!</definedName>
    <definedName name="내선전공002">#REF!</definedName>
    <definedName name="내선전공011">#REF!</definedName>
    <definedName name="내선전공982">#REF!</definedName>
    <definedName name="내선전공991">#REF!</definedName>
    <definedName name="내선전공992">#REF!</definedName>
    <definedName name="내역1">#REF!</definedName>
    <definedName name="내역2">#REF!</definedName>
    <definedName name="내역서">#REF!</definedName>
    <definedName name="내역서을지">#REF!</definedName>
    <definedName name="내역서표지">#REF!</definedName>
    <definedName name="내역표지">#REF!</definedName>
    <definedName name="내장공001">#REF!</definedName>
    <definedName name="내장공002">#REF!</definedName>
    <definedName name="내장공011">#REF!</definedName>
    <definedName name="내장공982">#REF!</definedName>
    <definedName name="내장공991">#REF!</definedName>
    <definedName name="내장공992">#REF!</definedName>
    <definedName name="내진">#REF!</definedName>
    <definedName name="낵역4">#REF!</definedName>
    <definedName name="노">#REF!</definedName>
    <definedName name="노단가">#REF!</definedName>
    <definedName name="노무단가">#REF!</definedName>
    <definedName name="노무비">#REF!</definedName>
    <definedName name="勞務費">#REF!</definedName>
    <definedName name="노부비">#REF!</definedName>
    <definedName name="노임단가1">#REF!</definedName>
    <definedName name="노즐공001">#REF!</definedName>
    <definedName name="노즐공002">#REF!</definedName>
    <definedName name="노즐공011">#REF!</definedName>
    <definedName name="노즐공982">#REF!</definedName>
    <definedName name="노즐공991">#REF!</definedName>
    <definedName name="노즐공992">#REF!</definedName>
    <definedName name="농경지비율">#REF!</definedName>
    <definedName name="농지간지">BlankMacro1</definedName>
    <definedName name="높">#REF!</definedName>
    <definedName name="높이">#REF!</definedName>
    <definedName name="눈주목H0.5">#REF!</definedName>
    <definedName name="느티나무H4.0xR12">#REF!</definedName>
    <definedName name="느티나무H4.5xR20">#REF!</definedName>
    <definedName name="느티나무H4.5xR25">#REF!</definedName>
    <definedName name="능형망철거">[0]!능형망철거</definedName>
    <definedName name="ㄷ" hidden="1">{#N/A,#N/A,TRUE,"토적및재료집계";#N/A,#N/A,TRUE,"토적및재료집계";#N/A,#N/A,TRUE,"단위량"}</definedName>
    <definedName name="ㄷ1">#REF!</definedName>
    <definedName name="ㄷ2">#REF!</definedName>
    <definedName name="ㄷ3">#REF!</definedName>
    <definedName name="ㄷ4">#REF!</definedName>
    <definedName name="ㄷ59">#REF!</definedName>
    <definedName name="다">#REF!</definedName>
    <definedName name="다2">#REF!</definedName>
    <definedName name="다3">#REF!</definedName>
    <definedName name="다4">#REF!</definedName>
    <definedName name="다5">#REF!</definedName>
    <definedName name="다6">#REF!</definedName>
    <definedName name="닥트공001">#REF!</definedName>
    <definedName name="닥트공002">#REF!</definedName>
    <definedName name="닥트공011">#REF!</definedName>
    <definedName name="닥트공982">#REF!</definedName>
    <definedName name="닥트공991">#REF!</definedName>
    <definedName name="닥트공992">#REF!</definedName>
    <definedName name="단">#REF!</definedName>
    <definedName name="단가">#REF!</definedName>
    <definedName name="단가12">#REF!</definedName>
    <definedName name="단가다">#REF!</definedName>
    <definedName name="단가비교표">#REF!,#REF!</definedName>
    <definedName name="단가비교표1">#REF!,#REF!</definedName>
    <definedName name="단가임">#REF!</definedName>
    <definedName name="단가조사표">#REF!</definedName>
    <definedName name="단가합">#REF!</definedName>
    <definedName name="단가합1">#REF!</definedName>
    <definedName name="단산1">#REF!</definedName>
    <definedName name="단순단가">#REF!</definedName>
    <definedName name="단순인력">#REF!</definedName>
    <definedName name="단위수량1">#REF!</definedName>
    <definedName name="단위수량2">#REF!</definedName>
    <definedName name="단지유형" localSheetId="21">'[5]기본설계(단지)'!$H$65</definedName>
    <definedName name="단지유형">'6-1.기초DATA 입력'!$H$27</definedName>
    <definedName name="단지유형2" localSheetId="21">'[5]실시설계(단지)'!$H$70</definedName>
    <definedName name="단지유형2">'[6](실시설계)적용수량 산출근거'!#REF!</definedName>
    <definedName name="단지유형3" localSheetId="21">'[5]기본및실시설계(단지)'!$H$70</definedName>
    <definedName name="단지유형3">'[7]기본및실시설계(단지)'!$H$70</definedName>
    <definedName name="단지유형3_1">'6-1.기초DATA 입력'!$H$27</definedName>
    <definedName name="대기질">#REF!</definedName>
    <definedName name="대나무" localSheetId="28">[1]식재일위대가!#REF!</definedName>
    <definedName name="대나무" localSheetId="29">[1]식재일위대가!#REF!</definedName>
    <definedName name="대나무" localSheetId="30">[1]식재일위대가!#REF!</definedName>
    <definedName name="대나무" localSheetId="31">[1]식재일위대가!#REF!</definedName>
    <definedName name="대나무" localSheetId="32">[1]식재일위대가!#REF!</definedName>
    <definedName name="대나무">[1]식재일위대가!#REF!</definedName>
    <definedName name="대안설정">[10]직접인건비!#REF!</definedName>
    <definedName name="댈타5">#REF!</definedName>
    <definedName name="도급공사비">#REF!</definedName>
    <definedName name="도급예정액">#REF!</definedName>
    <definedName name="도로연장">#REF!</definedName>
    <definedName name="도로작업연장">#REF!</definedName>
    <definedName name="도로지형계수">#REF!</definedName>
    <definedName name="도면가격">#REF!</definedName>
    <definedName name="도면가격2">#REF!</definedName>
    <definedName name="도면수">#REF!</definedName>
    <definedName name="도면출력비용">#REF!</definedName>
    <definedName name="도면편집지형계수">#REF!</definedName>
    <definedName name="도면편집지형증감계수">#REF!</definedName>
    <definedName name="도면편집축척별시간당작업량">#REF!</definedName>
    <definedName name="도면편집축척시간작업량">#REF!</definedName>
    <definedName name="도배공001">#REF!</definedName>
    <definedName name="도배공002">#REF!</definedName>
    <definedName name="도배공011">#REF!</definedName>
    <definedName name="도배공982">#REF!</definedName>
    <definedName name="도배공991">#REF!</definedName>
    <definedName name="도배공992">#REF!</definedName>
    <definedName name="도시3급">#REF!</definedName>
    <definedName name="도시작업계수">#REF!</definedName>
    <definedName name="도시적용1">#REF!</definedName>
    <definedName name="도시적용2">#REF!</definedName>
    <definedName name="도시적용3">#REF!</definedName>
    <definedName name="도시적용4">#REF!</definedName>
    <definedName name="도시적용5">#REF!</definedName>
    <definedName name="도장공001">#REF!</definedName>
    <definedName name="도장공002">#REF!</definedName>
    <definedName name="도장공011">#REF!</definedName>
    <definedName name="도장공982">#REF!</definedName>
    <definedName name="도장공991">#REF!</definedName>
    <definedName name="도장공992">#REF!</definedName>
    <definedName name="도장공사비">[8]관접합및부설!#REF!</definedName>
    <definedName name="도편수001">#REF!</definedName>
    <definedName name="도편수002">#REF!</definedName>
    <definedName name="도편수011">#REF!</definedName>
    <definedName name="도편수982">#REF!</definedName>
    <definedName name="도편수991">#REF!</definedName>
    <definedName name="도편수992">#REF!</definedName>
    <definedName name="도화고급">#REF!</definedName>
    <definedName name="도화중급">#REF!</definedName>
    <definedName name="도화증감계수">#REF!</definedName>
    <definedName name="도화지형증감계수">#REF!</definedName>
    <definedName name="도화초급">#REF!</definedName>
    <definedName name="도화축척별작업량">#REF!</definedName>
    <definedName name="돋움체">#REF!</definedName>
    <definedName name="동_발_공__터_널">#REF!</definedName>
    <definedName name="동바리">#REF!</definedName>
    <definedName name="동발공_터널001">#REF!</definedName>
    <definedName name="동발공_터널002">#REF!</definedName>
    <definedName name="동발공_터널011">#REF!</definedName>
    <definedName name="동발공_터널982">#REF!</definedName>
    <definedName name="동발공_터널991">#REF!</definedName>
    <definedName name="동발공_터널992">#REF!</definedName>
    <definedName name="동방층">#REF!</definedName>
    <definedName name="동백나무H2.0">#REF!</definedName>
    <definedName name="동상">#REF!</definedName>
    <definedName name="동상1">#REF!</definedName>
    <definedName name="동상2">#REF!</definedName>
    <definedName name="동식물">[10]직접인건비!#REF!</definedName>
    <definedName name="동식물수">[10]직접인건비!#REF!</definedName>
    <definedName name="드라이브파이프">[12]기초단가!$B$29</definedName>
    <definedName name="드라이브파이프슈">[12]기초단가!$B$28</definedName>
    <definedName name="드라이브파이프헤드">[12]기초단가!$B$27</definedName>
    <definedName name="드잡이공001">#REF!</definedName>
    <definedName name="드잡이공002">#REF!</definedName>
    <definedName name="드잡이공011">#REF!</definedName>
    <definedName name="드잡이공982">#REF!</definedName>
    <definedName name="드잡이공991">#REF!</definedName>
    <definedName name="드잡이공992">#REF!</definedName>
    <definedName name="때죽나무H3.0">#REF!</definedName>
    <definedName name="ㄹ" hidden="1">#REF!</definedName>
    <definedName name="ㄹ1">#REF!</definedName>
    <definedName name="ㄹ1040">#REF!</definedName>
    <definedName name="ㄹ2">#REF!</definedName>
    <definedName name="ㄹ221">#REF!</definedName>
    <definedName name="ㄹ3">#REF!</definedName>
    <definedName name="ㄹ4">#REF!</definedName>
    <definedName name="ㄹㄹ" hidden="1">#REF!</definedName>
    <definedName name="ㄹㄹㄹ" hidden="1">#REF!</definedName>
    <definedName name="ㄹㅇㅁㄴ" hidden="1">#REF!</definedName>
    <definedName name="ㄹㅇㅎㄹㅇㅎ">[0]!ㄹㅇㅎㄹㅇㅎ</definedName>
    <definedName name="ㄹ호">#REF!</definedName>
    <definedName name="라">#REF!</definedName>
    <definedName name="라2">#REF!</definedName>
    <definedName name="라3">#REF!</definedName>
    <definedName name="라4">#REF!</definedName>
    <definedName name="라5">#REF!</definedName>
    <definedName name="라6">#REF!</definedName>
    <definedName name="레이어별작업비율">#REF!</definedName>
    <definedName name="레이어작업비율">#REF!</definedName>
    <definedName name="ㅁ" hidden="1">#REF!</definedName>
    <definedName name="ㅁ1">#REF!</definedName>
    <definedName name="ㅁ270">#REF!</definedName>
    <definedName name="ㅁ30">#REF!</definedName>
    <definedName name="ㅁ309">#REF!</definedName>
    <definedName name="ㅁ331">#REF!</definedName>
    <definedName name="ㅁ384K5">#REF!</definedName>
    <definedName name="ㅁ54">#REF!</definedName>
    <definedName name="ㅁㄴㅇㄹ">#N/A</definedName>
    <definedName name="ㅁㄴㅇㄻㅇ">BlankMacro1</definedName>
    <definedName name="ㅁㄴㅇㅁㄴㅇ" hidden="1">#REF!</definedName>
    <definedName name="ㅁㄹㅇㄴ">#REF!</definedName>
    <definedName name="ㅁㅁ">#REF!</definedName>
    <definedName name="ㅁㅁ185">#REF!</definedName>
    <definedName name="ㅁㅁㄴ">#REF!</definedName>
    <definedName name="ㅁㅁㅁ" hidden="1">#REF!</definedName>
    <definedName name="ㅁㅁㅁㅁㅁ">#REF!</definedName>
    <definedName name="ㅁㅇㄴㄻㅇㄴㄹ">#REF!</definedName>
    <definedName name="마찰각">#REF!</definedName>
    <definedName name="매당가격">#REF!</definedName>
    <definedName name="맨홀호수">#REF!</definedName>
    <definedName name="맷수">#REF!</definedName>
    <definedName name="메1">#REF!</definedName>
    <definedName name="메탈크라운">[12]기초단가!$B$26</definedName>
    <definedName name="면벽높이">#REF!</definedName>
    <definedName name="면벽두께">#REF!</definedName>
    <definedName name="면적">#REF!</definedName>
    <definedName name="명당평수">#REF!</definedName>
    <definedName name="명수">#REF!</definedName>
    <definedName name="명암">#REF!</definedName>
    <definedName name="명암2">#REF!</definedName>
    <definedName name="모감주나무H3.0xR10">#REF!</definedName>
    <definedName name="모과나무H2.5">#REF!</definedName>
    <definedName name="모과나무H3.5">#REF!</definedName>
    <definedName name="모빌유">[12]기초단가!$B$33</definedName>
    <definedName name="목">#REF!</definedName>
    <definedName name="목공">#REF!</definedName>
    <definedName name="목도001">#REF!</definedName>
    <definedName name="목도002">#REF!</definedName>
    <definedName name="목도011">#REF!</definedName>
    <definedName name="목도982">#REF!</definedName>
    <definedName name="목도991">#REF!</definedName>
    <definedName name="목도992">#REF!</definedName>
    <definedName name="목조각공001">#REF!</definedName>
    <definedName name="목조각공002">#REF!</definedName>
    <definedName name="목조각공011">#REF!</definedName>
    <definedName name="목조각공982">#REF!</definedName>
    <definedName name="목조각공991">#REF!</definedName>
    <definedName name="목조각공992">#REF!</definedName>
    <definedName name="무근">#REF!</definedName>
    <definedName name="무선안테나공001">#REF!</definedName>
    <definedName name="무선안테나공002">#REF!</definedName>
    <definedName name="무선안테나공011">#REF!</definedName>
    <definedName name="무선안테나공982">#REF!</definedName>
    <definedName name="무선안테나공991">#REF!</definedName>
    <definedName name="무선안테나공992">#REF!</definedName>
    <definedName name="문화재">[10]직접인건비!#REF!</definedName>
    <definedName name="물">#REF!</definedName>
    <definedName name="물가">#REF!</definedName>
    <definedName name="물가2">#REF!</definedName>
    <definedName name="뮤">#REF!</definedName>
    <definedName name="뮤2">#REF!</definedName>
    <definedName name="미_장_공">#REF!</definedName>
    <definedName name="미장공001">#REF!</definedName>
    <definedName name="미장공002">#REF!</definedName>
    <definedName name="미장공011">#REF!</definedName>
    <definedName name="미장공982">#REF!</definedName>
    <definedName name="미장공991">#REF!</definedName>
    <definedName name="미장공992">#REF!</definedName>
    <definedName name="ㅂㅂ">#REF!</definedName>
    <definedName name="바닥몰">#REF!</definedName>
    <definedName name="바보">#REF!</definedName>
    <definedName name="반중력산근">#REF!</definedName>
    <definedName name="반중력수량">#REF!</definedName>
    <definedName name="발주처">#REF!</definedName>
    <definedName name="방부대형">[13]일위대가!#REF!</definedName>
    <definedName name="방수공001">#REF!</definedName>
    <definedName name="방수공002">#REF!</definedName>
    <definedName name="방수공011">#REF!</definedName>
    <definedName name="방수공982">#REF!</definedName>
    <definedName name="방수공991">#REF!</definedName>
    <definedName name="방수공992">#REF!</definedName>
    <definedName name="배관공001">#REF!</definedName>
    <definedName name="배관공002">#REF!</definedName>
    <definedName name="배관공011">#REF!</definedName>
    <definedName name="배관공982">#REF!</definedName>
    <definedName name="배관공991">#REF!</definedName>
    <definedName name="배관공992">#REF!</definedName>
    <definedName name="배관공단가">[8]관접합및부설!#REF!</definedName>
    <definedName name="배롱나무H2.5xR7">#REF!</definedName>
    <definedName name="배롱나무H3.5xR20">#REF!</definedName>
    <definedName name="배전전공001">#REF!</definedName>
    <definedName name="배전전공002">#REF!</definedName>
    <definedName name="배전전공011">#REF!</definedName>
    <definedName name="배전전공982">#REF!</definedName>
    <definedName name="배전전공991">#REF!</definedName>
    <definedName name="배전전공992">#REF!</definedName>
    <definedName name="배전활선전공001">#REF!</definedName>
    <definedName name="배전활선전공002">#REF!</definedName>
    <definedName name="배전활선전공011">#REF!</definedName>
    <definedName name="배전활선전공982">#REF!</definedName>
    <definedName name="배전활선전공991">#REF!</definedName>
    <definedName name="배전활선전공992">#REF!</definedName>
    <definedName name="백철쭉H0.3">#REF!</definedName>
    <definedName name="번호">'[14]Sheet1 (2)'!#REF!</definedName>
    <definedName name="벌목공011">#REF!</definedName>
    <definedName name="벌목부001">#REF!</definedName>
    <definedName name="벌목부002">#REF!</definedName>
    <definedName name="벌목부982">#REF!</definedName>
    <definedName name="벌목부991">#REF!</definedName>
    <definedName name="벌목부992">#REF!</definedName>
    <definedName name="범용커스터마이징">BlankMacro1</definedName>
    <definedName name="벽_돌__블_럭__제_작_공">#REF!</definedName>
    <definedName name="벽돌">#REF!</definedName>
    <definedName name="벽돌_블럭_제작공011">#REF!</definedName>
    <definedName name="벽돌_블록_제작공001">#REF!</definedName>
    <definedName name="벽돌_블록_제작공002">#REF!</definedName>
    <definedName name="벽돌_블록_제작공982">#REF!</definedName>
    <definedName name="벽돌_블록_제작공991">#REF!</definedName>
    <definedName name="벽돌_블록_제작공992">#REF!</definedName>
    <definedName name="벽체">#REF!</definedName>
    <definedName name="변전전공001">#REF!</definedName>
    <definedName name="변전전공002">#REF!</definedName>
    <definedName name="변전전공011">#REF!</definedName>
    <definedName name="변전전공982">#REF!</definedName>
    <definedName name="변전전공991">#REF!</definedName>
    <definedName name="변전전공992">#REF!</definedName>
    <definedName name="보">#REF!</definedName>
    <definedName name="보고서인쇄비">[10]직접인건비!#REF!</definedName>
    <definedName name="보링">#REF!</definedName>
    <definedName name="보링공">#REF!</definedName>
    <definedName name="보링공_지질조사001">#REF!</definedName>
    <definedName name="보링공_지질조사002">#REF!</definedName>
    <definedName name="보링공_지질조사011">#REF!</definedName>
    <definedName name="보링공_지질조사982">#REF!</definedName>
    <definedName name="보링공_지질조사991">#REF!</definedName>
    <definedName name="보링공_지질조사992">#REF!</definedName>
    <definedName name="보링조사NX">#REF!</definedName>
    <definedName name="보안공001">#REF!</definedName>
    <definedName name="보안공002">#REF!</definedName>
    <definedName name="보안공011">#REF!</definedName>
    <definedName name="보안공982">#REF!</definedName>
    <definedName name="보안공991">#REF!</definedName>
    <definedName name="보안공992">#REF!</definedName>
    <definedName name="보오링공">[3]일위대가!#REF!</definedName>
    <definedName name="보온공001">#REF!</definedName>
    <definedName name="보온공002">#REF!</definedName>
    <definedName name="보온공011">#REF!</definedName>
    <definedName name="보온공982">#REF!</definedName>
    <definedName name="보온공991">#REF!</definedName>
    <definedName name="보온공992">#REF!</definedName>
    <definedName name="보인">#REF!</definedName>
    <definedName name="보일러공001">#REF!</definedName>
    <definedName name="보일러공002">#REF!</definedName>
    <definedName name="보일러공011">#REF!</definedName>
    <definedName name="보일러공982">#REF!</definedName>
    <definedName name="보일러공991">#REF!</definedName>
    <definedName name="보일러공992">#REF!</definedName>
    <definedName name="보정">#REF!</definedName>
    <definedName name="보정계수">#REF!</definedName>
    <definedName name="보정계수1">#REF!</definedName>
    <definedName name="보정계수2">#REF!</definedName>
    <definedName name="보정계수3">#REF!</definedName>
    <definedName name="보정계수4">#REF!</definedName>
    <definedName name="보정계수5">#REF!</definedName>
    <definedName name="보조">#REF!</definedName>
    <definedName name="보조1">#REF!</definedName>
    <definedName name="보조2">#REF!</definedName>
    <definedName name="보조기층">#REF!</definedName>
    <definedName name="보조기층포설">[8]단가!$C$86</definedName>
    <definedName name="보조조경">#REF!</definedName>
    <definedName name="보차도방호책1">#REF!</definedName>
    <definedName name="보통단가">#REF!</definedName>
    <definedName name="보통선원001">#REF!</definedName>
    <definedName name="보통선원002">#REF!</definedName>
    <definedName name="보통선원011">#REF!</definedName>
    <definedName name="보통선원982">#REF!</definedName>
    <definedName name="보통선원991">#REF!</definedName>
    <definedName name="보통선원992">#REF!</definedName>
    <definedName name="보통인력">#REF!</definedName>
    <definedName name="보통인력개발인건비">#REF!</definedName>
    <definedName name="보통인부">#REF!</definedName>
    <definedName name="보통인부001">#REF!</definedName>
    <definedName name="보통인부002">#REF!</definedName>
    <definedName name="보통인부011">#REF!</definedName>
    <definedName name="보통인부982">#REF!</definedName>
    <definedName name="보통인부991">#REF!</definedName>
    <definedName name="보통인부992">#REF!</definedName>
    <definedName name="보통인부단가">[8]관접합및부설!#REF!</definedName>
    <definedName name="보험료">#REF!</definedName>
    <definedName name="보험료1">#REF!</definedName>
    <definedName name="보험료율">#REF!</definedName>
    <definedName name="보호상">#REF!</definedName>
    <definedName name="보호측">#REF!</definedName>
    <definedName name="보호하">#REF!</definedName>
    <definedName name="복토">#REF!</definedName>
    <definedName name="부가가치세">#REF!</definedName>
    <definedName name="附加價値稅">#REF!</definedName>
    <definedName name="부가세율">#REF!</definedName>
    <definedName name="부대공">#REF!</definedName>
    <definedName name="부설비">#REF!</definedName>
    <definedName name="부표목록">BlankMacro1</definedName>
    <definedName name="브라켓길이1">#REF!</definedName>
    <definedName name="브라켓길이2">#REF!</definedName>
    <definedName name="브라켓높이1">#REF!</definedName>
    <definedName name="브라켓높이2">#REF!</definedName>
    <definedName name="브라켓폭">#REF!</definedName>
    <definedName name="브이c">#REF!</definedName>
    <definedName name="블록H">#REF!</definedName>
    <definedName name="블록V">#REF!</definedName>
    <definedName name="비_계_공">#REF!</definedName>
    <definedName name="비계">#REF!</definedName>
    <definedName name="비계공001">#REF!</definedName>
    <definedName name="비계공002">#REF!</definedName>
    <definedName name="비계공011">#REF!</definedName>
    <definedName name="비계공982">#REF!</definedName>
    <definedName name="비계공991">#REF!</definedName>
    <definedName name="비계공992">#REF!</definedName>
    <definedName name="비계공단가">[8]관접합및부설!#REF!</definedName>
    <definedName name="비목1">#REF!</definedName>
    <definedName name="비목2">#REF!</definedName>
    <definedName name="비목3">#REF!</definedName>
    <definedName name="비목4">#REF!</definedName>
    <definedName name="비율">#REF!</definedName>
    <definedName name="ㅅ" hidden="1">{#N/A,#N/A,TRUE,"토적및재료집계";#N/A,#N/A,TRUE,"토적및재료집계";#N/A,#N/A,TRUE,"단위량"}</definedName>
    <definedName name="사급상수">#REF!</definedName>
    <definedName name="사급자재집계표">BlankMacro1</definedName>
    <definedName name="사업기간">#REF!</definedName>
    <definedName name="사업자관리비">#REF!</definedName>
    <definedName name="사업자상수도인건비">#REF!</definedName>
    <definedName name="사업자인건비용">#REF!</definedName>
    <definedName name="사업자인건비할인율">#REF!</definedName>
    <definedName name="사업자인력관리비">#REF!</definedName>
    <definedName name="사업자입력인건비">#REF!</definedName>
    <definedName name="사업자하수도인건비">#REF!</definedName>
    <definedName name="사용인감">#REF!</definedName>
    <definedName name="사용인감계">#REF!</definedName>
    <definedName name="사인일위">#REF!</definedName>
    <definedName name="사진매수">#REF!</definedName>
    <definedName name="사철나무H1.2">#REF!</definedName>
    <definedName name="사하중1">#REF!</definedName>
    <definedName name="사하중2">#REF!</definedName>
    <definedName name="사하중3">#REF!</definedName>
    <definedName name="사하중4">#REF!</definedName>
    <definedName name="사호표">#REF!</definedName>
    <definedName name="사후환경">[10]직접인건비!#REF!</definedName>
    <definedName name="산">BlankMacro1</definedName>
    <definedName name="산보">#REF!</definedName>
    <definedName name="산악지비율">#REF!</definedName>
    <definedName name="산업">[10]직접인건비!#REF!</definedName>
    <definedName name="산지간지">BlankMacro1</definedName>
    <definedName name="산출">BlankMacro1</definedName>
    <definedName name="산출근거">[0]!BlankMacro1</definedName>
    <definedName name="산출근거1">BlankMacro1</definedName>
    <definedName name="산출근거2">BlankMacro1</definedName>
    <definedName name="산출근거표지1">BlankMacro1</definedName>
    <definedName name="산출내역">#REF!</definedName>
    <definedName name="산출냐역">#REF!</definedName>
    <definedName name="삼호표">#REF!</definedName>
    <definedName name="상각비">#REF!</definedName>
    <definedName name="상급원자력기술자001">#REF!</definedName>
    <definedName name="상급원자력기술자002">#REF!</definedName>
    <definedName name="상급원자력기술자011">#REF!</definedName>
    <definedName name="상급원자력기술자982">#REF!</definedName>
    <definedName name="상급원자력기술자991">#REF!</definedName>
    <definedName name="상급원자력기술자992">#REF!</definedName>
    <definedName name="상부1">#REF!</definedName>
    <definedName name="상부2">#REF!</definedName>
    <definedName name="상부슬라브">#REF!</definedName>
    <definedName name="상세요구">#REF!</definedName>
    <definedName name="상수도시설계수">#REF!</definedName>
    <definedName name="상수도연장">#REF!</definedName>
    <definedName name="상수도인일">#REF!</definedName>
    <definedName name="상수연장">#REF!</definedName>
    <definedName name="상수작업연장">#REF!</definedName>
    <definedName name="상수적용율">#REF!</definedName>
    <definedName name="상수조사">BlankMacro1</definedName>
    <definedName name="상수지형계수">#REF!</definedName>
    <definedName name="상하수">BlankMacro1</definedName>
    <definedName name="새">#N/A</definedName>
    <definedName name="새이름">#REF!</definedName>
    <definedName name="새이름2" hidden="1">#REF!</definedName>
    <definedName name="샘플러">[12]기초단가!$B$31</definedName>
    <definedName name="샷_시_공">#REF!</definedName>
    <definedName name="샷시공001">#REF!</definedName>
    <definedName name="샷시공002">#REF!</definedName>
    <definedName name="샷시공011">#REF!</definedName>
    <definedName name="샷시공982">#REF!</definedName>
    <definedName name="샷시공991">#REF!</definedName>
    <definedName name="샷시공992">#REF!</definedName>
    <definedName name="서양측백H3.0">#REF!</definedName>
    <definedName name="석_공">#REF!</definedName>
    <definedName name="석공001">#REF!</definedName>
    <definedName name="석공002">#REF!</definedName>
    <definedName name="석공011">#REF!</definedName>
    <definedName name="석공982">#REF!</definedName>
    <definedName name="석공991">#REF!</definedName>
    <definedName name="석공992">#REF!</definedName>
    <definedName name="석조각공001">#REF!</definedName>
    <definedName name="석조각공002">#REF!</definedName>
    <definedName name="석조각공011">#REF!</definedName>
    <definedName name="석조각공982">#REF!</definedName>
    <definedName name="석조각공991">#REF!</definedName>
    <definedName name="석조각공992">#REF!</definedName>
    <definedName name="선관">#REF!</definedName>
    <definedName name="선부001">#REF!</definedName>
    <definedName name="선부002">#REF!</definedName>
    <definedName name="선부011">#REF!</definedName>
    <definedName name="선부982">#REF!</definedName>
    <definedName name="선부991">#REF!</definedName>
    <definedName name="선부992">#REF!</definedName>
    <definedName name="선택층포설다짐">[8]단가!$C$80</definedName>
    <definedName name="설계">#REF!</definedName>
    <definedName name="설계간지">BlankMacro1</definedName>
    <definedName name="설계자문비">#REF!</definedName>
    <definedName name="설계표지">#REF!</definedName>
    <definedName name="성과심사비">#REF!</definedName>
    <definedName name="성과심사비율">#REF!</definedName>
    <definedName name="소나무H2.5">#REF!</definedName>
    <definedName name="소나무H3.0">#REF!</definedName>
    <definedName name="소나무H4.0">#REF!</definedName>
    <definedName name="소나무H5.0">#REF!</definedName>
    <definedName name="소요매수">#REF!</definedName>
    <definedName name="소요작업량">#REF!</definedName>
    <definedName name="소용매수">#REF!</definedName>
    <definedName name="소음진동">#REF!</definedName>
    <definedName name="소프트웨어개발인일">#REF!</definedName>
    <definedName name="속고기">#REF!</definedName>
    <definedName name="속성파일작성비용">#REF!</definedName>
    <definedName name="속중기">#REF!</definedName>
    <definedName name="속중능">#REF!</definedName>
    <definedName name="속초기">#REF!</definedName>
    <definedName name="손해배상보험료">#REF!</definedName>
    <definedName name="송전전공001">#REF!</definedName>
    <definedName name="송전전공002">#REF!</definedName>
    <definedName name="송전전공011">#REF!</definedName>
    <definedName name="송전전공982">#REF!</definedName>
    <definedName name="송전전공991">#REF!</definedName>
    <definedName name="송전전공992">#REF!</definedName>
    <definedName name="송전환선전공011">#REF!</definedName>
    <definedName name="송전활선전공001">#REF!</definedName>
    <definedName name="송전활선전공002">#REF!</definedName>
    <definedName name="송전활선전공982">#REF!</definedName>
    <definedName name="송전활선전공991">#REF!</definedName>
    <definedName name="송전활선전공992">#REF!</definedName>
    <definedName name="수" hidden="1">#REF!</definedName>
    <definedName name="수동레이어">#REF!</definedName>
    <definedName name="수동물수">#REF!</definedName>
    <definedName name="수동일수">#REF!</definedName>
    <definedName name="수동지형계수">#REF!</definedName>
    <definedName name="수량">#REF!</definedName>
    <definedName name="수량산출2">#REF!</definedName>
    <definedName name="수리수문">[10]직접인건비!#REF!</definedName>
    <definedName name="수목">BlankMacro1</definedName>
    <definedName name="수수꽃다리H1.8">#REF!</definedName>
    <definedName name="수압1">#REF!</definedName>
    <definedName name="수압2">#REF!</definedName>
    <definedName name="수압3">#REF!</definedName>
    <definedName name="수요간지">BlankMacro1</definedName>
    <definedName name="수중_토사">#REF!</definedName>
    <definedName name="수질">#REF!</definedName>
    <definedName name="숙박비">[2]설계기준!#REF!</definedName>
    <definedName name="純工事原價">#REF!</definedName>
    <definedName name="쉬트상">#REF!</definedName>
    <definedName name="쉬트시">#REF!</definedName>
    <definedName name="쉬트측">#REF!</definedName>
    <definedName name="쉬트하">#REF!</definedName>
    <definedName name="슈">[12]기초단가!$B$30</definedName>
    <definedName name="스크린">#REF!</definedName>
    <definedName name="스텝">#REF!</definedName>
    <definedName name="습윤">#REF!</definedName>
    <definedName name="시가지비율">#REF!</definedName>
    <definedName name="시공측량사001">#REF!</definedName>
    <definedName name="시공측량사002">#REF!</definedName>
    <definedName name="시공측량사011">#REF!</definedName>
    <definedName name="시공측량사982">#REF!</definedName>
    <definedName name="시공측량사991">#REF!</definedName>
    <definedName name="시공측량사992">#REF!</definedName>
    <definedName name="시공측량사조수001">#REF!</definedName>
    <definedName name="시공측량사조수002">#REF!</definedName>
    <definedName name="시공측량사조수011">#REF!</definedName>
    <definedName name="시공측량사조수982">#REF!</definedName>
    <definedName name="시공측량사조수991">#REF!</definedName>
    <definedName name="시공측량사조수992">#REF!</definedName>
    <definedName name="시급자재집계표0623">BlankMacro1</definedName>
    <definedName name="시기목">BlankMacro1</definedName>
    <definedName name="시멘트10">BlankMacro1</definedName>
    <definedName name="시멘트6">BlankMacro1</definedName>
    <definedName name="시방">#REF!</definedName>
    <definedName name="시방1">#REF!</definedName>
    <definedName name="시비량">BlankMacro1</definedName>
    <definedName name="시설구조일수">#REF!</definedName>
    <definedName name="시설정위치지형계수">#REF!</definedName>
    <definedName name="시중노임">#REF!</definedName>
    <definedName name="시중노임1">#N/A</definedName>
    <definedName name="시험관련기사_시험사1급001">#REF!</definedName>
    <definedName name="시험관련기사_시험사1급002">#REF!</definedName>
    <definedName name="시험관련기사_시험사1급011">#REF!</definedName>
    <definedName name="시험관련기사_시험사1급982">#REF!</definedName>
    <definedName name="시험관련기사_시험사1급991">#REF!</definedName>
    <definedName name="시험관련기사_시험사1급992">#REF!</definedName>
    <definedName name="시험관련산업기사_2급001">#REF!</definedName>
    <definedName name="시험관련산업기사_2급002">#REF!</definedName>
    <definedName name="시험관련산업기사_2급011">#REF!</definedName>
    <definedName name="시험관련산업기사_2급982">#REF!</definedName>
    <definedName name="시험관련산업기사_2급991">#REF!</definedName>
    <definedName name="시험관련산업기사_2급992">#REF!</definedName>
    <definedName name="시험보조수001">#REF!</definedName>
    <definedName name="시험보조수002">#REF!</definedName>
    <definedName name="시험보조수011">#REF!</definedName>
    <definedName name="시험보조수982">#REF!</definedName>
    <definedName name="시험보조수991">#REF!</definedName>
    <definedName name="시험보조수992">#REF!</definedName>
    <definedName name="시험설치">#REF!</definedName>
    <definedName name="식비">[2]설계기준!#REF!</definedName>
    <definedName name="식재면적2">BlankMacro1</definedName>
    <definedName name="신축이음각도">#REF!</definedName>
    <definedName name="신축이음갯수">#REF!</definedName>
    <definedName name="신호기">[0]!신호기</definedName>
    <definedName name="실시설계">#REF!</definedName>
    <definedName name="실시설계비">#REF!</definedName>
    <definedName name="실시적용">#REF!</definedName>
    <definedName name="실시적용1">#REF!</definedName>
    <definedName name="실시적용2">#REF!</definedName>
    <definedName name="실업보통인력비율">#REF!</definedName>
    <definedName name="실업인건계수">#REF!</definedName>
    <definedName name="실업인력비율">#REF!</definedName>
    <definedName name="실업인력인일">#REF!</definedName>
    <definedName name="실업자상수도인건비">#REF!</definedName>
    <definedName name="실업자인건비">#REF!</definedName>
    <definedName name="실업자입력인건비">#REF!</definedName>
    <definedName name="실업자하수도인건비">#REF!</definedName>
    <definedName name="실업전문인력비율">#REF!</definedName>
    <definedName name="씨">#REF!</definedName>
    <definedName name="씨그마ck">#REF!</definedName>
    <definedName name="씨그마y">#REF!</definedName>
    <definedName name="ㅇ">#REF!</definedName>
    <definedName name="ㅇㄴㄹㄴㅇㄹ">[0]!ㅇㄴㄹㄴㅇㄹ</definedName>
    <definedName name="ㅇㄹㄹ" hidden="1">#REF!</definedName>
    <definedName name="ㅇㄹㅇㄹ">#REF!</definedName>
    <definedName name="ㅇㅇ">BlankMacro1</definedName>
    <definedName name="ㅇㅇㅇ">BlankMacro1</definedName>
    <definedName name="ㅇㅇㅇㅇ">BlankMacro1</definedName>
    <definedName name="ㅇㅇㅇㅇㅇ">BlankMacro1</definedName>
    <definedName name="ㅇㅇㅇㅇㅇㅇ">BlankMacro1</definedName>
    <definedName name="ㅇㅇㅇㅇㅇㅇㅇ">BlankMacro1</definedName>
    <definedName name="ㅇㅇㅇㅇㅇㅇㅇㅇ">BlankMacro1</definedName>
    <definedName name="ㅇㅇㅇㅇㅇㅇㅇㅇㅇ">BlankMacro1</definedName>
    <definedName name="아">#REF!</definedName>
    <definedName name="아스콘">#REF!</definedName>
    <definedName name="아스콘1">#REF!</definedName>
    <definedName name="아스콘2">#REF!</definedName>
    <definedName name="아스팔트">#REF!</definedName>
    <definedName name="아아">BlankMacro1</definedName>
    <definedName name="아왜나무H2.5">#REF!</definedName>
    <definedName name="악취">[10]직접인건비!#REF!</definedName>
    <definedName name="안길1">#REF!</definedName>
    <definedName name="안전">#REF!</definedName>
    <definedName name="알d">#REF!</definedName>
    <definedName name="알파1">#REF!</definedName>
    <definedName name="알파2">#REF!</definedName>
    <definedName name="암거구조물공">#REF!</definedName>
    <definedName name="암거구조물자재대">#REF!</definedName>
    <definedName name="암거단위수량1">#REF!</definedName>
    <definedName name="암거단위수량2">#REF!</definedName>
    <definedName name="암거토공">#REF!</definedName>
    <definedName name="앨c">#REF!</definedName>
    <definedName name="앨e">#REF!</definedName>
    <definedName name="언어보정계수">#REF!</definedName>
    <definedName name="업무용차량산출근거">[0]!BlankMacro1</definedName>
    <definedName name="업체SW개발비">#REF!</definedName>
    <definedName name="업체인력비율">#REF!</definedName>
    <definedName name="여비">[2]설계기준!#REF!</definedName>
    <definedName name="연구">#REF!</definedName>
    <definedName name="연구보">#REF!</definedName>
    <definedName name="연구보조원">#REF!</definedName>
    <definedName name="연구원">#REF!</definedName>
    <definedName name="연마공001">#REF!</definedName>
    <definedName name="연마공002">#REF!</definedName>
    <definedName name="연마공011">#REF!</definedName>
    <definedName name="연마공982">#REF!</definedName>
    <definedName name="연마공991">#REF!</definedName>
    <definedName name="연마공992">#REF!</definedName>
    <definedName name="연장">[2]설계기준!#REF!</definedName>
    <definedName name="연장2">#REF!</definedName>
    <definedName name="연접물량">[0]!연접물량</definedName>
    <definedName name="영산홍H0.3">#REF!</definedName>
    <definedName name="오수단위수량1">#REF!</definedName>
    <definedName name="오수단위수량2">#REF!</definedName>
    <definedName name="오수돈">#REF!</definedName>
    <definedName name="오수돈2">#REF!</definedName>
    <definedName name="오수맨홀수량2">#REF!</definedName>
    <definedName name="오수맨홀집계">#REF!</definedName>
    <definedName name="옥향H0.5">#REF!</definedName>
    <definedName name="옹2되">#REF!</definedName>
    <definedName name="옹2부">#REF!</definedName>
    <definedName name="옹2블캡">#REF!</definedName>
    <definedName name="옹2블표">#REF!</definedName>
    <definedName name="옹2상">#REF!</definedName>
    <definedName name="옹2속">#REF!</definedName>
    <definedName name="옹2잔">#REF!</definedName>
    <definedName name="옹2잡">#REF!</definedName>
    <definedName name="옹2지1">#REF!</definedName>
    <definedName name="옹2지2">#REF!</definedName>
    <definedName name="옹2지3">#REF!</definedName>
    <definedName name="옹2터">#REF!</definedName>
    <definedName name="옹2합">#REF!</definedName>
    <definedName name="옹되">#REF!</definedName>
    <definedName name="옹벽공">#REF!</definedName>
    <definedName name="옹부">#REF!</definedName>
    <definedName name="옹블캡">#REF!</definedName>
    <definedName name="옹블표">#REF!</definedName>
    <definedName name="옹상">#REF!</definedName>
    <definedName name="옹속">#REF!</definedName>
    <definedName name="옹잔">#REF!</definedName>
    <definedName name="옹잡">#REF!</definedName>
    <definedName name="옹지1">#REF!</definedName>
    <definedName name="옹지2">#REF!</definedName>
    <definedName name="옹지3">#REF!</definedName>
    <definedName name="옹터">#REF!</definedName>
    <definedName name="옹합">#REF!</definedName>
    <definedName name="와촌면">#REF!</definedName>
    <definedName name="왕벚나무H4.5">#REF!</definedName>
    <definedName name="외벽">#REF!</definedName>
    <definedName name="외벽1">#REF!</definedName>
    <definedName name="외벽2">#REF!</definedName>
    <definedName name="요약문">[10]직접인건비!#REF!</definedName>
    <definedName name="요율표">#REF!</definedName>
    <definedName name="용접공_일반001">#REF!</definedName>
    <definedName name="용접공_일반002">#REF!</definedName>
    <definedName name="용접공_일반011">#REF!</definedName>
    <definedName name="용접공_일반982">#REF!</definedName>
    <definedName name="용접공_일반991">#REF!</definedName>
    <definedName name="용접공_일반992">#REF!</definedName>
    <definedName name="용접공_철도001">#REF!</definedName>
    <definedName name="용접공_철도002">#REF!</definedName>
    <definedName name="용접공_철도011">#REF!</definedName>
    <definedName name="용접공_철도982">#REF!</definedName>
    <definedName name="용접공_철도991">#REF!</definedName>
    <definedName name="용접공_철도992">#REF!</definedName>
    <definedName name="용접공단가">[8]관접합및부설!#REF!</definedName>
    <definedName name="용지단가">#REF!</definedName>
    <definedName name="용지수량">#REF!</definedName>
    <definedName name="우수돈">#REF!</definedName>
    <definedName name="우수돈2">#REF!</definedName>
    <definedName name="운반거리">#REF!</definedName>
    <definedName name="운반산출">#REF!</definedName>
    <definedName name="운전사">#REF!</definedName>
    <definedName name="운전사_기계001">#REF!</definedName>
    <definedName name="운전사_기계002">#REF!</definedName>
    <definedName name="운전사_기계011">#REF!</definedName>
    <definedName name="운전사_기계982">#REF!</definedName>
    <definedName name="운전사_기계991">#REF!</definedName>
    <definedName name="운전사_기계992">#REF!</definedName>
    <definedName name="운전사_운반차001">#REF!</definedName>
    <definedName name="운전사_운반차002">#REF!</definedName>
    <definedName name="운전사_운반차011">#REF!</definedName>
    <definedName name="운전사_운반차982">#REF!</definedName>
    <definedName name="운전사_운반차991">#REF!</definedName>
    <definedName name="운전사_운반차992">#REF!</definedName>
    <definedName name="원가">#REF!</definedName>
    <definedName name="원가계산">#REF!</definedName>
    <definedName name="원가계산서">#REF!</definedName>
    <definedName name="원자력계장공001">#REF!</definedName>
    <definedName name="원자력계장공002">#REF!</definedName>
    <definedName name="원자력계장공011">#REF!</definedName>
    <definedName name="원자력계장공982">#REF!</definedName>
    <definedName name="원자력계장공991">#REF!</definedName>
    <definedName name="원자력계장공992">#REF!</definedName>
    <definedName name="원자력기계설치공001">#REF!</definedName>
    <definedName name="원자력기계설치공002">#REF!</definedName>
    <definedName name="원자력기계설치공011">#REF!</definedName>
    <definedName name="원자력기계설치공982">#REF!</definedName>
    <definedName name="원자력기계설치공991">#REF!</definedName>
    <definedName name="원자력기계설치공992">#REF!</definedName>
    <definedName name="원자력기술자001">#REF!</definedName>
    <definedName name="원자력기술자002">#REF!</definedName>
    <definedName name="원자력기술자011">#REF!</definedName>
    <definedName name="원자력기술자982">#REF!</definedName>
    <definedName name="원자력기술자991">#REF!</definedName>
    <definedName name="원자력기술자992">#REF!</definedName>
    <definedName name="원자력덕트공001">#REF!</definedName>
    <definedName name="원자력덕트공002">#REF!</definedName>
    <definedName name="원자력덕트공011">#REF!</definedName>
    <definedName name="원자력덕트공982">#REF!</definedName>
    <definedName name="원자력덕트공991">#REF!</definedName>
    <definedName name="원자력덕트공992">#REF!</definedName>
    <definedName name="원자력배관공001">#REF!</definedName>
    <definedName name="원자력배관공002">#REF!</definedName>
    <definedName name="원자력배관공011">#REF!</definedName>
    <definedName name="원자력배관공982">#REF!</definedName>
    <definedName name="원자력배관공991">#REF!</definedName>
    <definedName name="원자력배관공992">#REF!</definedName>
    <definedName name="원자력보온공001">#REF!</definedName>
    <definedName name="원자력보온공002">#REF!</definedName>
    <definedName name="원자력보온공011">#REF!</definedName>
    <definedName name="원자력보온공982">#REF!</definedName>
    <definedName name="원자력보온공991">#REF!</definedName>
    <definedName name="원자력보온공992">#REF!</definedName>
    <definedName name="원자력용접공001">#REF!</definedName>
    <definedName name="원자력용접공002">#REF!</definedName>
    <definedName name="원자력용접공011">#REF!</definedName>
    <definedName name="원자력용접공982">#REF!</definedName>
    <definedName name="원자력용접공991">#REF!</definedName>
    <definedName name="원자력용접공992">#REF!</definedName>
    <definedName name="원자력제관공001">#REF!</definedName>
    <definedName name="원자력제관공002">#REF!</definedName>
    <definedName name="원자력제관공011">#REF!</definedName>
    <definedName name="원자력제관공982">#REF!</definedName>
    <definedName name="원자력제관공991">#REF!</definedName>
    <definedName name="원자력제관공992">#REF!</definedName>
    <definedName name="원자력케이블전공001">#REF!</definedName>
    <definedName name="원자력케이블전공002">#REF!</definedName>
    <definedName name="원자력케이블전공011">#REF!</definedName>
    <definedName name="원자력케이블전공982">#REF!</definedName>
    <definedName name="원자력케이블전공991">#REF!</definedName>
    <definedName name="원자력케이블전공992">#REF!</definedName>
    <definedName name="원자력특별인부001">#REF!</definedName>
    <definedName name="원자력특별인부002">#REF!</definedName>
    <definedName name="원자력특별인부011">#REF!</definedName>
    <definedName name="원자력특별인부982">#REF!</definedName>
    <definedName name="원자력특별인부991">#REF!</definedName>
    <definedName name="원자력특별인부992">#REF!</definedName>
    <definedName name="원자력품질관리사001">#REF!</definedName>
    <definedName name="원자력품질관리사002">#REF!</definedName>
    <definedName name="원자력품질관리사011">#REF!</definedName>
    <definedName name="원자력품질관리사982">#REF!</definedName>
    <definedName name="원자력품질관리사991">#REF!</definedName>
    <definedName name="원자력품질관리사992">#REF!</definedName>
    <definedName name="원자력플랜트전공001">#REF!</definedName>
    <definedName name="원자력플랜트전공002">#REF!</definedName>
    <definedName name="원자력플랜트전공011">#REF!</definedName>
    <definedName name="원자력플랜트전공982">#REF!</definedName>
    <definedName name="원자력플랜트전공991">#REF!</definedName>
    <definedName name="원자력플랜트전공992">#REF!</definedName>
    <definedName name="월당일수">#REF!</definedName>
    <definedName name="위락경관">[10]직접인건비!#REF!</definedName>
    <definedName name="위생공001">#REF!</definedName>
    <definedName name="위생공002">#REF!</definedName>
    <definedName name="위생공011">#REF!</definedName>
    <definedName name="위생공982">#REF!</definedName>
    <definedName name="위생공991">#REF!</definedName>
    <definedName name="위생공992">#REF!</definedName>
    <definedName name="위생보건">[10]직접인건비!#REF!</definedName>
    <definedName name="유리공001">#REF!</definedName>
    <definedName name="유리공002">#REF!</definedName>
    <definedName name="유리공011">#REF!</definedName>
    <definedName name="유리공982">#REF!</definedName>
    <definedName name="유리공991">#REF!</definedName>
    <definedName name="유리공992">#REF!</definedName>
    <definedName name="육수동식물">[10]직접인건비!#REF!</definedName>
    <definedName name="육호표">#REF!</definedName>
    <definedName name="은행나무H3.5">#REF!</definedName>
    <definedName name="이">#REF!</definedName>
    <definedName name="이각B형">[13]일위대가!#REF!</definedName>
    <definedName name="이공구부가가치세">#REF!</definedName>
    <definedName name="이급측량사">[3]일위대가!#REF!</definedName>
    <definedName name="이삼">#REF!</definedName>
    <definedName name="이상">#REF!</definedName>
    <definedName name="利潤">#REF!</definedName>
    <definedName name="이윤율">#REF!</definedName>
    <definedName name="이재명">#REF!</definedName>
    <definedName name="이재명1">#REF!</definedName>
    <definedName name="이재명3">#REF!</definedName>
    <definedName name="이재명4">#REF!</definedName>
    <definedName name="이팝나무H3.5">#REF!</definedName>
    <definedName name="이호표">#REF!</definedName>
    <definedName name="인건비">#REF!</definedName>
    <definedName name="인구">[10]직접인건비!#REF!</definedName>
    <definedName name="인력">#REF!</definedName>
    <definedName name="인력2">#REF!</definedName>
    <definedName name="인력3">#REF!</definedName>
    <definedName name="인력관리">#REF!</definedName>
    <definedName name="인력관리비">#REF!</definedName>
    <definedName name="인력수">#REF!</definedName>
    <definedName name="인부">#REF!</definedName>
    <definedName name="인쇄량">#REF!</definedName>
    <definedName name="인쇄비">#REF!</definedName>
    <definedName name="인쇄수량">#REF!</definedName>
    <definedName name="인쇄양식">[0]!인쇄양식</definedName>
    <definedName name="인쇄영역">#REF!</definedName>
    <definedName name="인쇄영역2">#REF!</definedName>
    <definedName name="일급측량사">[3]일위대가!#REF!</definedName>
    <definedName name="一般管理費">#REF!</definedName>
    <definedName name="일반관리비율">#REF!</definedName>
    <definedName name="일수">#REF!</definedName>
    <definedName name="일위">#REF!,#REF!</definedName>
    <definedName name="일출력">#REF!</definedName>
    <definedName name="일호표">#REF!</definedName>
    <definedName name="임대면적">#REF!</definedName>
    <definedName name="임대비">#REF!</definedName>
    <definedName name="입력기간">#REF!</definedName>
    <definedName name="입력노임">#REF!</definedName>
    <definedName name="입력레이어">#REF!</definedName>
    <definedName name="입력물수">#REF!</definedName>
    <definedName name="입력일수">#REF!</definedName>
    <definedName name="입력작업량">#REF!</definedName>
    <definedName name="입력지형계수">#REF!</definedName>
    <definedName name="잉크가격">#REF!</definedName>
    <definedName name="잉크단가">#REF!</definedName>
    <definedName name="ㅈㅂ">#REF!</definedName>
    <definedName name="ㅈㅈ" hidden="1">#REF!</definedName>
    <definedName name="자">#REF!</definedName>
    <definedName name="자귀나무H3.0xR8">#REF!</definedName>
    <definedName name="자재">#REF!</definedName>
    <definedName name="작업계수">#REF!</definedName>
    <definedName name="작업량증감계수">#REF!</definedName>
    <definedName name="작업반장001">#REF!</definedName>
    <definedName name="작업반장002">#REF!</definedName>
    <definedName name="작업반장011">#REF!</definedName>
    <definedName name="작업반장982">#REF!</definedName>
    <definedName name="작업반장991">#REF!</definedName>
    <definedName name="작업반장992">#REF!</definedName>
    <definedName name="작업반장단가">[8]관접합및부설!#REF!</definedName>
    <definedName name="잔디">#REF!</definedName>
    <definedName name="잠수부001">#REF!</definedName>
    <definedName name="잠수부002">#REF!</definedName>
    <definedName name="잠수부011">#REF!</definedName>
    <definedName name="잠수부982">#REF!</definedName>
    <definedName name="잠수부991">#REF!</definedName>
    <definedName name="잠수부992">#REF!</definedName>
    <definedName name="장비가동시간">[8]관접합및부설!#REF!</definedName>
    <definedName name="장비부표">#REF!</definedName>
    <definedName name="장산교">#REF!</definedName>
    <definedName name="재">#REF!</definedName>
    <definedName name="재단가">#REF!</definedName>
    <definedName name="재료">#REF!</definedName>
    <definedName name="재료단가">#REF!</definedName>
    <definedName name="재료비">#REF!</definedName>
    <definedName name="材料費">#REF!</definedName>
    <definedName name="저감방안">[10]직접인건비!#REF!</definedName>
    <definedName name="저압케이블전공001">#REF!</definedName>
    <definedName name="저압케이블전공002">#REF!</definedName>
    <definedName name="저압케이블전공011">#REF!</definedName>
    <definedName name="저압케이블전공982">#REF!</definedName>
    <definedName name="저압케이블전공991">#REF!</definedName>
    <definedName name="저압케이블전공992">#REF!</definedName>
    <definedName name="저판">#REF!</definedName>
    <definedName name="저판두께">#REF!</definedName>
    <definedName name="적용1">#REF!</definedName>
    <definedName name="적용2">#REF!</definedName>
    <definedName name="적용3">#REF!</definedName>
    <definedName name="적용4">#REF!</definedName>
    <definedName name="적용5">#REF!</definedName>
    <definedName name="적용단가" localSheetId="28">'[1]2000노임기준'!#REF!</definedName>
    <definedName name="적용단가" localSheetId="29">'[1]2000노임기준'!#REF!</definedName>
    <definedName name="적용단가" localSheetId="30">'[1]2000노임기준'!#REF!</definedName>
    <definedName name="적용단가" localSheetId="31">'[1]2000노임기준'!#REF!</definedName>
    <definedName name="적용단가" localSheetId="32">'[1]2000노임기준'!#REF!</definedName>
    <definedName name="적용단가">'[1]2000노임기준'!#REF!</definedName>
    <definedName name="전기공사기사_전기공사기사1급001">#REF!</definedName>
    <definedName name="전기공사기사_전기공사기사1급002">#REF!</definedName>
    <definedName name="전기공사기사_전기공사기사1급011">#REF!</definedName>
    <definedName name="전기공사기사_전기공사기사1급982">#REF!</definedName>
    <definedName name="전기공사기사_전기공사기사1급991">#REF!</definedName>
    <definedName name="전기공사기사_전기공사기사1급992">#REF!</definedName>
    <definedName name="전기공사산업기사_전기공사기사2급001">#REF!</definedName>
    <definedName name="전기공사산업기사_전기공사기사2급002">#REF!</definedName>
    <definedName name="전기공사산업기사_전기공사기사2급011">#REF!</definedName>
    <definedName name="전기공사산업기사_전기공사기사2급982">#REF!</definedName>
    <definedName name="전기공사산업기사_전기공사기사2급991">#REF!</definedName>
    <definedName name="전기공사산업기사_전기공사기사2급992">#REF!</definedName>
    <definedName name="전력조사연장">#REF!</definedName>
    <definedName name="전문단가">#REF!</definedName>
    <definedName name="전문인력">#REF!</definedName>
    <definedName name="전문인력개발인건비">#REF!</definedName>
    <definedName name="전장">#REF!</definedName>
    <definedName name="전토압1">#REF!</definedName>
    <definedName name="전토압2">#REF!</definedName>
    <definedName name="전토압3">#REF!</definedName>
    <definedName name="전토압4">#REF!</definedName>
    <definedName name="절_단_공">#REF!</definedName>
    <definedName name="절단공001">#REF!</definedName>
    <definedName name="절단공002">#REF!</definedName>
    <definedName name="절단공011">#REF!</definedName>
    <definedName name="절단공982">#REF!</definedName>
    <definedName name="절단공991">#REF!</definedName>
    <definedName name="절단공992">#REF!</definedName>
    <definedName name="절사">#REF!</definedName>
    <definedName name="점멸기입력">[0]!점멸기입력</definedName>
    <definedName name="접속슬라브길이1">#REF!</definedName>
    <definedName name="접속슬라브길이2">#REF!</definedName>
    <definedName name="접속슬라브폭1">#REF!</definedName>
    <definedName name="접속슬라브폭2">#REF!</definedName>
    <definedName name="접속슬라브폭3">#REF!</definedName>
    <definedName name="접속슬라브폭4">#REF!</definedName>
    <definedName name="접속저판길이1">#REF!</definedName>
    <definedName name="접속저판길이2">#REF!</definedName>
    <definedName name="접속저판폭1">#REF!</definedName>
    <definedName name="접속저판폭2">#REF!</definedName>
    <definedName name="접속저판폭3">#REF!</definedName>
    <definedName name="접속저판폭4">#REF!</definedName>
    <definedName name="정보1급">#REF!</definedName>
    <definedName name="정보처리1급">#REF!</definedName>
    <definedName name="정비비">#REF!</definedName>
    <definedName name="정비사">#REF!</definedName>
    <definedName name="정위치시간당작업량">#REF!</definedName>
    <definedName name="정위치작업계수">#REF!</definedName>
    <definedName name="정위치작업량">#REF!</definedName>
    <definedName name="정위치작업일수">#REF!</definedName>
    <definedName name="정위치지형계수">#REF!</definedName>
    <definedName name="정위치편집작업증감계수">#REF!</definedName>
    <definedName name="정위치편집지형증감계수">#REF!</definedName>
    <definedName name="정위치편집축척별시간당작업량">#REF!</definedName>
    <definedName name="정지">#REF!</definedName>
    <definedName name="제">#REF!</definedName>
    <definedName name="제경">#REF!</definedName>
    <definedName name="제경비">#REF!</definedName>
    <definedName name="제경비율">#REF!</definedName>
    <definedName name="제도사">[3]일위대가!#REF!</definedName>
    <definedName name="제도사001">#REF!</definedName>
    <definedName name="제도사002">#REF!</definedName>
    <definedName name="제도사011">#REF!</definedName>
    <definedName name="제도사982">#REF!</definedName>
    <definedName name="제도사991">#REF!</definedName>
    <definedName name="제도사992">#REF!</definedName>
    <definedName name="제방설계용역비">[2]내역1!#REF!</definedName>
    <definedName name="제조">#REF!</definedName>
    <definedName name="제철축로공001">#REF!</definedName>
    <definedName name="제철축로공002">#REF!</definedName>
    <definedName name="제철축로공011">#REF!</definedName>
    <definedName name="제철축로공982">#REF!</definedName>
    <definedName name="제철축로공991">#REF!</definedName>
    <definedName name="제철축로공992">#REF!</definedName>
    <definedName name="조_적_공">#REF!</definedName>
    <definedName name="조경간지">BlankMacro1</definedName>
    <definedName name="조경공001">#REF!</definedName>
    <definedName name="조경공002">#REF!</definedName>
    <definedName name="조경공011">#REF!</definedName>
    <definedName name="조경공982">#REF!</definedName>
    <definedName name="조경공991">#REF!</definedName>
    <definedName name="조경공992">#REF!</definedName>
    <definedName name="조달수수료">#REF!</definedName>
    <definedName name="조력공001">#REF!</definedName>
    <definedName name="조력공002">#REF!</definedName>
    <definedName name="조력공011">#REF!</definedName>
    <definedName name="조력공982">#REF!</definedName>
    <definedName name="조력공991">#REF!</definedName>
    <definedName name="조력공992">#REF!</definedName>
    <definedName name="조림인부001">#REF!</definedName>
    <definedName name="조림인부002">#REF!</definedName>
    <definedName name="조림인부011">#REF!</definedName>
    <definedName name="조림인부982">#REF!</definedName>
    <definedName name="조림인부991">#REF!</definedName>
    <definedName name="조림인부992">#REF!</definedName>
    <definedName name="조사탐사기간">#REF!</definedName>
    <definedName name="조적공001">#REF!</definedName>
    <definedName name="조적공002">#REF!</definedName>
    <definedName name="조적공011">#REF!</definedName>
    <definedName name="조적공982">#REF!</definedName>
    <definedName name="조적공991">#REF!</definedName>
    <definedName name="조적공992">#REF!</definedName>
    <definedName name="조종사">#REF!</definedName>
    <definedName name="조합페인트">#REF!</definedName>
    <definedName name="종현">BlankMacro1</definedName>
    <definedName name="주거">[10]직접인건비!#REF!</definedName>
    <definedName name="주목H2.5">#REF!</definedName>
    <definedName name="주민">#REF!</definedName>
    <definedName name="주민생활">[10]직접인건비!#REF!</definedName>
    <definedName name="주민의견">[10]직접인건비!#REF!</definedName>
    <definedName name="주집">#REF!</definedName>
    <definedName name="주차장토공">#REF!</definedName>
    <definedName name="준공계">#REF!</definedName>
    <definedName name="준설선기관사001">#REF!</definedName>
    <definedName name="준설선기관사002">#REF!</definedName>
    <definedName name="준설선기관사982">#REF!</definedName>
    <definedName name="준설선기관사991">#REF!</definedName>
    <definedName name="준설선기관사992">#REF!</definedName>
    <definedName name="준설선기관장001">#REF!</definedName>
    <definedName name="준설선기관장002">#REF!</definedName>
    <definedName name="준설선기관장011">#REF!</definedName>
    <definedName name="준설선기관장982">#REF!</definedName>
    <definedName name="준설선기관장991">#REF!</definedName>
    <definedName name="준설선기관장992">#REF!</definedName>
    <definedName name="준설선선장001">#REF!</definedName>
    <definedName name="준설선선장002">#REF!</definedName>
    <definedName name="준설선선장011">#REF!</definedName>
    <definedName name="준설선선장982">#REF!</definedName>
    <definedName name="준설선선장991">#REF!</definedName>
    <definedName name="준설선선장992">#REF!</definedName>
    <definedName name="준설선운전사001">#REF!</definedName>
    <definedName name="준설선운전사002">#REF!</definedName>
    <definedName name="준설선운전사982">#REF!</definedName>
    <definedName name="준설선운전사991">#REF!</definedName>
    <definedName name="준설선운전사992">#REF!</definedName>
    <definedName name="준설선전기사001">#REF!</definedName>
    <definedName name="준설선전기사002">#REF!</definedName>
    <definedName name="준설선전기사982">#REF!</definedName>
    <definedName name="준설선전기사991">#REF!</definedName>
    <definedName name="준설선전기사992">#REF!</definedName>
    <definedName name="준설설기관사011">#REF!</definedName>
    <definedName name="준설설운전기사011">#REF!</definedName>
    <definedName name="준설설운전사011">#REF!</definedName>
    <definedName name="준설설전기사011">#REF!</definedName>
    <definedName name="줄눈공001">#REF!</definedName>
    <definedName name="줄눈공002">#REF!</definedName>
    <definedName name="줄눈공011">#REF!</definedName>
    <definedName name="줄눈공982">#REF!</definedName>
    <definedName name="줄눈공991">#REF!</definedName>
    <definedName name="줄눈공992">#REF!</definedName>
    <definedName name="중">#REF!</definedName>
    <definedName name="중급">#REF!</definedName>
    <definedName name="중급2">#REF!</definedName>
    <definedName name="중급기능">#REF!</definedName>
    <definedName name="중급기능사">[3]일위대가!#REF!</definedName>
    <definedName name="중급기능사노임">#REF!</definedName>
    <definedName name="중급기술자">#REF!</definedName>
    <definedName name="중급기술자노임">#REF!</definedName>
    <definedName name="중급단가" localSheetId="21">'[5]기본설계(단지)'!$G$84</definedName>
    <definedName name="중급단가">'6-1.기초DATA 입력'!$G$47</definedName>
    <definedName name="중급단가2" localSheetId="21">'[5]실시설계(단지)'!$G$90</definedName>
    <definedName name="중급단가2">'[6](실시설계)적용수량 산출근거'!#REF!</definedName>
    <definedName name="중급단가3" localSheetId="21">'[5]기본및실시설계(단지)'!$G$90</definedName>
    <definedName name="중급단가3">'[7]기본및실시설계(단지)'!$G$90</definedName>
    <definedName name="중급단가3_1">'6-1.기초DATA 입력'!$G$47</definedName>
    <definedName name="중급도화">#REF!</definedName>
    <definedName name="중급보링">#REF!</definedName>
    <definedName name="중급엔지니어링">#REF!</definedName>
    <definedName name="중급여비">#REF!</definedName>
    <definedName name="중급원자력기술자001">#REF!</definedName>
    <definedName name="중급원자력기술자002">#REF!</definedName>
    <definedName name="중급원자력기술자011">#REF!</definedName>
    <definedName name="중급원자력기술자982">#REF!</definedName>
    <definedName name="중급원자력기술자991">#REF!</definedName>
    <definedName name="중급원자력기술자992">#REF!</definedName>
    <definedName name="중급임금">#REF!</definedName>
    <definedName name="중급전체">#REF!</definedName>
    <definedName name="중급지도제작">#REF!</definedName>
    <definedName name="중급측량">#REF!</definedName>
    <definedName name="중급항공사진">#REF!</definedName>
    <definedName name="중기">#REF!</definedName>
    <definedName name="중능">#REF!</definedName>
    <definedName name="중대가시설2">#N/A</definedName>
    <definedName name="중량집게표">BlankMacro1</definedName>
    <definedName name="중술">#REF!</definedName>
    <definedName name="지고능">#REF!</definedName>
    <definedName name="지구보정" localSheetId="21">'[5]기본설계(단지)'!$H$78</definedName>
    <definedName name="지구보정">'6-1.기초DATA 입력'!$H$40</definedName>
    <definedName name="지구보정2" localSheetId="21">'[5]실시설계(단지)'!$H$83</definedName>
    <definedName name="지구보정2">'[6](실시설계)적용수량 산출근거'!#REF!</definedName>
    <definedName name="지구보정3" localSheetId="21">'[5]기본및실시설계(단지)'!$H$83</definedName>
    <definedName name="지구보정3">'[7]기본및실시설계(단지)'!$H$83</definedName>
    <definedName name="지구보정3_1">'6-1.기초DATA 입력'!$H$40</definedName>
    <definedName name="지구특성3">'6-1.기초DATA 입력'!$H$40</definedName>
    <definedName name="지도제작고급">#REF!</definedName>
    <definedName name="지도제작중급">#REF!</definedName>
    <definedName name="지도제작초급">#REF!</definedName>
    <definedName name="지도중급기능">#REF!</definedName>
    <definedName name="지리조사지형증감계수">#REF!</definedName>
    <definedName name="지리조사축척계수">#REF!</definedName>
    <definedName name="지붕잇기공001">#REF!</definedName>
    <definedName name="지붕잇기공002">#REF!</definedName>
    <definedName name="지붕잇기공011">#REF!</definedName>
    <definedName name="지붕잇기공982">#REF!</definedName>
    <definedName name="지붕잇기공991">#REF!</definedName>
    <definedName name="지붕잇기공992">#REF!</definedName>
    <definedName name="지역보정" localSheetId="21">'[5]기본설계(단지)'!$H$69</definedName>
    <definedName name="지역보정">'6-1.기초DATA 입력'!$H$31</definedName>
    <definedName name="지역보정2" localSheetId="21">'[5]실시설계(단지)'!$H$74</definedName>
    <definedName name="지역보정2">'[6](실시설계)적용수량 산출근거'!#REF!</definedName>
    <definedName name="지역보정3" localSheetId="21">'[5]기본및실시설계(단지)'!$H$74</definedName>
    <definedName name="지역보정3">'[7]기본및실시설계(단지)'!$H$74</definedName>
    <definedName name="지역보정3_1">'6-1.기초DATA 입력'!$H$31</definedName>
    <definedName name="지역특성3">'6-1.기초DATA 입력'!$H$31</definedName>
    <definedName name="지용">#REF!</definedName>
    <definedName name="지적기능사_지적기능사2급001">#REF!</definedName>
    <definedName name="지적기능사_지적기능사2급002">#REF!</definedName>
    <definedName name="지적기능사_지적기능사2급011">#REF!</definedName>
    <definedName name="지적기능사_지적기능사2급982">#REF!</definedName>
    <definedName name="지적기능사_지적기능사2급991">#REF!</definedName>
    <definedName name="지적기능사_지적기능사2급992">#REF!</definedName>
    <definedName name="지적기능산업기사_지적기능사1급001">#REF!</definedName>
    <definedName name="지적기능산업기사_지적기능사1급002">#REF!</definedName>
    <definedName name="지적기능산업기사_지적기능사1급011">#REF!</definedName>
    <definedName name="지적기능산업기사_지적기능사1급982">#REF!</definedName>
    <definedName name="지적기능산업기사_지적기능사1급991">#REF!</definedName>
    <definedName name="지적기능산업기사_지적기능사1급992">#REF!</definedName>
    <definedName name="지적기사_지적기사1급001">#REF!</definedName>
    <definedName name="지적기사_지적기사1급002">#REF!</definedName>
    <definedName name="지적기사_지적기사1급011">#REF!</definedName>
    <definedName name="지적기사_지적기사1급982">#REF!</definedName>
    <definedName name="지적기사_지적기사1급991">#REF!</definedName>
    <definedName name="지적기사_지적기사1급992">#REF!</definedName>
    <definedName name="지적도복사">[2]설계기준!#REF!</definedName>
    <definedName name="지적도입력지형증감계수">#REF!</definedName>
    <definedName name="지적도입력축척계수">#REF!</definedName>
    <definedName name="지적산업기사_지적기사2급001">#REF!</definedName>
    <definedName name="지적산업기사_지적기사2급002">#REF!</definedName>
    <definedName name="지적산업기사_지적기사2급011">#REF!</definedName>
    <definedName name="지적산업기사_지적기사2급982">#REF!</definedName>
    <definedName name="지적산업기사_지적기사2급991">#REF!</definedName>
    <definedName name="지적산업기사_지적기사2급992">#REF!</definedName>
    <definedName name="지적입력지형계수">#REF!</definedName>
    <definedName name="지적입력축척계수">#REF!</definedName>
    <definedName name="지주">#N/A</definedName>
    <definedName name="지주목">BlankMacro1</definedName>
    <definedName name="지중능">#REF!</definedName>
    <definedName name="지초능">#REF!</definedName>
    <definedName name="지표수">#REF!</definedName>
    <definedName name="지하수">#REF!</definedName>
    <definedName name="지형구조작업량">#REF!</definedName>
    <definedName name="지형구조지형계수">#REF!</definedName>
    <definedName name="지형보정" localSheetId="21">'[5]기본설계(단지)'!$H$73</definedName>
    <definedName name="지형보정">'6-1.기초DATA 입력'!$H$35</definedName>
    <definedName name="지형보정2" localSheetId="21">'[5]실시설계(단지)'!$H$78</definedName>
    <definedName name="지형보정2">'[6](실시설계)적용수량 산출근거'!#REF!</definedName>
    <definedName name="지형보정3" localSheetId="21">'[5]기본및실시설계(단지)'!$H$78</definedName>
    <definedName name="지형보정3">'[7]기본및실시설계(단지)'!$H$78</definedName>
    <definedName name="지형보정3_1">'6-1.기초DATA 입력'!$H$35</definedName>
    <definedName name="지형증감계수">#REF!</definedName>
    <definedName name="지형지질">#REF!</definedName>
    <definedName name="지형특성3">'6-1.기초DATA 입력'!$H$35</definedName>
    <definedName name="직노">#REF!</definedName>
    <definedName name="직매54P" hidden="1">{#N/A,#N/A,TRUE,"토적및재료집계";#N/A,#N/A,TRUE,"토적및재료집계";#N/A,#N/A,TRUE,"단위량"}</definedName>
    <definedName name="직영비">#REF!</definedName>
    <definedName name="직인">#REF!</definedName>
    <definedName name="직인1">#REF!</definedName>
    <definedName name="직접경비총액">#REF!</definedName>
    <definedName name="직접인건비">#REF!</definedName>
    <definedName name="直接人件費">#REF!</definedName>
    <definedName name="직종">#REF!</definedName>
    <definedName name="진달래H0.6">#REF!</definedName>
    <definedName name="진량읍">#REF!</definedName>
    <definedName name="집계">#REF!</definedName>
    <definedName name="집계표">#REF!</definedName>
    <definedName name="ㅊ">#REF!</definedName>
    <definedName name="ㅊ3030">#REF!</definedName>
    <definedName name="차">#REF!</definedName>
    <definedName name="차수벽높이">#REF!</definedName>
    <definedName name="차수벽두께">#REF!</definedName>
    <definedName name="착암공001">#REF!</definedName>
    <definedName name="착암공002">#REF!</definedName>
    <definedName name="착암공011">#REF!</definedName>
    <definedName name="착암공982">#REF!</definedName>
    <definedName name="착암공991">#REF!</definedName>
    <definedName name="착암공992">#REF!</definedName>
    <definedName name="창호목공001">#REF!</definedName>
    <definedName name="창호목공002">#REF!</definedName>
    <definedName name="창호목공011">#REF!</definedName>
    <definedName name="창호목공982">#REF!</definedName>
    <definedName name="창호목공991">#REF!</definedName>
    <definedName name="창호목공992">#REF!</definedName>
    <definedName name="책임연">#REF!</definedName>
    <definedName name="책임연구원">#REF!</definedName>
    <definedName name="책임연구원공정">#REF!</definedName>
    <definedName name="책임측량사">[3]일위대가!#REF!</definedName>
    <definedName name="철거2">BlankMacro1</definedName>
    <definedName name="철골공001">#REF!</definedName>
    <definedName name="철골공002">#REF!</definedName>
    <definedName name="철골공011">#REF!</definedName>
    <definedName name="철골공982">#REF!</definedName>
    <definedName name="철골공991">#REF!</definedName>
    <definedName name="철골공992">#REF!</definedName>
    <definedName name="철공001">#REF!</definedName>
    <definedName name="철공002">#REF!</definedName>
    <definedName name="철공011">#REF!</definedName>
    <definedName name="철공982">#REF!</definedName>
    <definedName name="철공991">#REF!</definedName>
    <definedName name="철공992">#REF!</definedName>
    <definedName name="철근">#REF!</definedName>
    <definedName name="철근공001">#REF!</definedName>
    <definedName name="철근공002">#REF!</definedName>
    <definedName name="철근공011">#REF!</definedName>
    <definedName name="철근공982">#REF!</definedName>
    <definedName name="철근공991">#REF!</definedName>
    <definedName name="철근공992">#REF!</definedName>
    <definedName name="철근항복응력">#REF!</definedName>
    <definedName name="철도신호공001">#REF!</definedName>
    <definedName name="철도신호공002">#REF!</definedName>
    <definedName name="철도신호공011">#REF!</definedName>
    <definedName name="철도신호공982">#REF!</definedName>
    <definedName name="철도신호공991">#REF!</definedName>
    <definedName name="철도신호공992">#REF!</definedName>
    <definedName name="철콘">#REF!</definedName>
    <definedName name="철판공001">#REF!</definedName>
    <definedName name="철판공002">#REF!</definedName>
    <definedName name="철판공011">#REF!</definedName>
    <definedName name="철판공982">#REF!</definedName>
    <definedName name="철판공991">#REF!</definedName>
    <definedName name="철판공992">#REF!</definedName>
    <definedName name="청단풍H3.0">#REF!</definedName>
    <definedName name="청암">#REF!</definedName>
    <definedName name="초">#REF!</definedName>
    <definedName name="초급">#REF!</definedName>
    <definedName name="초급1">#REF!</definedName>
    <definedName name="초급2">#REF!</definedName>
    <definedName name="초급기능">#REF!</definedName>
    <definedName name="초급기능사">[3]일위대가!#REF!</definedName>
    <definedName name="초급기능사노임">#REF!</definedName>
    <definedName name="초급기술자">#REF!</definedName>
    <definedName name="초급기술자노임">#REF!</definedName>
    <definedName name="초급단가" localSheetId="21">'[5]기본설계(단지)'!$I$84</definedName>
    <definedName name="초급단가">'6-1.기초DATA 입력'!$I$47</definedName>
    <definedName name="초급단가2" localSheetId="21">'[5]실시설계(단지)'!$I$90</definedName>
    <definedName name="초급단가2">'[6](실시설계)적용수량 산출근거'!#REF!</definedName>
    <definedName name="초급단가3" localSheetId="21">'[5]기본및실시설계(단지)'!$I$90</definedName>
    <definedName name="초급단가3">'[7]기본및실시설계(단지)'!$I$90</definedName>
    <definedName name="초급단가3_1">'6-1.기초DATA 입력'!$I$47</definedName>
    <definedName name="초급도화">#REF!</definedName>
    <definedName name="초급엔지니어링">#REF!</definedName>
    <definedName name="초급지도제작">#REF!</definedName>
    <definedName name="초급측량">#REF!</definedName>
    <definedName name="초급항공사진">#REF!</definedName>
    <definedName name="초기">#REF!</definedName>
    <definedName name="초능">#REF!</definedName>
    <definedName name="초술">#REF!</definedName>
    <definedName name="총괄">#REF!</definedName>
    <definedName name="총스텝수">#REF!</definedName>
    <definedName name="총연장">#REF!</definedName>
    <definedName name="總原價">#REF!</definedName>
    <definedName name="총폭">#REF!</definedName>
    <definedName name="촬영기계경비">#REF!</definedName>
    <definedName name="촬영사">#REF!</definedName>
    <definedName name="축척작업량">#REF!</definedName>
    <definedName name="측고기">#REF!</definedName>
    <definedName name="측고능">#REF!</definedName>
    <definedName name="측고술">#REF!</definedName>
    <definedName name="측량">#REF!</definedName>
    <definedName name="측량고급">#REF!</definedName>
    <definedName name="측량내역">#REF!</definedName>
    <definedName name="측량내역서">#REF!</definedName>
    <definedName name="측량중급">#REF!</definedName>
    <definedName name="측량초급">#REF!</definedName>
    <definedName name="측량초급기능사">#REF!</definedName>
    <definedName name="측량특급">#REF!</definedName>
    <definedName name="측부">[3]일위대가!#REF!</definedName>
    <definedName name="측부001">#REF!</definedName>
    <definedName name="측부002">#REF!</definedName>
    <definedName name="측부011">#REF!</definedName>
    <definedName name="측부982">#REF!</definedName>
    <definedName name="측부991">#REF!</definedName>
    <definedName name="측부992">#REF!</definedName>
    <definedName name="측정경비">#REF!</definedName>
    <definedName name="측정업무">[10]직접인건비!#REF!</definedName>
    <definedName name="측중기">#REF!</definedName>
    <definedName name="측중능">#REF!</definedName>
    <definedName name="측중술">#REF!</definedName>
    <definedName name="측초기">#REF!</definedName>
    <definedName name="측초능">#REF!</definedName>
    <definedName name="측초술">#REF!</definedName>
    <definedName name="측특기">#REF!</definedName>
    <definedName name="측특술">#REF!</definedName>
    <definedName name="치_장_벽_돌_공">#REF!</definedName>
    <definedName name="치장벽돌공001">#REF!</definedName>
    <definedName name="치장벽돌공002">#REF!</definedName>
    <definedName name="치장벽돌공011">#REF!</definedName>
    <definedName name="치장벽돌공982">#REF!</definedName>
    <definedName name="치장벽돌공991">#REF!</definedName>
    <definedName name="치장벽돌공992">#REF!</definedName>
    <definedName name="칠호표">#REF!</definedName>
    <definedName name="ㅋ">#REF!</definedName>
    <definedName name="카">#REF!</definedName>
    <definedName name="케이블간지" hidden="1">{#N/A,#N/A,TRUE,"토적및재료집계";#N/A,#N/A,TRUE,"토적및재료집계";#N/A,#N/A,TRUE,"단위량"}</definedName>
    <definedName name="코_아_튜_브">[12]기초단가!$B$25</definedName>
    <definedName name="코킹공001">#REF!</definedName>
    <definedName name="코킹공002">#REF!</definedName>
    <definedName name="코킹공011">#REF!</definedName>
    <definedName name="코킹공982">#REF!</definedName>
    <definedName name="코킹공991">#REF!</definedName>
    <definedName name="코킹공992">#REF!</definedName>
    <definedName name="콘크리트공">#REF!</definedName>
    <definedName name="콘크리트공001">#REF!</definedName>
    <definedName name="콘크리트공002">#REF!</definedName>
    <definedName name="콘크리트공011">#REF!</definedName>
    <definedName name="콘크리트공982">#REF!</definedName>
    <definedName name="콘크리트공991">#REF!</definedName>
    <definedName name="콘크리트공992">#REF!</definedName>
    <definedName name="콘크리트공칭강도">#REF!</definedName>
    <definedName name="콘크리트타석">[2]설계기준!#REF!</definedName>
    <definedName name="콘크리트타설">[2]설계기준!#REF!</definedName>
    <definedName name="콘크리트포장">#REF!</definedName>
    <definedName name="크레인10톤단가">[8]관접합및부설!#REF!</definedName>
    <definedName name="크레인15TON단가">[8]관접합및부설!#REF!</definedName>
    <definedName name="크레인15톤단가">[8]관접합및부설!#REF!</definedName>
    <definedName name="크레인20톤단가">[8]관접합및부설!#REF!</definedName>
    <definedName name="ㅌ">#REF!</definedName>
    <definedName name="타">#REF!</definedName>
    <definedName name="타일공001">#REF!</definedName>
    <definedName name="타일공002">#REF!</definedName>
    <definedName name="타일공011">#REF!</definedName>
    <definedName name="타일공982">#REF!</definedName>
    <definedName name="타일공991">#REF!</definedName>
    <definedName name="타일공992">#REF!</definedName>
    <definedName name="탐사고급">#REF!</definedName>
    <definedName name="탐사보통">#REF!</definedName>
    <definedName name="탐사장비비">#REF!</definedName>
    <definedName name="탐사전문">#REF!</definedName>
    <definedName name="탐사중급">#REF!</definedName>
    <definedName name="탐지기댓수">#REF!</definedName>
    <definedName name="탐지기비용">#REF!</definedName>
    <definedName name="태산목H2.5">#REF!</definedName>
    <definedName name="택">[8]단가!$C$85</definedName>
    <definedName name="터파기">#REF!</definedName>
    <definedName name="터파기기계0.4경비">#REF!</definedName>
    <definedName name="터파기기계0.4노무비">#REF!</definedName>
    <definedName name="터파기기계0.4재료비">#REF!</definedName>
    <definedName name="템플리트모듈1">[0]!BlankMacro1</definedName>
    <definedName name="템플리트모듈10">BlankMacro1</definedName>
    <definedName name="템플리트모듈120">BlankMacro1</definedName>
    <definedName name="템플리트모듈2">[0]!BlankMacro1</definedName>
    <definedName name="템플리트모듈220">BlankMacro1</definedName>
    <definedName name="템플리트모듈3">[0]!BlankMacro1</definedName>
    <definedName name="템플리트모듈4">[0]!BlankMacro1</definedName>
    <definedName name="템플리트모듈5">[0]!BlankMacro1</definedName>
    <definedName name="템플리트모듈6">[0]!BlankMacro1</definedName>
    <definedName name="토목별표">#REF!</definedName>
    <definedName name="토사">#REF!</definedName>
    <definedName name="토사1">#REF!</definedName>
    <definedName name="토사2">#REF!</definedName>
    <definedName name="토사3">#REF!</definedName>
    <definedName name="토양">[10]직접인건비!#REF!</definedName>
    <definedName name="토양질">[10]직접경비!#REF!</definedName>
    <definedName name="토지">#REF!</definedName>
    <definedName name="토지이용">#REF!</definedName>
    <definedName name="토지적성평가">#REF!</definedName>
    <definedName name="토피">#REF!</definedName>
    <definedName name="통신관련기능사_통신기능사001">#REF!</definedName>
    <definedName name="통신관련기능사_통신기능사002">#REF!</definedName>
    <definedName name="통신관련기능사_통신기능사011">#REF!</definedName>
    <definedName name="통신관련기능사_통신기능사982">#REF!</definedName>
    <definedName name="통신관련기능사_통신기능사991">#REF!</definedName>
    <definedName name="통신관련기능사_통신기능사992">#REF!</definedName>
    <definedName name="통신관련기사_통신기사1급001">#REF!</definedName>
    <definedName name="통신관련기사_통신기사1급002">#REF!</definedName>
    <definedName name="통신관련기사_통신기사1급011">#REF!</definedName>
    <definedName name="통신관련기사_통신기사1급982">#REF!</definedName>
    <definedName name="통신관련기사_통신기사1급991">#REF!</definedName>
    <definedName name="통신관련기사_통신기사1급992">#REF!</definedName>
    <definedName name="통신관련산업기사_통신기사2급001">#REF!</definedName>
    <definedName name="통신관련산업기사_통신기사2급002">#REF!</definedName>
    <definedName name="통신관련산업기사_통신기사2급011">#REF!</definedName>
    <definedName name="통신관련산업기사_통신기사2급982">#REF!</definedName>
    <definedName name="통신관련산업기사_통신기사2급991">#REF!</definedName>
    <definedName name="통신관련산업기사_통신기사2급992">#REF!</definedName>
    <definedName name="통신구조일수">#REF!</definedName>
    <definedName name="통신내선공001">#REF!</definedName>
    <definedName name="통신내선공002">#REF!</definedName>
    <definedName name="통신내선공011">#REF!</definedName>
    <definedName name="통신내선공982">#REF!</definedName>
    <definedName name="통신내선공991">#REF!</definedName>
    <definedName name="통신내선공992">#REF!</definedName>
    <definedName name="통신설비공001">#REF!</definedName>
    <definedName name="통신설비공002">#REF!</definedName>
    <definedName name="통신설비공011">#REF!</definedName>
    <definedName name="통신설비공982">#REF!</definedName>
    <definedName name="통신설비공991">#REF!</definedName>
    <definedName name="통신설비공992">#REF!</definedName>
    <definedName name="통신외선공001">#REF!</definedName>
    <definedName name="통신외선공002">#REF!</definedName>
    <definedName name="통신외선공011">#REF!</definedName>
    <definedName name="통신외선공982">#REF!</definedName>
    <definedName name="통신외선공991">#REF!</definedName>
    <definedName name="통신외선공992">#REF!</definedName>
    <definedName name="통신정위치작업일수">#REF!</definedName>
    <definedName name="통신조사연장">#REF!</definedName>
    <definedName name="통신케이블공001">#REF!</definedName>
    <definedName name="통신케이블공002">#REF!</definedName>
    <definedName name="통신케이블공011">#REF!</definedName>
    <definedName name="통신케이블공982">#REF!</definedName>
    <definedName name="통신케이블공991">#REF!</definedName>
    <definedName name="통신케이블공992">#REF!</definedName>
    <definedName name="통신탐사연장">#REF!</definedName>
    <definedName name="통합">[0]!통합</definedName>
    <definedName name="퇴직">#REF!</definedName>
    <definedName name="퇴직공제부금비">#REF!</definedName>
    <definedName name="특">#REF!</definedName>
    <definedName name="특고압케이블전공001">#REF!</definedName>
    <definedName name="특고압케이블전공002">#REF!</definedName>
    <definedName name="특고압케이블전공011">#REF!</definedName>
    <definedName name="특고압케이블전공982">#REF!</definedName>
    <definedName name="특고압케이블전공991">#REF!</definedName>
    <definedName name="특고압케이블전공992">#REF!</definedName>
    <definedName name="특급">#REF!</definedName>
    <definedName name="특급2">#REF!</definedName>
    <definedName name="특급기술자">#REF!</definedName>
    <definedName name="특급기술자노임">#REF!</definedName>
    <definedName name="특급단가" localSheetId="21">'[5]기본설계(단지)'!$C$84</definedName>
    <definedName name="특급단가">'6-1.기초DATA 입력'!$C$47</definedName>
    <definedName name="특급단가2" localSheetId="21">'[5]실시설계(단지)'!$C$90</definedName>
    <definedName name="특급단가2">'[6](실시설계)적용수량 산출근거'!#REF!</definedName>
    <definedName name="특급단가3" localSheetId="21">'[5]기본및실시설계(단지)'!$C$90</definedName>
    <definedName name="특급단가3">'[7]기본및실시설계(단지)'!$C$90</definedName>
    <definedName name="특급단가3_1">'6-1.기초DATA 입력'!$C$47</definedName>
    <definedName name="특급엔지니어링">#REF!</definedName>
    <definedName name="특급원자력비파괴시험공001">#REF!</definedName>
    <definedName name="특급원자력비파괴시험공002">#REF!</definedName>
    <definedName name="특급원자력비파괴시험공011">#REF!</definedName>
    <definedName name="특급원자력비파괴시험공982">#REF!</definedName>
    <definedName name="특급원자력비파괴시험공991">#REF!</definedName>
    <definedName name="특급원자력비파괴시험공992">#REF!</definedName>
    <definedName name="특급전체">#REF!</definedName>
    <definedName name="특기">#REF!</definedName>
    <definedName name="특별">#REF!</definedName>
    <definedName name="특별인부">#REF!</definedName>
    <definedName name="특별인부001">#REF!</definedName>
    <definedName name="특별인부002">#REF!</definedName>
    <definedName name="특별인부011">#REF!</definedName>
    <definedName name="특별인부982">#REF!</definedName>
    <definedName name="특별인부991">#REF!</definedName>
    <definedName name="특별인부992">#REF!</definedName>
    <definedName name="특수비계공001">#REF!</definedName>
    <definedName name="특수비계공002">#REF!</definedName>
    <definedName name="특수비계공011">#REF!</definedName>
    <definedName name="특수비계공982">#REF!</definedName>
    <definedName name="특수비계공991">#REF!</definedName>
    <definedName name="특수비계공992">#REF!</definedName>
    <definedName name="특수인부">[3]일위대가!#REF!</definedName>
    <definedName name="특수화공001">#REF!</definedName>
    <definedName name="특수화공002">#REF!</definedName>
    <definedName name="특수화공011">#REF!</definedName>
    <definedName name="특수화공982">#REF!</definedName>
    <definedName name="특수화공991">#REF!</definedName>
    <definedName name="특수화공992">#REF!</definedName>
    <definedName name="특술">#REF!</definedName>
    <definedName name="특인">#REF!</definedName>
    <definedName name="파">#REF!</definedName>
    <definedName name="파이1">#REF!</definedName>
    <definedName name="파이2">#REF!</definedName>
    <definedName name="파일" hidden="1">#REF!</definedName>
    <definedName name="파일길이">#REF!</definedName>
    <definedName name="파일종갯수">#REF!</definedName>
    <definedName name="파일횡갯수">#REF!</definedName>
    <definedName name="판넬조립공001">#REF!</definedName>
    <definedName name="판넬조립공002">#REF!</definedName>
    <definedName name="판넬조립공011">#REF!</definedName>
    <definedName name="판넬조립공982">#REF!</definedName>
    <definedName name="판넬조립공991">#REF!</definedName>
    <definedName name="판넬조립공992">#REF!</definedName>
    <definedName name="팥배나무H3.0">#REF!</definedName>
    <definedName name="팽나무H4.0">#REF!</definedName>
    <definedName name="평가대기질">#REF!</definedName>
    <definedName name="평가소음진동">#REF!</definedName>
    <definedName name="평가항목">[10]직접인건비!#REF!</definedName>
    <definedName name="평균높이">#REF!</definedName>
    <definedName name="평당단가">#REF!</definedName>
    <definedName name="평면">#REF!</definedName>
    <definedName name="평면부표">#REF!</definedName>
    <definedName name="평면작업계수">#REF!</definedName>
    <definedName name="평면작업량증감계수">#REF!</definedName>
    <definedName name="평면지형계수">#REF!</definedName>
    <definedName name="평면지형증감계수">#REF!</definedName>
    <definedName name="폐기물">#REF!</definedName>
    <definedName name="포설공">#REF!</definedName>
    <definedName name="포설공001">#REF!</definedName>
    <definedName name="포설공002">#REF!</definedName>
    <definedName name="포설공011">#REF!</definedName>
    <definedName name="포설공982">#REF!</definedName>
    <definedName name="포설공991">#REF!</definedName>
    <definedName name="포설공992">#REF!</definedName>
    <definedName name="포장2">#REF!</definedName>
    <definedName name="포장공">#REF!</definedName>
    <definedName name="포장공001">#REF!</definedName>
    <definedName name="포장공002">#REF!</definedName>
    <definedName name="포장공011">#REF!</definedName>
    <definedName name="포장공982">#REF!</definedName>
    <definedName name="포장공991">#REF!</definedName>
    <definedName name="포장공992">#REF!</definedName>
    <definedName name="포장단산1">#REF!</definedName>
    <definedName name="포장절단">[8]단가!$C$79</definedName>
    <definedName name="포장파취">[8]단가!$C$81</definedName>
    <definedName name="포화">#REF!</definedName>
    <definedName name="폭">#REF!</definedName>
    <definedName name="표고작업량증감계수">#REF!</definedName>
    <definedName name="표고지형증감계수">#REF!</definedName>
    <definedName name="표석">[2]설계기준!#REF!</definedName>
    <definedName name="표오고지형증감계수">#REF!</definedName>
    <definedName name="표층포설">[8]단가!$C$82</definedName>
    <definedName name="품셈공종">[15]품셈TABLE!$C$2:$C$50</definedName>
    <definedName name="품셈단가">[15]품셈TABLE!$D$2:$D$50</definedName>
    <definedName name="프라임">[8]단가!$C$84</definedName>
    <definedName name="프로그램작성">#REF!</definedName>
    <definedName name="프린터대여비">#REF!</definedName>
    <definedName name="플랜트기계설치공001">#REF!</definedName>
    <definedName name="플랜트기계설치공002">#REF!</definedName>
    <definedName name="플랜트기계설치공011">#REF!</definedName>
    <definedName name="플랜트기계설치공982">#REF!</definedName>
    <definedName name="플랜트기계설치공991">#REF!</definedName>
    <definedName name="플랜트기계설치공992">#REF!</definedName>
    <definedName name="플랜트배관공001">#REF!</definedName>
    <definedName name="플랜트배관공002">#REF!</definedName>
    <definedName name="플랜트배관공011">#REF!</definedName>
    <definedName name="플랜트배관공982">#REF!</definedName>
    <definedName name="플랜트배관공991">#REF!</definedName>
    <definedName name="플랜트배관공992">#REF!</definedName>
    <definedName name="플랜트용접공001">#REF!</definedName>
    <definedName name="플랜트용접공002">#REF!</definedName>
    <definedName name="플랜트용접공011">#REF!</definedName>
    <definedName name="플랜트용접공982">#REF!</definedName>
    <definedName name="플랜트용접공991">#REF!</definedName>
    <definedName name="플랜트용접공992">#REF!</definedName>
    <definedName name="플랜트전공001">#REF!</definedName>
    <definedName name="플랜트전공002">#REF!</definedName>
    <definedName name="플랜트전공011">#REF!</definedName>
    <definedName name="플랜트전공982">#REF!</definedName>
    <definedName name="플랜트전공991">#REF!</definedName>
    <definedName name="플랜트전공992">#REF!</definedName>
    <definedName name="플랜트제관공001">#REF!</definedName>
    <definedName name="플랜트제관공002">#REF!</definedName>
    <definedName name="플랜트제관공011">#REF!</definedName>
    <definedName name="플랜트제관공982">#REF!</definedName>
    <definedName name="플랜트제관공991">#REF!</definedName>
    <definedName name="플랜트제관공992">#REF!</definedName>
    <definedName name="플랜트특수용접공001">#REF!</definedName>
    <definedName name="플랜트특수용접공002">#REF!</definedName>
    <definedName name="플랜트특수용접공011">#REF!</definedName>
    <definedName name="플랜트특수용접공982">#REF!</definedName>
    <definedName name="플랜트특수용접공991">#REF!</definedName>
    <definedName name="플랜트특수용접공992">#REF!</definedName>
    <definedName name="피라칸사스H1.5">#REF!</definedName>
    <definedName name="필지수">#REF!</definedName>
    <definedName name="ㅎ">#REF!</definedName>
    <definedName name="ㅎ314">#REF!</definedName>
    <definedName name="ㅎ384">#REF!</definedName>
    <definedName name="ㅎㄹ">#REF!</definedName>
    <definedName name="ㅎㅎ">#REF!</definedName>
    <definedName name="ㅎㅎㅎㅎ">#REF!</definedName>
    <definedName name="ㅎㅎㅎㅎㅎㅎ">#REF!</definedName>
    <definedName name="ㅎㅎㅎㅎㅎㅎㅎㅎㅎㅎㅎㅎㅎ">#REF!</definedName>
    <definedName name="하">#REF!</definedName>
    <definedName name="하5">#REF!</definedName>
    <definedName name="하6">#REF!</definedName>
    <definedName name="하7">#REF!</definedName>
    <definedName name="하8">#REF!</definedName>
    <definedName name="하도급1">#REF!</definedName>
    <definedName name="하도급2">#REF!</definedName>
    <definedName name="하도급3">#REF!</definedName>
    <definedName name="하도급4">#REF!</definedName>
    <definedName name="하도급5">#REF!</definedName>
    <definedName name="하도급6">#REF!</definedName>
    <definedName name="하도급사항">#REF!</definedName>
    <definedName name="하부">#REF!</definedName>
    <definedName name="하부슬라브">#REF!</definedName>
    <definedName name="하수">BlankMacro1</definedName>
    <definedName name="하수도시설계수">#REF!</definedName>
    <definedName name="하수도연장">#REF!</definedName>
    <definedName name="하수도인일">#REF!</definedName>
    <definedName name="하수도조사탐사기간">#REF!</definedName>
    <definedName name="하수연장">#REF!</definedName>
    <definedName name="하수적용율">#REF!</definedName>
    <definedName name="하수조사율">#REF!</definedName>
    <definedName name="하수지형계수">#REF!</definedName>
    <definedName name="하양읍">#REF!</definedName>
    <definedName name="하중">#REF!</definedName>
    <definedName name="하천연장">[16]단가!$I$4</definedName>
    <definedName name="하하">#REF!</definedName>
    <definedName name="학교">#REF!</definedName>
    <definedName name="학교2">#REF!</definedName>
    <definedName name="한식목공001">#REF!</definedName>
    <definedName name="한식목공002">#REF!</definedName>
    <definedName name="한식목공011">#REF!</definedName>
    <definedName name="한식목공982">#REF!</definedName>
    <definedName name="한식목공991">#REF!</definedName>
    <definedName name="한식목공992">#REF!</definedName>
    <definedName name="한식목공조공001">#REF!</definedName>
    <definedName name="한식목공조공002">#REF!</definedName>
    <definedName name="한식목공조공011">#REF!</definedName>
    <definedName name="한식목공조공982">#REF!</definedName>
    <definedName name="한식목공조공991">#REF!</definedName>
    <definedName name="한식목공조공992">#REF!</definedName>
    <definedName name="한식미장공001">#REF!</definedName>
    <definedName name="한식미장공002">#REF!</definedName>
    <definedName name="한식미장공011">#REF!</definedName>
    <definedName name="한식미장공982">#REF!</definedName>
    <definedName name="한식미장공991">#REF!</definedName>
    <definedName name="한식미장공992">#REF!</definedName>
    <definedName name="한식와공001">#REF!</definedName>
    <definedName name="한식와공002">#REF!</definedName>
    <definedName name="한식와공011">#REF!</definedName>
    <definedName name="한식와공982">#REF!</definedName>
    <definedName name="한식와공991">#REF!</definedName>
    <definedName name="한식와공992">#REF!</definedName>
    <definedName name="한식와공조공001">#REF!</definedName>
    <definedName name="한식와공조공002">#REF!</definedName>
    <definedName name="한식와공조공011">#REF!</definedName>
    <definedName name="한식와공조공982">#REF!</definedName>
    <definedName name="한식와공조공991">#REF!</definedName>
    <definedName name="한식와공조공992">#REF!</definedName>
    <definedName name="할석공001">#REF!</definedName>
    <definedName name="할석공002">#REF!</definedName>
    <definedName name="할석공982">#REF!</definedName>
    <definedName name="할석공991">#REF!</definedName>
    <definedName name="할석공992">#REF!</definedName>
    <definedName name="할증">#REF!</definedName>
    <definedName name="함석공001">#REF!</definedName>
    <definedName name="함석공002">#REF!</definedName>
    <definedName name="함석공011">#REF!</definedName>
    <definedName name="함석공982">#REF!</definedName>
    <definedName name="함석공991">#REF!</definedName>
    <definedName name="함석공992">#REF!</definedName>
    <definedName name="합계">#REF!</definedName>
    <definedName name="합판3">#REF!</definedName>
    <definedName name="합판6">#REF!</definedName>
    <definedName name="항">#REF!</definedName>
    <definedName name="항공사진고급">#REF!</definedName>
    <definedName name="항공사진중급">#REF!</definedName>
    <definedName name="항공사진초급">#REF!</definedName>
    <definedName name="항공정비사">#REF!</definedName>
    <definedName name="항목">#REF!</definedName>
    <definedName name="항목1">#REF!</definedName>
    <definedName name="항목10">#REF!</definedName>
    <definedName name="항목11">#REF!</definedName>
    <definedName name="항목12">#REF!</definedName>
    <definedName name="항목13">#REF!</definedName>
    <definedName name="항목14">#REF!</definedName>
    <definedName name="항목15">#REF!</definedName>
    <definedName name="항목16">#REF!</definedName>
    <definedName name="항목17">#REF!</definedName>
    <definedName name="항목18">#REF!</definedName>
    <definedName name="항목19">#REF!</definedName>
    <definedName name="항목2">#REF!</definedName>
    <definedName name="항목20">#REF!</definedName>
    <definedName name="항목3">#REF!</definedName>
    <definedName name="항목4">#REF!</definedName>
    <definedName name="항목5">#REF!</definedName>
    <definedName name="항목55">#REF!</definedName>
    <definedName name="항목6">[17]지구단위계획!$T$15</definedName>
    <definedName name="항목7">#REF!</definedName>
    <definedName name="항목77">#REF!</definedName>
    <definedName name="항목8">#REF!</definedName>
    <definedName name="항목9">#REF!</definedName>
    <definedName name="항목별평가">#REF!</definedName>
    <definedName name="항목원">#REF!</definedName>
    <definedName name="항목파이브">#REF!</definedName>
    <definedName name="항법사">#REF!</definedName>
    <definedName name="해석">BlankMacro1</definedName>
    <definedName name="해송H3.0xW1.2xR10">#REF!</definedName>
    <definedName name="해송H3.5xW1.5xR12">#REF!</definedName>
    <definedName name="헌치1">#REF!</definedName>
    <definedName name="헌치2">#REF!</definedName>
    <definedName name="헌치H">#REF!</definedName>
    <definedName name="헌치V">#REF!</definedName>
    <definedName name="현도사001">#REF!</definedName>
    <definedName name="현도사002">#REF!</definedName>
    <definedName name="현도사011">#REF!</definedName>
    <definedName name="현도사982">#REF!</definedName>
    <definedName name="현도사991">#REF!</definedName>
    <definedName name="현도사992">#REF!</definedName>
    <definedName name="현지교통비">[2]설계기준!#REF!</definedName>
    <definedName name="형태계수">#REF!</definedName>
    <definedName name="형틀목공001">#REF!</definedName>
    <definedName name="형틀목공002">#REF!</definedName>
    <definedName name="형틀목공011">#REF!</definedName>
    <definedName name="형틀목공982">#REF!</definedName>
    <definedName name="형틀목공991">#REF!</definedName>
    <definedName name="형틀목공992">#REF!</definedName>
    <definedName name="호">#REF!</definedName>
    <definedName name="호호호호">#REF!</definedName>
    <definedName name="홍단풍H3.5xR12">#REF!</definedName>
    <definedName name="화공001">#REF!</definedName>
    <definedName name="화공002">#REF!</definedName>
    <definedName name="화공011">#REF!</definedName>
    <definedName name="화공982">#REF!</definedName>
    <definedName name="화공991">#REF!</definedName>
    <definedName name="화공992">#REF!</definedName>
    <definedName name="화약취급공001">#REF!</definedName>
    <definedName name="화약취급공002">#REF!</definedName>
    <definedName name="화약취급공011">#REF!</definedName>
    <definedName name="화약취급공982">#REF!</definedName>
    <definedName name="화약취급공991">#REF!</definedName>
    <definedName name="화약취급공992">#REF!</definedName>
    <definedName name="활석공">#REF!</definedName>
    <definedName name="활석공011">#REF!</definedName>
    <definedName name="활하중">#REF!</definedName>
    <definedName name="활하중1">#REF!</definedName>
    <definedName name="활하중2">#REF!</definedName>
    <definedName name="황">[0]!황</definedName>
    <definedName name="회양목H0.3">#REF!</definedName>
    <definedName name="횟수">#REF!</definedName>
    <definedName name="횡계">#REF!</definedName>
    <definedName name="횡계보링">#REF!</definedName>
    <definedName name="후박나무H4.0">#REF!</definedName>
    <definedName name="후피향나무H1.8">#REF!</definedName>
    <definedName name="휘발유" localSheetId="28">#REF!</definedName>
    <definedName name="휘발유" localSheetId="29">#REF!</definedName>
    <definedName name="휘발유" localSheetId="30">#REF!</definedName>
    <definedName name="휘발유" localSheetId="31">#REF!</definedName>
    <definedName name="휘발유" localSheetId="32">#REF!</definedName>
    <definedName name="휘발유">#REF!</definedName>
    <definedName name="ㅔ갸ㅜㅅ">#REF!</definedName>
    <definedName name="ㅕ">#REF!</definedName>
    <definedName name="ㅗ">#REF!</definedName>
    <definedName name="ㅗ461">#REF!</definedName>
    <definedName name="ㅗㅅ20">#REF!</definedName>
  </definedNames>
  <calcPr calcId="144525"/>
</workbook>
</file>

<file path=xl/calcChain.xml><?xml version="1.0" encoding="utf-8"?>
<calcChain xmlns="http://schemas.openxmlformats.org/spreadsheetml/2006/main">
  <c r="L27" i="74" l="1"/>
  <c r="F15" i="81" l="1"/>
  <c r="F12" i="81"/>
  <c r="F11" i="81"/>
  <c r="F10" i="81"/>
  <c r="F9" i="81"/>
  <c r="F8" i="81"/>
  <c r="F7" i="81"/>
  <c r="F6" i="81"/>
  <c r="F33" i="16" l="1"/>
  <c r="F17" i="75"/>
  <c r="H18" i="69"/>
  <c r="F16" i="21"/>
  <c r="E13" i="22"/>
  <c r="F19" i="37"/>
  <c r="E10" i="34"/>
  <c r="A18" i="81" l="1"/>
  <c r="A17" i="81"/>
  <c r="A12" i="81"/>
  <c r="A11" i="81"/>
  <c r="A10" i="81"/>
  <c r="A9" i="81"/>
  <c r="A8" i="81"/>
  <c r="A7" i="81"/>
  <c r="A6" i="81"/>
  <c r="D22" i="80"/>
  <c r="K50" i="76" l="1"/>
  <c r="K46" i="76"/>
  <c r="E46" i="76" s="1"/>
  <c r="K45" i="76"/>
  <c r="L45" i="76" s="1"/>
  <c r="F45" i="76" s="1"/>
  <c r="K44" i="76"/>
  <c r="O1" i="76"/>
  <c r="K34" i="76" s="1"/>
  <c r="K1" i="77"/>
  <c r="E33" i="77" s="1"/>
  <c r="E34" i="77" s="1"/>
  <c r="G8" i="76" s="1"/>
  <c r="E34" i="78"/>
  <c r="K51" i="76" s="1"/>
  <c r="L51" i="76" s="1"/>
  <c r="F51" i="76" s="1"/>
  <c r="J19" i="78"/>
  <c r="J17" i="78"/>
  <c r="K1" i="78"/>
  <c r="K25" i="78" s="1"/>
  <c r="X1" i="73"/>
  <c r="K1" i="40"/>
  <c r="G26" i="36"/>
  <c r="C15" i="36"/>
  <c r="H15" i="36"/>
  <c r="F19" i="35"/>
  <c r="E28" i="30"/>
  <c r="E27" i="30"/>
  <c r="E26" i="30"/>
  <c r="M11" i="14"/>
  <c r="J18" i="30" s="1"/>
  <c r="M10" i="14"/>
  <c r="N22" i="34" s="1"/>
  <c r="M9" i="14"/>
  <c r="I25" i="33" s="1"/>
  <c r="R29" i="40" s="1"/>
  <c r="M8" i="14"/>
  <c r="J15" i="30" s="1"/>
  <c r="M7" i="14"/>
  <c r="J14" i="30" s="1"/>
  <c r="M6" i="14"/>
  <c r="N18" i="34" s="1"/>
  <c r="M5" i="14"/>
  <c r="J12" i="30" s="1"/>
  <c r="M4" i="14"/>
  <c r="J11" i="30" s="1"/>
  <c r="K213" i="15"/>
  <c r="F56" i="14"/>
  <c r="H56" i="14" s="1"/>
  <c r="G46" i="14"/>
  <c r="G45" i="14"/>
  <c r="G44" i="14"/>
  <c r="G41" i="14"/>
  <c r="G40" i="14"/>
  <c r="G42" i="14"/>
  <c r="F9" i="79"/>
  <c r="E9" i="79"/>
  <c r="D9" i="79"/>
  <c r="C9" i="79"/>
  <c r="F8" i="79"/>
  <c r="E8" i="79"/>
  <c r="D8" i="79"/>
  <c r="C8" i="79"/>
  <c r="F7" i="79"/>
  <c r="E7" i="79"/>
  <c r="D7" i="79"/>
  <c r="C7" i="79"/>
  <c r="F6" i="79"/>
  <c r="E6" i="79"/>
  <c r="D6" i="79"/>
  <c r="C6" i="79"/>
  <c r="C5" i="79" s="1"/>
  <c r="J34" i="78"/>
  <c r="J33" i="78"/>
  <c r="J27" i="78"/>
  <c r="J26" i="78"/>
  <c r="J25" i="78"/>
  <c r="J18" i="78"/>
  <c r="J16" i="78"/>
  <c r="F17" i="77"/>
  <c r="E31" i="77" s="1"/>
  <c r="C28" i="76" s="1"/>
  <c r="B36" i="79" s="1"/>
  <c r="F15" i="77"/>
  <c r="E15" i="77"/>
  <c r="D15" i="77"/>
  <c r="C15" i="77"/>
  <c r="E50" i="76"/>
  <c r="L46" i="76"/>
  <c r="F46" i="76" s="1"/>
  <c r="E45" i="76"/>
  <c r="L44" i="76"/>
  <c r="J7" i="78" l="1"/>
  <c r="K26" i="78"/>
  <c r="K19" i="78"/>
  <c r="K27" i="78"/>
  <c r="J5" i="78"/>
  <c r="N17" i="34"/>
  <c r="N21" i="34"/>
  <c r="I21" i="33"/>
  <c r="R25" i="40" s="1"/>
  <c r="G216" i="70" s="1"/>
  <c r="J16" i="30"/>
  <c r="G5" i="40"/>
  <c r="F19" i="73"/>
  <c r="I24" i="33"/>
  <c r="R28" i="40" s="1"/>
  <c r="G201" i="70" s="1"/>
  <c r="N20" i="34"/>
  <c r="G4" i="40"/>
  <c r="F18" i="73"/>
  <c r="F30" i="73"/>
  <c r="F26" i="73"/>
  <c r="I20" i="33"/>
  <c r="R24" i="40" s="1"/>
  <c r="G221" i="70" s="1"/>
  <c r="N16" i="34"/>
  <c r="G6" i="40"/>
  <c r="F25" i="73"/>
  <c r="C33" i="77"/>
  <c r="C34" i="77" s="1"/>
  <c r="G6" i="76" s="1"/>
  <c r="E6" i="76" s="1"/>
  <c r="F32" i="73"/>
  <c r="E34" i="76"/>
  <c r="L34" i="76"/>
  <c r="F34" i="76" s="1"/>
  <c r="J17" i="30"/>
  <c r="J13" i="30"/>
  <c r="I27" i="33"/>
  <c r="R31" i="40" s="1"/>
  <c r="I23" i="33"/>
  <c r="R27" i="40" s="1"/>
  <c r="N23" i="34"/>
  <c r="N19" i="34"/>
  <c r="F21" i="73"/>
  <c r="F28" i="73"/>
  <c r="J9" i="78"/>
  <c r="K33" i="78"/>
  <c r="D33" i="77"/>
  <c r="D34" i="77" s="1"/>
  <c r="G7" i="76" s="1"/>
  <c r="G14" i="76" s="1"/>
  <c r="K33" i="76"/>
  <c r="K40" i="76"/>
  <c r="K39" i="76"/>
  <c r="F33" i="77"/>
  <c r="F34" i="77" s="1"/>
  <c r="G9" i="76" s="1"/>
  <c r="G16" i="76" s="1"/>
  <c r="K35" i="76"/>
  <c r="I26" i="33"/>
  <c r="R30" i="40" s="1"/>
  <c r="I22" i="33"/>
  <c r="R26" i="40" s="1"/>
  <c r="F17" i="73"/>
  <c r="F24" i="73"/>
  <c r="F29" i="73"/>
  <c r="K17" i="78"/>
  <c r="G22" i="76"/>
  <c r="G28" i="76" s="1"/>
  <c r="H28" i="76" s="1"/>
  <c r="F28" i="76" s="1"/>
  <c r="E8" i="76"/>
  <c r="L50" i="76"/>
  <c r="F50" i="76" s="1"/>
  <c r="F52" i="76" s="1"/>
  <c r="E51" i="76"/>
  <c r="J28" i="78"/>
  <c r="J35" i="78"/>
  <c r="G15" i="76"/>
  <c r="F5" i="79"/>
  <c r="E5" i="79"/>
  <c r="B9" i="79"/>
  <c r="D5" i="79"/>
  <c r="B7" i="79"/>
  <c r="B8" i="79"/>
  <c r="B6" i="79"/>
  <c r="J20" i="78"/>
  <c r="F28" i="77"/>
  <c r="C9" i="76" s="1"/>
  <c r="B16" i="79" s="1"/>
  <c r="D29" i="77"/>
  <c r="C14" i="76" s="1"/>
  <c r="F30" i="77"/>
  <c r="C23" i="76" s="1"/>
  <c r="B30" i="79" s="1"/>
  <c r="D31" i="77"/>
  <c r="C27" i="76" s="1"/>
  <c r="B35" i="79" s="1"/>
  <c r="F32" i="77"/>
  <c r="E28" i="77"/>
  <c r="C8" i="76" s="1"/>
  <c r="B15" i="79" s="1"/>
  <c r="C29" i="77"/>
  <c r="C13" i="76" s="1"/>
  <c r="B20" i="79" s="1"/>
  <c r="E30" i="77"/>
  <c r="C22" i="76" s="1"/>
  <c r="B29" i="79" s="1"/>
  <c r="C31" i="77"/>
  <c r="C26" i="76" s="1"/>
  <c r="B34" i="79" s="1"/>
  <c r="D28" i="77"/>
  <c r="C7" i="76" s="1"/>
  <c r="B14" i="79" s="1"/>
  <c r="F29" i="77"/>
  <c r="C16" i="76" s="1"/>
  <c r="B23" i="79" s="1"/>
  <c r="D30" i="77"/>
  <c r="C21" i="76" s="1"/>
  <c r="B28" i="79" s="1"/>
  <c r="F31" i="77"/>
  <c r="C29" i="76" s="1"/>
  <c r="B45" i="79" s="1"/>
  <c r="C28" i="77"/>
  <c r="C6" i="76" s="1"/>
  <c r="B13" i="79" s="1"/>
  <c r="E29" i="77"/>
  <c r="C15" i="76" s="1"/>
  <c r="B22" i="79" s="1"/>
  <c r="C30" i="77"/>
  <c r="C20" i="76" s="1"/>
  <c r="B27" i="79" s="1"/>
  <c r="L52" i="76"/>
  <c r="L14" i="75" s="1"/>
  <c r="F14" i="75" s="1"/>
  <c r="L47" i="76"/>
  <c r="L13" i="75" s="1"/>
  <c r="F13" i="75" s="1"/>
  <c r="F44" i="76"/>
  <c r="F47" i="76" s="1"/>
  <c r="E44" i="76"/>
  <c r="G225" i="70" l="1"/>
  <c r="G167" i="70"/>
  <c r="G112" i="70"/>
  <c r="G21" i="70"/>
  <c r="G33" i="70"/>
  <c r="G118" i="70"/>
  <c r="G204" i="70"/>
  <c r="G9" i="70"/>
  <c r="G15" i="70"/>
  <c r="G94" i="70"/>
  <c r="G125" i="70"/>
  <c r="G222" i="70"/>
  <c r="G155" i="70"/>
  <c r="G192" i="70"/>
  <c r="G70" i="70"/>
  <c r="G100" i="70"/>
  <c r="G198" i="70"/>
  <c r="G131" i="70"/>
  <c r="G161" i="70"/>
  <c r="B5" i="79"/>
  <c r="C17" i="76"/>
  <c r="G143" i="70"/>
  <c r="G45" i="70"/>
  <c r="G149" i="70"/>
  <c r="C47" i="66"/>
  <c r="G106" i="70"/>
  <c r="G186" i="70"/>
  <c r="G64" i="70"/>
  <c r="G76" i="70"/>
  <c r="G81" i="70"/>
  <c r="G191" i="70"/>
  <c r="G203" i="70"/>
  <c r="G142" i="70"/>
  <c r="G93" i="70"/>
  <c r="G160" i="70"/>
  <c r="G148" i="70"/>
  <c r="J10" i="78"/>
  <c r="H36" i="77" s="1"/>
  <c r="G105" i="70"/>
  <c r="G111" i="70"/>
  <c r="G99" i="70"/>
  <c r="G51" i="70"/>
  <c r="G58" i="70"/>
  <c r="G210" i="70"/>
  <c r="G88" i="70"/>
  <c r="G27" i="70"/>
  <c r="G179" i="70"/>
  <c r="G63" i="70"/>
  <c r="G32" i="70"/>
  <c r="G197" i="70"/>
  <c r="G140" i="70"/>
  <c r="G30" i="70"/>
  <c r="G20" i="76"/>
  <c r="E20" i="76" s="1"/>
  <c r="G73" i="70"/>
  <c r="G42" i="70"/>
  <c r="G128" i="70"/>
  <c r="G36" i="70"/>
  <c r="G109" i="70"/>
  <c r="G173" i="70"/>
  <c r="G180" i="70"/>
  <c r="G82" i="70"/>
  <c r="G137" i="70"/>
  <c r="G39" i="70"/>
  <c r="G44" i="70"/>
  <c r="G14" i="70"/>
  <c r="G209" i="70"/>
  <c r="G50" i="70"/>
  <c r="G170" i="70"/>
  <c r="G12" i="70"/>
  <c r="E7" i="76"/>
  <c r="G130" i="70"/>
  <c r="G69" i="70"/>
  <c r="G166" i="70"/>
  <c r="G38" i="70"/>
  <c r="G136" i="70"/>
  <c r="G154" i="70"/>
  <c r="G57" i="70"/>
  <c r="G75" i="70"/>
  <c r="G172" i="70"/>
  <c r="G8" i="70"/>
  <c r="G20" i="70"/>
  <c r="G117" i="70"/>
  <c r="G215" i="70"/>
  <c r="G87" i="70"/>
  <c r="G185" i="70"/>
  <c r="A47" i="66"/>
  <c r="G26" i="70"/>
  <c r="G124" i="70"/>
  <c r="G23" i="76"/>
  <c r="E23" i="76" s="1"/>
  <c r="G121" i="70"/>
  <c r="G91" i="70"/>
  <c r="G207" i="70"/>
  <c r="G79" i="70"/>
  <c r="G24" i="70"/>
  <c r="G219" i="70"/>
  <c r="G189" i="70"/>
  <c r="G134" i="70"/>
  <c r="G176" i="70"/>
  <c r="E9" i="76"/>
  <c r="G85" i="70"/>
  <c r="G97" i="70"/>
  <c r="G195" i="70"/>
  <c r="G67" i="70"/>
  <c r="G164" i="70"/>
  <c r="G158" i="70"/>
  <c r="G61" i="70"/>
  <c r="G54" i="70"/>
  <c r="G152" i="70"/>
  <c r="G13" i="76"/>
  <c r="E13" i="76" s="1"/>
  <c r="E22" i="76"/>
  <c r="G48" i="70"/>
  <c r="G146" i="70"/>
  <c r="G18" i="70"/>
  <c r="G115" i="70"/>
  <c r="G213" i="70"/>
  <c r="I47" i="66"/>
  <c r="G183" i="70"/>
  <c r="G103" i="70"/>
  <c r="G21" i="76"/>
  <c r="E21" i="76" s="1"/>
  <c r="E39" i="76"/>
  <c r="L39" i="76"/>
  <c r="E33" i="76"/>
  <c r="L33" i="76"/>
  <c r="G47" i="66"/>
  <c r="G206" i="70"/>
  <c r="G182" i="70"/>
  <c r="G157" i="70"/>
  <c r="G133" i="70"/>
  <c r="G108" i="70"/>
  <c r="G84" i="70"/>
  <c r="G60" i="70"/>
  <c r="G35" i="70"/>
  <c r="G11" i="70"/>
  <c r="G114" i="70"/>
  <c r="G90" i="70"/>
  <c r="G41" i="70"/>
  <c r="G212" i="70"/>
  <c r="G188" i="70"/>
  <c r="G163" i="70"/>
  <c r="G218" i="70"/>
  <c r="G194" i="70"/>
  <c r="G169" i="70"/>
  <c r="G145" i="70"/>
  <c r="G120" i="70"/>
  <c r="G96" i="70"/>
  <c r="G72" i="70"/>
  <c r="G47" i="70"/>
  <c r="G23" i="70"/>
  <c r="G224" i="70"/>
  <c r="G200" i="70"/>
  <c r="G175" i="70"/>
  <c r="G151" i="70"/>
  <c r="G127" i="70"/>
  <c r="G102" i="70"/>
  <c r="G78" i="70"/>
  <c r="G53" i="70"/>
  <c r="G29" i="70"/>
  <c r="G139" i="70"/>
  <c r="G66" i="70"/>
  <c r="G17" i="70"/>
  <c r="E35" i="76"/>
  <c r="L35" i="76"/>
  <c r="F35" i="76" s="1"/>
  <c r="L40" i="76"/>
  <c r="F40" i="76" s="1"/>
  <c r="E40" i="76"/>
  <c r="G211" i="70"/>
  <c r="G187" i="70"/>
  <c r="G162" i="70"/>
  <c r="G138" i="70"/>
  <c r="G113" i="70"/>
  <c r="G89" i="70"/>
  <c r="G65" i="70"/>
  <c r="G40" i="70"/>
  <c r="G16" i="70"/>
  <c r="G71" i="70"/>
  <c r="G22" i="70"/>
  <c r="G217" i="70"/>
  <c r="G193" i="70"/>
  <c r="G168" i="70"/>
  <c r="G144" i="70"/>
  <c r="G46" i="70"/>
  <c r="G223" i="70"/>
  <c r="G199" i="70"/>
  <c r="G174" i="70"/>
  <c r="G150" i="70"/>
  <c r="G126" i="70"/>
  <c r="G101" i="70"/>
  <c r="G77" i="70"/>
  <c r="G52" i="70"/>
  <c r="G28" i="70"/>
  <c r="E47" i="66"/>
  <c r="G205" i="70"/>
  <c r="G181" i="70"/>
  <c r="G156" i="70"/>
  <c r="G132" i="70"/>
  <c r="G107" i="70"/>
  <c r="G83" i="70"/>
  <c r="G59" i="70"/>
  <c r="G34" i="70"/>
  <c r="G10" i="70"/>
  <c r="G119" i="70"/>
  <c r="G95" i="70"/>
  <c r="B21" i="79"/>
  <c r="H8" i="76"/>
  <c r="F8" i="76" s="1"/>
  <c r="H22" i="76"/>
  <c r="F22" i="76" s="1"/>
  <c r="H16" i="76"/>
  <c r="F16" i="76" s="1"/>
  <c r="E16" i="76"/>
  <c r="C24" i="76"/>
  <c r="H6" i="76"/>
  <c r="F6" i="76" s="1"/>
  <c r="C10" i="76"/>
  <c r="H9" i="76"/>
  <c r="F9" i="76" s="1"/>
  <c r="C30" i="76"/>
  <c r="H7" i="76"/>
  <c r="F7" i="76" s="1"/>
  <c r="H14" i="76"/>
  <c r="F14" i="76" s="1"/>
  <c r="E14" i="76"/>
  <c r="H15" i="76"/>
  <c r="E15" i="76"/>
  <c r="E28" i="76"/>
  <c r="D32" i="77"/>
  <c r="E32" i="77"/>
  <c r="G31" i="77"/>
  <c r="H31" i="77"/>
  <c r="C32" i="77"/>
  <c r="G28" i="77"/>
  <c r="H28" i="77"/>
  <c r="G29" i="77"/>
  <c r="H29" i="77"/>
  <c r="G30" i="77"/>
  <c r="H30" i="77"/>
  <c r="G26" i="76" l="1"/>
  <c r="E26" i="76" s="1"/>
  <c r="H20" i="76"/>
  <c r="F20" i="76" s="1"/>
  <c r="H21" i="76"/>
  <c r="F21" i="76" s="1"/>
  <c r="G27" i="76"/>
  <c r="H27" i="76" s="1"/>
  <c r="F27" i="76" s="1"/>
  <c r="H13" i="76"/>
  <c r="F13" i="76" s="1"/>
  <c r="H23" i="76"/>
  <c r="F23" i="76" s="1"/>
  <c r="G29" i="76"/>
  <c r="F39" i="76"/>
  <c r="F41" i="76" s="1"/>
  <c r="L41" i="76"/>
  <c r="L12" i="75" s="1"/>
  <c r="F12" i="75" s="1"/>
  <c r="F33" i="76"/>
  <c r="F36" i="76" s="1"/>
  <c r="L36" i="76"/>
  <c r="L11" i="75" s="1"/>
  <c r="F10" i="76"/>
  <c r="H10" i="76"/>
  <c r="H6" i="75" s="1"/>
  <c r="F6" i="75" s="1"/>
  <c r="F15" i="76"/>
  <c r="G32" i="77"/>
  <c r="H32" i="77"/>
  <c r="H35" i="77" s="1"/>
  <c r="H26" i="76" l="1"/>
  <c r="F26" i="76" s="1"/>
  <c r="H17" i="76"/>
  <c r="H7" i="75" s="1"/>
  <c r="F7" i="75" s="1"/>
  <c r="F17" i="76"/>
  <c r="H24" i="76"/>
  <c r="H8" i="75" s="1"/>
  <c r="F8" i="75" s="1"/>
  <c r="E27" i="76"/>
  <c r="F24" i="76"/>
  <c r="E29" i="76"/>
  <c r="H29" i="76"/>
  <c r="F29" i="76" s="1"/>
  <c r="F11" i="75"/>
  <c r="L10" i="75"/>
  <c r="F10" i="75" s="1"/>
  <c r="H37" i="77"/>
  <c r="H38" i="77" s="1"/>
  <c r="H39" i="77" s="1"/>
  <c r="H40" i="77" s="1"/>
  <c r="H41" i="77" s="1"/>
  <c r="F30" i="76" l="1"/>
  <c r="H30" i="76"/>
  <c r="H9" i="75" s="1"/>
  <c r="F9" i="75" s="1"/>
  <c r="E58" i="14"/>
  <c r="F58" i="14" s="1"/>
  <c r="H58" i="14" s="1"/>
  <c r="E57" i="14"/>
  <c r="F57" i="14" s="1"/>
  <c r="H57" i="14" s="1"/>
  <c r="E221" i="15"/>
  <c r="E220" i="15"/>
  <c r="E219" i="15"/>
  <c r="E218" i="15"/>
  <c r="E217" i="15"/>
  <c r="L25" i="16"/>
  <c r="J25" i="16"/>
  <c r="C25" i="16"/>
  <c r="C24" i="16"/>
  <c r="D25" i="16"/>
  <c r="D31" i="14"/>
  <c r="C217" i="15" s="1"/>
  <c r="E31" i="14"/>
  <c r="C218" i="15" s="1"/>
  <c r="F31" i="14"/>
  <c r="C219" i="15" s="1"/>
  <c r="G31" i="14"/>
  <c r="C220" i="15" s="1"/>
  <c r="H31" i="14"/>
  <c r="C221" i="15" s="1"/>
  <c r="C31" i="14"/>
  <c r="C216" i="15" s="1"/>
  <c r="H28" i="73"/>
  <c r="H21" i="73"/>
  <c r="H20" i="73" s="1"/>
  <c r="H32" i="73"/>
  <c r="H31" i="73" s="1"/>
  <c r="H30" i="73"/>
  <c r="H26" i="73"/>
  <c r="H24" i="73"/>
  <c r="H17" i="73"/>
  <c r="H29" i="73"/>
  <c r="H25" i="73"/>
  <c r="H18" i="73"/>
  <c r="F28" i="74"/>
  <c r="F29" i="74"/>
  <c r="F30" i="74"/>
  <c r="F31" i="74"/>
  <c r="F27" i="74"/>
  <c r="D28" i="74"/>
  <c r="D29" i="74"/>
  <c r="D30" i="74"/>
  <c r="D31" i="74"/>
  <c r="D27" i="74"/>
  <c r="J12" i="66"/>
  <c r="G12" i="66"/>
  <c r="D12" i="66" s="1"/>
  <c r="G29" i="72" s="1"/>
  <c r="F45" i="73"/>
  <c r="E45" i="73"/>
  <c r="D45" i="73"/>
  <c r="F44" i="73"/>
  <c r="E44" i="73"/>
  <c r="D44" i="73"/>
  <c r="G44" i="73" s="1"/>
  <c r="I44" i="73" s="1"/>
  <c r="F43" i="73"/>
  <c r="E43" i="73"/>
  <c r="D43" i="73"/>
  <c r="F42" i="73"/>
  <c r="E42" i="73"/>
  <c r="D42" i="73"/>
  <c r="F41" i="73"/>
  <c r="E41" i="73"/>
  <c r="D41" i="73"/>
  <c r="H19" i="73"/>
  <c r="C39" i="72"/>
  <c r="Q21" i="71" s="1"/>
  <c r="G33" i="72"/>
  <c r="G35" i="72" s="1"/>
  <c r="Q34" i="71" s="1"/>
  <c r="G24" i="72"/>
  <c r="G26" i="72" s="1"/>
  <c r="G19" i="72"/>
  <c r="G20" i="72" s="1"/>
  <c r="C15" i="72"/>
  <c r="C16" i="72" s="1"/>
  <c r="AC14" i="72"/>
  <c r="AC13" i="72"/>
  <c r="AC12" i="72"/>
  <c r="AC11" i="72"/>
  <c r="AC10" i="72"/>
  <c r="E5" i="72"/>
  <c r="E6" i="72" s="1"/>
  <c r="C5" i="72"/>
  <c r="C6" i="72" s="1"/>
  <c r="M4" i="72"/>
  <c r="U4" i="72" s="1"/>
  <c r="I44" i="71"/>
  <c r="H44" i="71"/>
  <c r="G44" i="71"/>
  <c r="F44" i="71"/>
  <c r="E44" i="71"/>
  <c r="AA43" i="71"/>
  <c r="K43" i="71"/>
  <c r="O43" i="71" s="1"/>
  <c r="AA42" i="71"/>
  <c r="N42" i="71"/>
  <c r="M42" i="71"/>
  <c r="K42" i="71"/>
  <c r="AA41" i="71"/>
  <c r="N41" i="71"/>
  <c r="K41" i="71"/>
  <c r="AA40" i="71"/>
  <c r="N40" i="71"/>
  <c r="K40" i="71"/>
  <c r="AA39" i="71"/>
  <c r="K39" i="71"/>
  <c r="O39" i="71" s="1"/>
  <c r="AA38" i="71"/>
  <c r="N38" i="71"/>
  <c r="O38" i="71" s="1"/>
  <c r="AA37" i="71"/>
  <c r="N37" i="71"/>
  <c r="M37" i="71"/>
  <c r="AA36" i="71"/>
  <c r="N36" i="71"/>
  <c r="L36" i="71"/>
  <c r="K36" i="71"/>
  <c r="I35" i="71"/>
  <c r="H35" i="71"/>
  <c r="G35" i="71"/>
  <c r="F35" i="71"/>
  <c r="E35" i="71"/>
  <c r="AA34" i="71"/>
  <c r="N34" i="71"/>
  <c r="M34" i="71"/>
  <c r="AA33" i="71"/>
  <c r="N33" i="71"/>
  <c r="L33" i="71"/>
  <c r="K33" i="71"/>
  <c r="AA32" i="71"/>
  <c r="N32" i="71"/>
  <c r="M32" i="71"/>
  <c r="AA31" i="71"/>
  <c r="N31" i="71"/>
  <c r="K31" i="71"/>
  <c r="AA30" i="71"/>
  <c r="N30" i="71"/>
  <c r="M30" i="71"/>
  <c r="K30" i="71"/>
  <c r="AA29" i="71"/>
  <c r="N29" i="71"/>
  <c r="M29" i="71"/>
  <c r="K29" i="71"/>
  <c r="AA28" i="71"/>
  <c r="N28" i="71"/>
  <c r="M28" i="71"/>
  <c r="K28" i="71"/>
  <c r="AA27" i="71"/>
  <c r="N27" i="71"/>
  <c r="K27" i="71"/>
  <c r="AA26" i="71"/>
  <c r="N26" i="71"/>
  <c r="M26" i="71"/>
  <c r="K26" i="71"/>
  <c r="I25" i="71"/>
  <c r="H25" i="71"/>
  <c r="G25" i="71"/>
  <c r="F25" i="71"/>
  <c r="E25" i="71"/>
  <c r="AA24" i="71"/>
  <c r="Q24" i="71"/>
  <c r="K24" i="71"/>
  <c r="O24" i="71" s="1"/>
  <c r="AA23" i="71"/>
  <c r="N23" i="71"/>
  <c r="L23" i="71"/>
  <c r="K23" i="71"/>
  <c r="AA22" i="71"/>
  <c r="N22" i="71"/>
  <c r="M22" i="71"/>
  <c r="AA21" i="71"/>
  <c r="M21" i="71"/>
  <c r="L21" i="71"/>
  <c r="AA20" i="71"/>
  <c r="L20" i="71"/>
  <c r="O20" i="71" s="1"/>
  <c r="AA19" i="71"/>
  <c r="M19" i="71"/>
  <c r="L19" i="71"/>
  <c r="AA18" i="71"/>
  <c r="M18" i="71"/>
  <c r="L18" i="71"/>
  <c r="AA17" i="71"/>
  <c r="N17" i="71"/>
  <c r="L17" i="71"/>
  <c r="K17" i="71"/>
  <c r="AA16" i="71"/>
  <c r="N16" i="71"/>
  <c r="L16" i="71"/>
  <c r="K16" i="71"/>
  <c r="AA15" i="71"/>
  <c r="L15" i="71"/>
  <c r="K15" i="71"/>
  <c r="AA14" i="71"/>
  <c r="N14" i="71"/>
  <c r="K14" i="71"/>
  <c r="I13" i="71"/>
  <c r="H13" i="71"/>
  <c r="H45" i="71" s="1"/>
  <c r="G13" i="71"/>
  <c r="F13" i="71"/>
  <c r="F45" i="71" s="1"/>
  <c r="E13" i="71"/>
  <c r="AA12" i="71"/>
  <c r="M12" i="71"/>
  <c r="O12" i="71" s="1"/>
  <c r="AA11" i="71"/>
  <c r="N11" i="71"/>
  <c r="L11" i="71"/>
  <c r="AA10" i="71"/>
  <c r="M10" i="71"/>
  <c r="O10" i="71" s="1"/>
  <c r="AA9" i="71"/>
  <c r="M9" i="71"/>
  <c r="L9" i="71"/>
  <c r="AA8" i="71"/>
  <c r="M8" i="71"/>
  <c r="L8" i="71"/>
  <c r="AA7" i="71"/>
  <c r="N7" i="71"/>
  <c r="L7" i="71"/>
  <c r="AA6" i="71"/>
  <c r="L6" i="71"/>
  <c r="O6" i="71" s="1"/>
  <c r="AA5" i="71"/>
  <c r="O5" i="71"/>
  <c r="C220" i="70"/>
  <c r="C214" i="70"/>
  <c r="C208" i="70"/>
  <c r="C202" i="70"/>
  <c r="C196" i="70"/>
  <c r="C190" i="70"/>
  <c r="C184" i="70"/>
  <c r="C178" i="70"/>
  <c r="C171" i="70"/>
  <c r="C165" i="70"/>
  <c r="C159" i="70"/>
  <c r="C153" i="70"/>
  <c r="C147" i="70"/>
  <c r="C141" i="70"/>
  <c r="C135" i="70"/>
  <c r="C129" i="70"/>
  <c r="C123" i="70"/>
  <c r="C116" i="70"/>
  <c r="C110" i="70"/>
  <c r="C104" i="70"/>
  <c r="C98" i="70"/>
  <c r="C92" i="70"/>
  <c r="C86" i="70"/>
  <c r="C80" i="70"/>
  <c r="C74" i="70"/>
  <c r="C68" i="70"/>
  <c r="C62" i="70"/>
  <c r="C56" i="70"/>
  <c r="C49" i="70"/>
  <c r="C43" i="70"/>
  <c r="C37" i="70"/>
  <c r="C31" i="70"/>
  <c r="C25" i="70"/>
  <c r="C19" i="70"/>
  <c r="C13" i="70"/>
  <c r="C7" i="70"/>
  <c r="A3" i="70"/>
  <c r="D13" i="66"/>
  <c r="C10" i="66"/>
  <c r="G10" i="72" s="1"/>
  <c r="G41" i="73" l="1"/>
  <c r="I41" i="73" s="1"/>
  <c r="G45" i="73"/>
  <c r="I45" i="73" s="1"/>
  <c r="G45" i="71"/>
  <c r="G43" i="73"/>
  <c r="I43" i="73" s="1"/>
  <c r="G42" i="73"/>
  <c r="I42" i="73" s="1"/>
  <c r="H5" i="75"/>
  <c r="F5" i="75" s="1"/>
  <c r="F15" i="75" s="1"/>
  <c r="F16" i="75" s="1"/>
  <c r="H27" i="73"/>
  <c r="H16" i="73"/>
  <c r="H23" i="73"/>
  <c r="E45" i="71"/>
  <c r="I45" i="71"/>
  <c r="O31" i="71"/>
  <c r="O41" i="71"/>
  <c r="O27" i="71"/>
  <c r="O15" i="71"/>
  <c r="O11" i="71"/>
  <c r="O9" i="71"/>
  <c r="O19" i="71"/>
  <c r="O32" i="71"/>
  <c r="O42" i="71"/>
  <c r="G34" i="72"/>
  <c r="O36" i="71"/>
  <c r="O7" i="71"/>
  <c r="O16" i="71"/>
  <c r="O22" i="71"/>
  <c r="O34" i="71"/>
  <c r="T34" i="71" s="1"/>
  <c r="F173" i="70" s="1"/>
  <c r="H173" i="70" s="1"/>
  <c r="O37" i="71"/>
  <c r="O33" i="71"/>
  <c r="G30" i="72"/>
  <c r="Q32" i="71" s="1"/>
  <c r="T32" i="71" s="1"/>
  <c r="F161" i="70" s="1"/>
  <c r="H161" i="70" s="1"/>
  <c r="Q30" i="71"/>
  <c r="Q31" i="71"/>
  <c r="W31" i="71" s="1"/>
  <c r="F158" i="70" s="1"/>
  <c r="H158" i="70" s="1"/>
  <c r="Q28" i="71"/>
  <c r="Q29" i="71"/>
  <c r="O14" i="71"/>
  <c r="O17" i="71"/>
  <c r="O18" i="71"/>
  <c r="O21" i="71"/>
  <c r="W21" i="71" s="1"/>
  <c r="F103" i="70" s="1"/>
  <c r="H103" i="70" s="1"/>
  <c r="O23" i="71"/>
  <c r="O40" i="71"/>
  <c r="O26" i="71"/>
  <c r="O28" i="71"/>
  <c r="G21" i="72"/>
  <c r="Q27" i="71" s="1"/>
  <c r="O30" i="71"/>
  <c r="O29" i="71"/>
  <c r="O8" i="71"/>
  <c r="Q22" i="71"/>
  <c r="V22" i="71" s="1"/>
  <c r="F108" i="70" s="1"/>
  <c r="H108" i="70" s="1"/>
  <c r="Q5" i="71"/>
  <c r="T5" i="71" s="1"/>
  <c r="Q43" i="71"/>
  <c r="W43" i="71" s="1"/>
  <c r="F225" i="70" s="1"/>
  <c r="H225" i="70" s="1"/>
  <c r="Q39" i="71"/>
  <c r="S39" i="71" s="1"/>
  <c r="U24" i="71"/>
  <c r="F119" i="70" s="1"/>
  <c r="H119" i="70" s="1"/>
  <c r="V24" i="71"/>
  <c r="F120" i="70" s="1"/>
  <c r="H120" i="70" s="1"/>
  <c r="W24" i="71"/>
  <c r="F121" i="70" s="1"/>
  <c r="H121" i="70" s="1"/>
  <c r="S24" i="71"/>
  <c r="T24" i="71"/>
  <c r="F118" i="70" s="1"/>
  <c r="H118" i="70" s="1"/>
  <c r="U32" i="71"/>
  <c r="F162" i="70" s="1"/>
  <c r="H162" i="70" s="1"/>
  <c r="G11" i="72"/>
  <c r="G12" i="72"/>
  <c r="E7" i="72"/>
  <c r="C7" i="72"/>
  <c r="I10" i="72"/>
  <c r="Q4" i="72"/>
  <c r="F18" i="75" l="1"/>
  <c r="I40" i="73"/>
  <c r="H13" i="69" s="1"/>
  <c r="H22" i="73"/>
  <c r="H15" i="73" s="1"/>
  <c r="H14" i="69" s="1"/>
  <c r="S28" i="71"/>
  <c r="W32" i="71"/>
  <c r="F164" i="70" s="1"/>
  <c r="H164" i="70" s="1"/>
  <c r="U29" i="71"/>
  <c r="F144" i="70" s="1"/>
  <c r="H144" i="70" s="1"/>
  <c r="V32" i="71"/>
  <c r="F163" i="70" s="1"/>
  <c r="H163" i="70" s="1"/>
  <c r="S34" i="71"/>
  <c r="V29" i="71"/>
  <c r="F145" i="70" s="1"/>
  <c r="H145" i="70" s="1"/>
  <c r="V34" i="71"/>
  <c r="F175" i="70" s="1"/>
  <c r="H175" i="70" s="1"/>
  <c r="U34" i="71"/>
  <c r="F174" i="70" s="1"/>
  <c r="H174" i="70" s="1"/>
  <c r="W34" i="71"/>
  <c r="F176" i="70" s="1"/>
  <c r="H176" i="70" s="1"/>
  <c r="T29" i="71"/>
  <c r="F143" i="70" s="1"/>
  <c r="H143" i="70" s="1"/>
  <c r="S43" i="71"/>
  <c r="F221" i="70" s="1"/>
  <c r="V5" i="71"/>
  <c r="F11" i="70" s="1"/>
  <c r="H11" i="70" s="1"/>
  <c r="V43" i="71"/>
  <c r="F224" i="70" s="1"/>
  <c r="H224" i="70" s="1"/>
  <c r="U5" i="71"/>
  <c r="S32" i="71"/>
  <c r="W39" i="71"/>
  <c r="F201" i="70" s="1"/>
  <c r="H201" i="70" s="1"/>
  <c r="W5" i="71"/>
  <c r="F12" i="70" s="1"/>
  <c r="H12" i="70" s="1"/>
  <c r="S29" i="71"/>
  <c r="F142" i="70" s="1"/>
  <c r="W28" i="71"/>
  <c r="F140" i="70" s="1"/>
  <c r="H140" i="70" s="1"/>
  <c r="S31" i="71"/>
  <c r="F154" i="70" s="1"/>
  <c r="W22" i="71"/>
  <c r="F109" i="70" s="1"/>
  <c r="H109" i="70" s="1"/>
  <c r="V30" i="71"/>
  <c r="F151" i="70" s="1"/>
  <c r="H151" i="70" s="1"/>
  <c r="U31" i="71"/>
  <c r="F156" i="70" s="1"/>
  <c r="H156" i="70" s="1"/>
  <c r="T21" i="71"/>
  <c r="F100" i="70" s="1"/>
  <c r="H100" i="70" s="1"/>
  <c r="V21" i="71"/>
  <c r="F102" i="70" s="1"/>
  <c r="H102" i="70" s="1"/>
  <c r="T28" i="71"/>
  <c r="F137" i="70" s="1"/>
  <c r="H137" i="70" s="1"/>
  <c r="V39" i="71"/>
  <c r="F200" i="70" s="1"/>
  <c r="H200" i="70" s="1"/>
  <c r="V28" i="71"/>
  <c r="F139" i="70" s="1"/>
  <c r="H139" i="70" s="1"/>
  <c r="W30" i="71"/>
  <c r="F152" i="70" s="1"/>
  <c r="H152" i="70" s="1"/>
  <c r="U30" i="71"/>
  <c r="F150" i="70" s="1"/>
  <c r="H150" i="70" s="1"/>
  <c r="S21" i="71"/>
  <c r="F99" i="70" s="1"/>
  <c r="T31" i="71"/>
  <c r="F155" i="70" s="1"/>
  <c r="H155" i="70" s="1"/>
  <c r="U28" i="71"/>
  <c r="F138" i="70" s="1"/>
  <c r="H138" i="70" s="1"/>
  <c r="V31" i="71"/>
  <c r="F157" i="70" s="1"/>
  <c r="H157" i="70" s="1"/>
  <c r="Q17" i="71"/>
  <c r="T17" i="71" s="1"/>
  <c r="F76" i="70" s="1"/>
  <c r="H76" i="70" s="1"/>
  <c r="S30" i="71"/>
  <c r="F148" i="70" s="1"/>
  <c r="T39" i="71"/>
  <c r="F198" i="70" s="1"/>
  <c r="H198" i="70" s="1"/>
  <c r="U39" i="71"/>
  <c r="F199" i="70" s="1"/>
  <c r="H199" i="70" s="1"/>
  <c r="U21" i="71"/>
  <c r="F101" i="70" s="1"/>
  <c r="H101" i="70" s="1"/>
  <c r="T27" i="71"/>
  <c r="F131" i="70" s="1"/>
  <c r="H131" i="70" s="1"/>
  <c r="U27" i="71"/>
  <c r="F132" i="70" s="1"/>
  <c r="H132" i="70" s="1"/>
  <c r="W29" i="71"/>
  <c r="F146" i="70" s="1"/>
  <c r="H146" i="70" s="1"/>
  <c r="T30" i="71"/>
  <c r="F149" i="70" s="1"/>
  <c r="H149" i="70" s="1"/>
  <c r="T22" i="71"/>
  <c r="F106" i="70" s="1"/>
  <c r="H106" i="70" s="1"/>
  <c r="U22" i="71"/>
  <c r="F107" i="70" s="1"/>
  <c r="H107" i="70" s="1"/>
  <c r="S22" i="71"/>
  <c r="I11" i="72"/>
  <c r="I12" i="72" s="1"/>
  <c r="F197" i="70"/>
  <c r="Q23" i="71"/>
  <c r="Q19" i="71"/>
  <c r="Q14" i="71"/>
  <c r="Q20" i="71"/>
  <c r="Q16" i="71"/>
  <c r="Q18" i="71"/>
  <c r="Q15" i="71"/>
  <c r="F172" i="70"/>
  <c r="F136" i="70"/>
  <c r="AB24" i="71"/>
  <c r="AC24" i="71" s="1"/>
  <c r="F117" i="70"/>
  <c r="X24" i="71"/>
  <c r="V27" i="71"/>
  <c r="F133" i="70" s="1"/>
  <c r="H133" i="70" s="1"/>
  <c r="T43" i="71"/>
  <c r="F222" i="70" s="1"/>
  <c r="H222" i="70" s="1"/>
  <c r="U43" i="71"/>
  <c r="F223" i="70" s="1"/>
  <c r="H223" i="70" s="1"/>
  <c r="S5" i="71"/>
  <c r="W27" i="71"/>
  <c r="F134" i="70" s="1"/>
  <c r="H134" i="70" s="1"/>
  <c r="R4" i="72"/>
  <c r="S4" i="72"/>
  <c r="T4" i="72" s="1"/>
  <c r="O4" i="72" s="1"/>
  <c r="Q12" i="71"/>
  <c r="Q9" i="71"/>
  <c r="Q7" i="71"/>
  <c r="Q10" i="71"/>
  <c r="Q8" i="71"/>
  <c r="Q6" i="71"/>
  <c r="Q11" i="71"/>
  <c r="Q33" i="71"/>
  <c r="Q26" i="71"/>
  <c r="S27" i="71"/>
  <c r="F10" i="70"/>
  <c r="H10" i="70" s="1"/>
  <c r="F9" i="70"/>
  <c r="H9" i="70" s="1"/>
  <c r="F19" i="75" l="1"/>
  <c r="F20" i="75" s="1"/>
  <c r="H12" i="69"/>
  <c r="AD15" i="72" s="1"/>
  <c r="J18" i="2"/>
  <c r="AB32" i="71"/>
  <c r="AC32" i="71" s="1"/>
  <c r="X32" i="71"/>
  <c r="F160" i="70"/>
  <c r="H160" i="70" s="1"/>
  <c r="H159" i="70" s="1"/>
  <c r="AB34" i="71"/>
  <c r="AC34" i="71" s="1"/>
  <c r="X34" i="71"/>
  <c r="AB29" i="71"/>
  <c r="AC29" i="71" s="1"/>
  <c r="S17" i="71"/>
  <c r="F75" i="70" s="1"/>
  <c r="X21" i="71"/>
  <c r="U17" i="71"/>
  <c r="F77" i="70" s="1"/>
  <c r="H77" i="70" s="1"/>
  <c r="X39" i="71"/>
  <c r="V17" i="71"/>
  <c r="F78" i="70" s="1"/>
  <c r="H78" i="70" s="1"/>
  <c r="X43" i="71"/>
  <c r="W17" i="71"/>
  <c r="F79" i="70" s="1"/>
  <c r="H79" i="70" s="1"/>
  <c r="AB39" i="71"/>
  <c r="AC39" i="71" s="1"/>
  <c r="AB21" i="71"/>
  <c r="AC21" i="71" s="1"/>
  <c r="X31" i="71"/>
  <c r="X28" i="71"/>
  <c r="AB28" i="71"/>
  <c r="AC28" i="71" s="1"/>
  <c r="AB31" i="71"/>
  <c r="AC31" i="71" s="1"/>
  <c r="AB30" i="71"/>
  <c r="AC30" i="71" s="1"/>
  <c r="X30" i="71"/>
  <c r="AB22" i="71"/>
  <c r="AC22" i="71" s="1"/>
  <c r="X22" i="71"/>
  <c r="X29" i="71"/>
  <c r="F105" i="70"/>
  <c r="F104" i="70" s="1"/>
  <c r="Q40" i="71"/>
  <c r="Q37" i="71"/>
  <c r="Q42" i="71"/>
  <c r="Q38" i="71"/>
  <c r="Q41" i="71"/>
  <c r="Q36" i="71"/>
  <c r="H148" i="70"/>
  <c r="H147" i="70" s="1"/>
  <c r="F147" i="70"/>
  <c r="F8" i="70"/>
  <c r="AB5" i="71"/>
  <c r="X5" i="71"/>
  <c r="H172" i="70"/>
  <c r="H171" i="70" s="1"/>
  <c r="F171" i="70"/>
  <c r="S16" i="71"/>
  <c r="W16" i="71"/>
  <c r="F73" i="70" s="1"/>
  <c r="H73" i="70" s="1"/>
  <c r="V16" i="71"/>
  <c r="F72" i="70" s="1"/>
  <c r="H72" i="70" s="1"/>
  <c r="U16" i="71"/>
  <c r="F71" i="70" s="1"/>
  <c r="H71" i="70" s="1"/>
  <c r="T16" i="71"/>
  <c r="F70" i="70" s="1"/>
  <c r="H70" i="70" s="1"/>
  <c r="V23" i="71"/>
  <c r="F114" i="70" s="1"/>
  <c r="H114" i="70" s="1"/>
  <c r="U23" i="71"/>
  <c r="F113" i="70" s="1"/>
  <c r="H113" i="70" s="1"/>
  <c r="T23" i="71"/>
  <c r="F112" i="70" s="1"/>
  <c r="H112" i="70" s="1"/>
  <c r="S23" i="71"/>
  <c r="W23" i="71"/>
  <c r="F115" i="70" s="1"/>
  <c r="H115" i="70" s="1"/>
  <c r="H197" i="70"/>
  <c r="H196" i="70" s="1"/>
  <c r="F196" i="70"/>
  <c r="T26" i="71"/>
  <c r="S26" i="71"/>
  <c r="W26" i="71"/>
  <c r="V26" i="71"/>
  <c r="U26" i="71"/>
  <c r="S11" i="71"/>
  <c r="U11" i="71"/>
  <c r="F46" i="70" s="1"/>
  <c r="H46" i="70" s="1"/>
  <c r="T11" i="71"/>
  <c r="F45" i="70" s="1"/>
  <c r="H45" i="70" s="1"/>
  <c r="W11" i="71"/>
  <c r="F48" i="70" s="1"/>
  <c r="H48" i="70" s="1"/>
  <c r="V11" i="71"/>
  <c r="F47" i="70" s="1"/>
  <c r="H47" i="70" s="1"/>
  <c r="V7" i="71"/>
  <c r="F23" i="70" s="1"/>
  <c r="H23" i="70" s="1"/>
  <c r="U7" i="71"/>
  <c r="F22" i="70" s="1"/>
  <c r="H22" i="70" s="1"/>
  <c r="S7" i="71"/>
  <c r="T7" i="71"/>
  <c r="F21" i="70" s="1"/>
  <c r="H21" i="70" s="1"/>
  <c r="W7" i="71"/>
  <c r="F24" i="70" s="1"/>
  <c r="H24" i="70" s="1"/>
  <c r="H99" i="70"/>
  <c r="H98" i="70" s="1"/>
  <c r="F98" i="70"/>
  <c r="V18" i="71"/>
  <c r="F84" i="70" s="1"/>
  <c r="H84" i="70" s="1"/>
  <c r="S18" i="71"/>
  <c r="U18" i="71"/>
  <c r="F83" i="70" s="1"/>
  <c r="H83" i="70" s="1"/>
  <c r="T18" i="71"/>
  <c r="F82" i="70" s="1"/>
  <c r="H82" i="70" s="1"/>
  <c r="W18" i="71"/>
  <c r="F85" i="70" s="1"/>
  <c r="H85" i="70" s="1"/>
  <c r="S19" i="71"/>
  <c r="W19" i="71"/>
  <c r="F91" i="70" s="1"/>
  <c r="H91" i="70" s="1"/>
  <c r="V19" i="71"/>
  <c r="F90" i="70" s="1"/>
  <c r="H90" i="70" s="1"/>
  <c r="U19" i="71"/>
  <c r="F89" i="70" s="1"/>
  <c r="H89" i="70" s="1"/>
  <c r="T19" i="71"/>
  <c r="F88" i="70" s="1"/>
  <c r="H88" i="70" s="1"/>
  <c r="AB43" i="71"/>
  <c r="AC43" i="71" s="1"/>
  <c r="U10" i="71"/>
  <c r="F40" i="70" s="1"/>
  <c r="H40" i="70" s="1"/>
  <c r="T10" i="71"/>
  <c r="F39" i="70" s="1"/>
  <c r="H39" i="70" s="1"/>
  <c r="S10" i="71"/>
  <c r="W10" i="71"/>
  <c r="F42" i="70" s="1"/>
  <c r="H42" i="70" s="1"/>
  <c r="V10" i="71"/>
  <c r="F41" i="70" s="1"/>
  <c r="H41" i="70" s="1"/>
  <c r="H154" i="70"/>
  <c r="H153" i="70" s="1"/>
  <c r="F153" i="70"/>
  <c r="H142" i="70"/>
  <c r="H141" i="70" s="1"/>
  <c r="F141" i="70"/>
  <c r="H117" i="70"/>
  <c r="H116" i="70" s="1"/>
  <c r="F116" i="70"/>
  <c r="H136" i="70"/>
  <c r="H135" i="70" s="1"/>
  <c r="F135" i="70"/>
  <c r="V15" i="71"/>
  <c r="F66" i="70" s="1"/>
  <c r="H66" i="70" s="1"/>
  <c r="U15" i="71"/>
  <c r="F65" i="70" s="1"/>
  <c r="H65" i="70" s="1"/>
  <c r="W15" i="71"/>
  <c r="F67" i="70" s="1"/>
  <c r="H67" i="70" s="1"/>
  <c r="S15" i="71"/>
  <c r="T15" i="71"/>
  <c r="F64" i="70" s="1"/>
  <c r="H64" i="70" s="1"/>
  <c r="V14" i="71"/>
  <c r="U14" i="71"/>
  <c r="T14" i="71"/>
  <c r="S14" i="71"/>
  <c r="W14" i="71"/>
  <c r="F159" i="70"/>
  <c r="AB27" i="71"/>
  <c r="AC27" i="71" s="1"/>
  <c r="X27" i="71"/>
  <c r="F130" i="70"/>
  <c r="U8" i="71"/>
  <c r="F28" i="70" s="1"/>
  <c r="H28" i="70" s="1"/>
  <c r="T8" i="71"/>
  <c r="F27" i="70" s="1"/>
  <c r="H27" i="70" s="1"/>
  <c r="S8" i="71"/>
  <c r="W8" i="71"/>
  <c r="F30" i="70" s="1"/>
  <c r="H30" i="70" s="1"/>
  <c r="V8" i="71"/>
  <c r="F29" i="70" s="1"/>
  <c r="H29" i="70" s="1"/>
  <c r="S12" i="71"/>
  <c r="W12" i="71"/>
  <c r="F54" i="70" s="1"/>
  <c r="H54" i="70" s="1"/>
  <c r="V12" i="71"/>
  <c r="F53" i="70" s="1"/>
  <c r="H53" i="70" s="1"/>
  <c r="U12" i="71"/>
  <c r="F52" i="70" s="1"/>
  <c r="H52" i="70" s="1"/>
  <c r="T12" i="71"/>
  <c r="F51" i="70" s="1"/>
  <c r="H51" i="70" s="1"/>
  <c r="H221" i="70"/>
  <c r="H220" i="70" s="1"/>
  <c r="F220" i="70"/>
  <c r="V20" i="71"/>
  <c r="F96" i="70" s="1"/>
  <c r="H96" i="70" s="1"/>
  <c r="U20" i="71"/>
  <c r="F95" i="70" s="1"/>
  <c r="H95" i="70" s="1"/>
  <c r="T20" i="71"/>
  <c r="F94" i="70" s="1"/>
  <c r="H94" i="70" s="1"/>
  <c r="S20" i="71"/>
  <c r="W20" i="71"/>
  <c r="F97" i="70" s="1"/>
  <c r="H97" i="70" s="1"/>
  <c r="S33" i="71"/>
  <c r="W33" i="71"/>
  <c r="F170" i="70" s="1"/>
  <c r="H170" i="70" s="1"/>
  <c r="V33" i="71"/>
  <c r="F169" i="70" s="1"/>
  <c r="H169" i="70" s="1"/>
  <c r="U33" i="71"/>
  <c r="F168" i="70" s="1"/>
  <c r="H168" i="70" s="1"/>
  <c r="T33" i="71"/>
  <c r="F167" i="70" s="1"/>
  <c r="H167" i="70" s="1"/>
  <c r="W6" i="71"/>
  <c r="S6" i="71"/>
  <c r="T6" i="71"/>
  <c r="V6" i="71"/>
  <c r="U6" i="71"/>
  <c r="V9" i="71"/>
  <c r="F35" i="70" s="1"/>
  <c r="H35" i="70" s="1"/>
  <c r="U9" i="71"/>
  <c r="F34" i="70" s="1"/>
  <c r="H34" i="70" s="1"/>
  <c r="S9" i="71"/>
  <c r="T9" i="71"/>
  <c r="F33" i="70" s="1"/>
  <c r="H33" i="70" s="1"/>
  <c r="W9" i="71"/>
  <c r="F36" i="70" s="1"/>
  <c r="H36" i="70" s="1"/>
  <c r="G23" i="36"/>
  <c r="G14" i="36"/>
  <c r="G11" i="36"/>
  <c r="D24" i="34"/>
  <c r="B12" i="33"/>
  <c r="N17" i="33"/>
  <c r="M17" i="33"/>
  <c r="AB17" i="71" l="1"/>
  <c r="AC17" i="71" s="1"/>
  <c r="H105" i="70"/>
  <c r="H104" i="70" s="1"/>
  <c r="X17" i="71"/>
  <c r="S13" i="71"/>
  <c r="X15" i="71"/>
  <c r="AB15" i="71"/>
  <c r="AC15" i="71" s="1"/>
  <c r="F63" i="70"/>
  <c r="F15" i="70"/>
  <c r="H15" i="70" s="1"/>
  <c r="T13" i="71"/>
  <c r="AB20" i="71"/>
  <c r="AC20" i="71" s="1"/>
  <c r="F93" i="70"/>
  <c r="X20" i="71"/>
  <c r="H130" i="70"/>
  <c r="H129" i="70" s="1"/>
  <c r="F129" i="70"/>
  <c r="AB14" i="71"/>
  <c r="S25" i="71"/>
  <c r="F57" i="70"/>
  <c r="X14" i="71"/>
  <c r="AB19" i="71"/>
  <c r="AC19" i="71" s="1"/>
  <c r="X19" i="71"/>
  <c r="F87" i="70"/>
  <c r="X18" i="71"/>
  <c r="F81" i="70"/>
  <c r="AB18" i="71"/>
  <c r="AC18" i="71" s="1"/>
  <c r="F128" i="70"/>
  <c r="H128" i="70" s="1"/>
  <c r="W35" i="71"/>
  <c r="V41" i="71"/>
  <c r="F212" i="70" s="1"/>
  <c r="H212" i="70" s="1"/>
  <c r="T41" i="71"/>
  <c r="F210" i="70" s="1"/>
  <c r="H210" i="70" s="1"/>
  <c r="W41" i="71"/>
  <c r="F213" i="70" s="1"/>
  <c r="H213" i="70" s="1"/>
  <c r="S41" i="71"/>
  <c r="U41" i="71"/>
  <c r="F211" i="70" s="1"/>
  <c r="H211" i="70" s="1"/>
  <c r="W40" i="71"/>
  <c r="F207" i="70" s="1"/>
  <c r="H207" i="70" s="1"/>
  <c r="V40" i="71"/>
  <c r="F206" i="70" s="1"/>
  <c r="H206" i="70" s="1"/>
  <c r="U40" i="71"/>
  <c r="F205" i="70" s="1"/>
  <c r="H205" i="70" s="1"/>
  <c r="T40" i="71"/>
  <c r="F204" i="70" s="1"/>
  <c r="H204" i="70" s="1"/>
  <c r="S40" i="71"/>
  <c r="AB9" i="71"/>
  <c r="AC9" i="71" s="1"/>
  <c r="F32" i="70"/>
  <c r="X9" i="71"/>
  <c r="F17" i="70"/>
  <c r="H17" i="70" s="1"/>
  <c r="V13" i="71"/>
  <c r="AB33" i="71"/>
  <c r="AC33" i="71" s="1"/>
  <c r="X33" i="71"/>
  <c r="F166" i="70"/>
  <c r="W25" i="71"/>
  <c r="F61" i="70"/>
  <c r="H61" i="70" s="1"/>
  <c r="V25" i="71"/>
  <c r="F60" i="70"/>
  <c r="H60" i="70" s="1"/>
  <c r="AB10" i="71"/>
  <c r="AC10" i="71" s="1"/>
  <c r="F38" i="70"/>
  <c r="X10" i="71"/>
  <c r="V35" i="71"/>
  <c r="F127" i="70"/>
  <c r="H127" i="70" s="1"/>
  <c r="H8" i="70"/>
  <c r="H7" i="70" s="1"/>
  <c r="F7" i="70"/>
  <c r="S36" i="71"/>
  <c r="V36" i="71"/>
  <c r="U36" i="71"/>
  <c r="T36" i="71"/>
  <c r="W36" i="71"/>
  <c r="W37" i="71"/>
  <c r="F189" i="70" s="1"/>
  <c r="H189" i="70" s="1"/>
  <c r="V37" i="71"/>
  <c r="F188" i="70" s="1"/>
  <c r="H188" i="70" s="1"/>
  <c r="U37" i="71"/>
  <c r="F187" i="70" s="1"/>
  <c r="H187" i="70" s="1"/>
  <c r="T37" i="71"/>
  <c r="F186" i="70" s="1"/>
  <c r="H186" i="70" s="1"/>
  <c r="S37" i="71"/>
  <c r="X6" i="71"/>
  <c r="AB6" i="71"/>
  <c r="AC6" i="71" s="1"/>
  <c r="F14" i="70"/>
  <c r="F58" i="70"/>
  <c r="H58" i="70" s="1"/>
  <c r="T25" i="71"/>
  <c r="F16" i="70"/>
  <c r="H16" i="70" s="1"/>
  <c r="U13" i="71"/>
  <c r="F18" i="70"/>
  <c r="H18" i="70" s="1"/>
  <c r="W13" i="71"/>
  <c r="AB12" i="71"/>
  <c r="AC12" i="71" s="1"/>
  <c r="X12" i="71"/>
  <c r="F50" i="70"/>
  <c r="U25" i="71"/>
  <c r="F59" i="70"/>
  <c r="H59" i="70" s="1"/>
  <c r="H75" i="70"/>
  <c r="H74" i="70" s="1"/>
  <c r="F74" i="70"/>
  <c r="AB7" i="71"/>
  <c r="AC7" i="71" s="1"/>
  <c r="F20" i="70"/>
  <c r="X7" i="71"/>
  <c r="U35" i="71"/>
  <c r="F126" i="70"/>
  <c r="H126" i="70" s="1"/>
  <c r="T35" i="71"/>
  <c r="F125" i="70"/>
  <c r="H125" i="70" s="1"/>
  <c r="AB23" i="71"/>
  <c r="AC23" i="71" s="1"/>
  <c r="X23" i="71"/>
  <c r="F111" i="70"/>
  <c r="AB16" i="71"/>
  <c r="AC16" i="71" s="1"/>
  <c r="F69" i="70"/>
  <c r="X16" i="71"/>
  <c r="AC5" i="71"/>
  <c r="U42" i="71"/>
  <c r="F217" i="70" s="1"/>
  <c r="H217" i="70" s="1"/>
  <c r="T42" i="71"/>
  <c r="F216" i="70" s="1"/>
  <c r="H216" i="70" s="1"/>
  <c r="S42" i="71"/>
  <c r="W42" i="71"/>
  <c r="F219" i="70" s="1"/>
  <c r="H219" i="70" s="1"/>
  <c r="V42" i="71"/>
  <c r="F218" i="70" s="1"/>
  <c r="H218" i="70" s="1"/>
  <c r="X8" i="71"/>
  <c r="AB8" i="71"/>
  <c r="AC8" i="71" s="1"/>
  <c r="F26" i="70"/>
  <c r="F44" i="70"/>
  <c r="X11" i="71"/>
  <c r="AB11" i="71"/>
  <c r="AC11" i="71" s="1"/>
  <c r="X26" i="71"/>
  <c r="F124" i="70"/>
  <c r="S35" i="71"/>
  <c r="AB26" i="71"/>
  <c r="V38" i="71"/>
  <c r="F194" i="70" s="1"/>
  <c r="H194" i="70" s="1"/>
  <c r="U38" i="71"/>
  <c r="F193" i="70" s="1"/>
  <c r="H193" i="70" s="1"/>
  <c r="T38" i="71"/>
  <c r="F192" i="70" s="1"/>
  <c r="H192" i="70" s="1"/>
  <c r="W38" i="71"/>
  <c r="F195" i="70" s="1"/>
  <c r="H195" i="70" s="1"/>
  <c r="S38" i="71"/>
  <c r="B12" i="39"/>
  <c r="F15" i="39" s="1"/>
  <c r="I14" i="39"/>
  <c r="I15" i="39" l="1"/>
  <c r="E15" i="39"/>
  <c r="C15" i="39"/>
  <c r="G15" i="39"/>
  <c r="H15" i="39"/>
  <c r="D15" i="39"/>
  <c r="X13" i="71"/>
  <c r="H124" i="70"/>
  <c r="H123" i="70" s="1"/>
  <c r="F123" i="70"/>
  <c r="H44" i="70"/>
  <c r="H43" i="70" s="1"/>
  <c r="F43" i="70"/>
  <c r="W44" i="71"/>
  <c r="F183" i="70"/>
  <c r="H183" i="70" s="1"/>
  <c r="AC13" i="71"/>
  <c r="H14" i="70"/>
  <c r="H13" i="70" s="1"/>
  <c r="F13" i="70"/>
  <c r="U44" i="71"/>
  <c r="U45" i="71" s="1"/>
  <c r="AB12" i="72" s="1"/>
  <c r="AD12" i="72" s="1"/>
  <c r="F181" i="70"/>
  <c r="H181" i="70" s="1"/>
  <c r="H32" i="70"/>
  <c r="H31" i="70" s="1"/>
  <c r="F31" i="70"/>
  <c r="X41" i="71"/>
  <c r="F209" i="70"/>
  <c r="AB41" i="71"/>
  <c r="AC41" i="71" s="1"/>
  <c r="X38" i="71"/>
  <c r="AB38" i="71"/>
  <c r="AC38" i="71" s="1"/>
  <c r="F191" i="70"/>
  <c r="H26" i="70"/>
  <c r="H25" i="70" s="1"/>
  <c r="F25" i="70"/>
  <c r="H69" i="70"/>
  <c r="H68" i="70" s="1"/>
  <c r="F68" i="70"/>
  <c r="H50" i="70"/>
  <c r="H49" i="70" s="1"/>
  <c r="F49" i="70"/>
  <c r="T44" i="71"/>
  <c r="T45" i="71" s="1"/>
  <c r="AB11" i="72" s="1"/>
  <c r="AD11" i="72" s="1"/>
  <c r="F180" i="70"/>
  <c r="H180" i="70" s="1"/>
  <c r="H81" i="70"/>
  <c r="H80" i="70" s="1"/>
  <c r="F80" i="70"/>
  <c r="AC14" i="71"/>
  <c r="AB25" i="71"/>
  <c r="H93" i="70"/>
  <c r="H92" i="70" s="1"/>
  <c r="F92" i="70"/>
  <c r="H63" i="70"/>
  <c r="H62" i="70" s="1"/>
  <c r="F62" i="70"/>
  <c r="X36" i="71"/>
  <c r="S44" i="71"/>
  <c r="AB36" i="71"/>
  <c r="F179" i="70"/>
  <c r="H166" i="70"/>
  <c r="H165" i="70" s="1"/>
  <c r="F165" i="70"/>
  <c r="AB40" i="71"/>
  <c r="AC40" i="71" s="1"/>
  <c r="X40" i="71"/>
  <c r="F203" i="70"/>
  <c r="X42" i="71"/>
  <c r="AB42" i="71"/>
  <c r="AC42" i="71" s="1"/>
  <c r="F215" i="70"/>
  <c r="H111" i="70"/>
  <c r="H110" i="70" s="1"/>
  <c r="F110" i="70"/>
  <c r="H20" i="70"/>
  <c r="H19" i="70" s="1"/>
  <c r="F19" i="70"/>
  <c r="AB37" i="71"/>
  <c r="AC37" i="71" s="1"/>
  <c r="F185" i="70"/>
  <c r="X37" i="71"/>
  <c r="F182" i="70"/>
  <c r="H182" i="70" s="1"/>
  <c r="V44" i="71"/>
  <c r="H87" i="70"/>
  <c r="H86" i="70" s="1"/>
  <c r="F86" i="70"/>
  <c r="H57" i="70"/>
  <c r="H56" i="70" s="1"/>
  <c r="F56" i="70"/>
  <c r="W45" i="71"/>
  <c r="AB14" i="72" s="1"/>
  <c r="AD14" i="72" s="1"/>
  <c r="X35" i="71"/>
  <c r="AB13" i="71"/>
  <c r="V45" i="71"/>
  <c r="AB13" i="72" s="1"/>
  <c r="AD13" i="72" s="1"/>
  <c r="AB35" i="71"/>
  <c r="AC26" i="71"/>
  <c r="H38" i="70"/>
  <c r="H37" i="70" s="1"/>
  <c r="F37" i="70"/>
  <c r="X25" i="71"/>
  <c r="J29" i="16"/>
  <c r="H29" i="16"/>
  <c r="J28" i="16"/>
  <c r="H28" i="16"/>
  <c r="J27" i="16"/>
  <c r="H27" i="16"/>
  <c r="L23" i="16"/>
  <c r="J23" i="16"/>
  <c r="L22" i="16"/>
  <c r="J22" i="16"/>
  <c r="L21" i="16"/>
  <c r="J21" i="16"/>
  <c r="L20" i="16"/>
  <c r="J20" i="16"/>
  <c r="L19" i="16"/>
  <c r="J19" i="16"/>
  <c r="L18" i="16"/>
  <c r="J18" i="16"/>
  <c r="L17" i="16"/>
  <c r="J17" i="16"/>
  <c r="L16" i="16"/>
  <c r="J16" i="16"/>
  <c r="L15" i="16"/>
  <c r="J15" i="16"/>
  <c r="L14" i="16"/>
  <c r="J14" i="16"/>
  <c r="L13" i="16"/>
  <c r="J13" i="16"/>
  <c r="L12" i="16"/>
  <c r="J12" i="16"/>
  <c r="L11" i="16"/>
  <c r="J11" i="16"/>
  <c r="L10" i="16"/>
  <c r="J10" i="16"/>
  <c r="L9" i="16"/>
  <c r="J9" i="16"/>
  <c r="L8" i="16"/>
  <c r="J8" i="16"/>
  <c r="L7" i="16"/>
  <c r="J7" i="16"/>
  <c r="L24" i="16"/>
  <c r="J24" i="16"/>
  <c r="D24" i="16"/>
  <c r="L213" i="15"/>
  <c r="H32" i="14"/>
  <c r="C207" i="15" s="1"/>
  <c r="G32" i="14"/>
  <c r="C206" i="15" s="1"/>
  <c r="F32" i="14"/>
  <c r="C205" i="15" s="1"/>
  <c r="E32" i="14"/>
  <c r="C204" i="15" s="1"/>
  <c r="D32" i="14"/>
  <c r="C203" i="15" s="1"/>
  <c r="C32" i="14"/>
  <c r="C202" i="15" s="1"/>
  <c r="C16" i="36"/>
  <c r="C10" i="35"/>
  <c r="B20" i="35" s="1"/>
  <c r="B10" i="35"/>
  <c r="B15" i="39" l="1"/>
  <c r="H6" i="70"/>
  <c r="H7" i="69" s="1"/>
  <c r="X44" i="71"/>
  <c r="AC35" i="71"/>
  <c r="AC36" i="71"/>
  <c r="AB44" i="71"/>
  <c r="AB45" i="71" s="1"/>
  <c r="H191" i="70"/>
  <c r="H190" i="70" s="1"/>
  <c r="F190" i="70"/>
  <c r="H209" i="70"/>
  <c r="H208" i="70" s="1"/>
  <c r="F208" i="70"/>
  <c r="H215" i="70"/>
  <c r="H214" i="70" s="1"/>
  <c r="F214" i="70"/>
  <c r="H179" i="70"/>
  <c r="H178" i="70" s="1"/>
  <c r="F178" i="70"/>
  <c r="S45" i="71"/>
  <c r="H55" i="70"/>
  <c r="H8" i="69" s="1"/>
  <c r="H122" i="70"/>
  <c r="H9" i="69" s="1"/>
  <c r="H185" i="70"/>
  <c r="H184" i="70" s="1"/>
  <c r="F184" i="70"/>
  <c r="H203" i="70"/>
  <c r="H202" i="70" s="1"/>
  <c r="F202" i="70"/>
  <c r="AC25" i="71"/>
  <c r="F213" i="15"/>
  <c r="L214" i="15"/>
  <c r="AC44" i="71" l="1"/>
  <c r="H177" i="70"/>
  <c r="H10" i="69" s="1"/>
  <c r="H6" i="69" s="1"/>
  <c r="X45" i="71"/>
  <c r="AB10" i="72"/>
  <c r="AD10" i="72" s="1"/>
  <c r="L29" i="16"/>
  <c r="F29" i="16" s="1"/>
  <c r="F214" i="15"/>
  <c r="H17" i="69" l="1"/>
  <c r="H5" i="70"/>
  <c r="AD9" i="72"/>
  <c r="AC45" i="71"/>
  <c r="AD44" i="71" s="1"/>
  <c r="H5" i="69" l="1"/>
  <c r="AD16" i="72"/>
  <c r="AD17" i="72" s="1"/>
  <c r="AD28" i="71"/>
  <c r="AD39" i="71"/>
  <c r="AD21" i="71"/>
  <c r="AD34" i="71"/>
  <c r="AD22" i="71"/>
  <c r="AD31" i="71"/>
  <c r="AD30" i="71"/>
  <c r="AD24" i="71"/>
  <c r="AD29" i="71"/>
  <c r="AD32" i="71"/>
  <c r="AD17" i="71"/>
  <c r="AD43" i="71"/>
  <c r="AD27" i="71"/>
  <c r="AD7" i="71"/>
  <c r="AD8" i="71"/>
  <c r="AD20" i="71"/>
  <c r="AD10" i="71"/>
  <c r="AD15" i="71"/>
  <c r="AD11" i="71"/>
  <c r="AD33" i="71"/>
  <c r="AD19" i="71"/>
  <c r="AD18" i="71"/>
  <c r="AD6" i="71"/>
  <c r="AD5" i="71"/>
  <c r="AD23" i="71"/>
  <c r="AD12" i="71"/>
  <c r="AD9" i="71"/>
  <c r="AD16" i="71"/>
  <c r="AD26" i="71"/>
  <c r="AD38" i="71"/>
  <c r="AD37" i="71"/>
  <c r="AD40" i="71"/>
  <c r="AD13" i="71"/>
  <c r="AD42" i="71"/>
  <c r="AD41" i="71"/>
  <c r="AD14" i="71"/>
  <c r="AD25" i="71"/>
  <c r="AD36" i="71"/>
  <c r="AD35" i="71"/>
  <c r="AD18" i="72" l="1"/>
  <c r="AD19" i="72"/>
  <c r="C10" i="74"/>
  <c r="N4" i="72" l="1"/>
  <c r="P4" i="72" s="1"/>
  <c r="AD20" i="72"/>
  <c r="J29" i="74"/>
  <c r="J30" i="74"/>
  <c r="J31" i="74"/>
  <c r="J27" i="74"/>
  <c r="J28" i="74"/>
  <c r="J32" i="74" l="1"/>
  <c r="H19" i="69" s="1"/>
  <c r="H20" i="69" s="1"/>
  <c r="J17" i="2" l="1"/>
  <c r="H21" i="69"/>
  <c r="H22" i="69" l="1"/>
  <c r="C22" i="36" l="1"/>
  <c r="G15" i="36"/>
  <c r="E12" i="21"/>
  <c r="G28" i="30"/>
  <c r="G27" i="30"/>
  <c r="G26" i="30"/>
  <c r="H34" i="39"/>
  <c r="G34" i="39"/>
  <c r="F34" i="39"/>
  <c r="E34" i="39"/>
  <c r="D34" i="39"/>
  <c r="C34" i="39"/>
  <c r="H33" i="39"/>
  <c r="G33" i="39"/>
  <c r="F33" i="39"/>
  <c r="E33" i="39"/>
  <c r="D33" i="39"/>
  <c r="C33" i="39"/>
  <c r="C28" i="39"/>
  <c r="D28" i="39"/>
  <c r="E28" i="39"/>
  <c r="F28" i="39"/>
  <c r="G28" i="39"/>
  <c r="H28" i="39"/>
  <c r="D30" i="39"/>
  <c r="E30" i="39"/>
  <c r="F30" i="39"/>
  <c r="G30" i="39"/>
  <c r="H30" i="39"/>
  <c r="C30" i="39"/>
  <c r="H5" i="40"/>
  <c r="H4" i="40"/>
  <c r="G25" i="30" l="1"/>
  <c r="L42" i="29" s="1"/>
  <c r="L43" i="29" s="1"/>
  <c r="J12" i="21" s="1"/>
  <c r="J11" i="21" s="1"/>
  <c r="F12" i="21" l="1"/>
  <c r="F11" i="21" s="1"/>
  <c r="F42" i="29"/>
  <c r="F43" i="29" s="1"/>
  <c r="E7" i="21"/>
  <c r="I11" i="29"/>
  <c r="I7" i="29"/>
  <c r="I8" i="29"/>
  <c r="E8" i="29" s="1"/>
  <c r="I9" i="29"/>
  <c r="E9" i="29" s="1"/>
  <c r="I10" i="29"/>
  <c r="I6" i="29"/>
  <c r="D12" i="30"/>
  <c r="D13" i="30" s="1"/>
  <c r="C7" i="29" s="1"/>
  <c r="E12" i="30"/>
  <c r="E13" i="30" s="1"/>
  <c r="C8" i="29" s="1"/>
  <c r="F12" i="30"/>
  <c r="F13" i="30" s="1"/>
  <c r="C9" i="29" s="1"/>
  <c r="G12" i="30"/>
  <c r="G13" i="30" s="1"/>
  <c r="C10" i="29" s="1"/>
  <c r="H12" i="30"/>
  <c r="H13" i="30" s="1"/>
  <c r="C11" i="29" s="1"/>
  <c r="C12" i="30"/>
  <c r="C13" i="30" s="1"/>
  <c r="C6" i="29" s="1"/>
  <c r="H29" i="39"/>
  <c r="G29" i="39"/>
  <c r="C21" i="38" s="1"/>
  <c r="F29" i="39"/>
  <c r="C20" i="38" s="1"/>
  <c r="E29" i="39"/>
  <c r="D29" i="39"/>
  <c r="C29" i="39"/>
  <c r="C19" i="38"/>
  <c r="C14" i="39"/>
  <c r="H45" i="14"/>
  <c r="G11" i="15"/>
  <c r="G22" i="15" s="1"/>
  <c r="G33" i="15" s="1"/>
  <c r="G11" i="38"/>
  <c r="E11" i="38" s="1"/>
  <c r="G10" i="38"/>
  <c r="G21" i="38" s="1"/>
  <c r="G9" i="38"/>
  <c r="G20" i="38" s="1"/>
  <c r="G8" i="38"/>
  <c r="E8" i="38" s="1"/>
  <c r="G7" i="38"/>
  <c r="E7" i="38" s="1"/>
  <c r="G6" i="38"/>
  <c r="E6" i="38" s="1"/>
  <c r="C55" i="38"/>
  <c r="C54" i="38"/>
  <c r="C53" i="38"/>
  <c r="C52" i="38"/>
  <c r="C51" i="38"/>
  <c r="C50" i="38"/>
  <c r="C44" i="38"/>
  <c r="C43" i="38"/>
  <c r="C42" i="38"/>
  <c r="C41" i="38"/>
  <c r="C40" i="38"/>
  <c r="C39" i="38"/>
  <c r="C33" i="38"/>
  <c r="C32" i="38"/>
  <c r="C31" i="38"/>
  <c r="C30" i="38"/>
  <c r="C29" i="38"/>
  <c r="C28" i="38"/>
  <c r="C22" i="38"/>
  <c r="C18" i="38"/>
  <c r="C17" i="38"/>
  <c r="C11" i="38"/>
  <c r="C10" i="38"/>
  <c r="C9" i="38"/>
  <c r="C8" i="38"/>
  <c r="C7" i="38"/>
  <c r="C6" i="38"/>
  <c r="F16" i="40"/>
  <c r="G16" i="40" s="1"/>
  <c r="I16" i="40" s="1"/>
  <c r="F15" i="40"/>
  <c r="G15" i="40" s="1"/>
  <c r="I15" i="40" s="1"/>
  <c r="F14" i="40"/>
  <c r="G14" i="40" s="1"/>
  <c r="I14" i="40" s="1"/>
  <c r="H6" i="40"/>
  <c r="F14" i="39"/>
  <c r="E14" i="39"/>
  <c r="D14" i="39"/>
  <c r="I26" i="36"/>
  <c r="B26" i="36" s="1"/>
  <c r="B30" i="36" s="1"/>
  <c r="F8" i="23" s="1"/>
  <c r="B21" i="34"/>
  <c r="O35" i="34"/>
  <c r="H19" i="34"/>
  <c r="I19" i="34" s="1"/>
  <c r="E19" i="34" s="1"/>
  <c r="H18" i="34"/>
  <c r="I18" i="34" s="1"/>
  <c r="E18" i="34" s="1"/>
  <c r="H17" i="34"/>
  <c r="I17" i="34" s="1"/>
  <c r="E17" i="34" s="1"/>
  <c r="H16" i="34"/>
  <c r="I16" i="34" s="1"/>
  <c r="E16" i="34" s="1"/>
  <c r="H15" i="34"/>
  <c r="I15" i="34" s="1"/>
  <c r="E15" i="34" s="1"/>
  <c r="H14" i="34"/>
  <c r="I14" i="34" s="1"/>
  <c r="F7" i="23"/>
  <c r="E22" i="34"/>
  <c r="H11" i="32"/>
  <c r="H10" i="32"/>
  <c r="H22" i="32" s="1"/>
  <c r="H34" i="32" s="1"/>
  <c r="H9" i="32"/>
  <c r="H21" i="32" s="1"/>
  <c r="H8" i="32"/>
  <c r="H20" i="32" s="1"/>
  <c r="H7" i="32"/>
  <c r="H6" i="32"/>
  <c r="H18" i="32" s="1"/>
  <c r="D35" i="32"/>
  <c r="D34" i="32"/>
  <c r="D33" i="32"/>
  <c r="D32" i="32"/>
  <c r="D31" i="32"/>
  <c r="D30" i="32"/>
  <c r="D23" i="32"/>
  <c r="D22" i="32"/>
  <c r="D21" i="32"/>
  <c r="D20" i="32"/>
  <c r="D19" i="32"/>
  <c r="D18" i="32"/>
  <c r="D11" i="32"/>
  <c r="D10" i="32"/>
  <c r="D9" i="32"/>
  <c r="D8" i="32"/>
  <c r="D7" i="32"/>
  <c r="D6" i="32"/>
  <c r="B14" i="33"/>
  <c r="B13" i="32" s="1"/>
  <c r="I23" i="29"/>
  <c r="I35" i="29" s="1"/>
  <c r="I22" i="29"/>
  <c r="I34" i="29" s="1"/>
  <c r="I21" i="29"/>
  <c r="I33" i="29" s="1"/>
  <c r="I20" i="29"/>
  <c r="I32" i="29" s="1"/>
  <c r="I19" i="29"/>
  <c r="I31" i="29" s="1"/>
  <c r="I18" i="29"/>
  <c r="I30" i="29" s="1"/>
  <c r="C8" i="21"/>
  <c r="E8" i="21"/>
  <c r="C22" i="30"/>
  <c r="B25" i="29" s="1"/>
  <c r="B37" i="29" s="1"/>
  <c r="H21" i="30"/>
  <c r="C35" i="29" s="1"/>
  <c r="G21" i="30"/>
  <c r="C34" i="29" s="1"/>
  <c r="F21" i="30"/>
  <c r="C33" i="29" s="1"/>
  <c r="E21" i="30"/>
  <c r="C32" i="29" s="1"/>
  <c r="D21" i="30"/>
  <c r="C31" i="29" s="1"/>
  <c r="C21" i="30"/>
  <c r="C30" i="29" s="1"/>
  <c r="H18" i="30"/>
  <c r="H19" i="30" s="1"/>
  <c r="C23" i="29" s="1"/>
  <c r="G18" i="30"/>
  <c r="G19" i="30" s="1"/>
  <c r="C22" i="29" s="1"/>
  <c r="F18" i="30"/>
  <c r="F19" i="30" s="1"/>
  <c r="C21" i="29" s="1"/>
  <c r="E18" i="30"/>
  <c r="E19" i="30" s="1"/>
  <c r="C20" i="29" s="1"/>
  <c r="D18" i="30"/>
  <c r="D19" i="30" s="1"/>
  <c r="C19" i="29" s="1"/>
  <c r="C18" i="30"/>
  <c r="C19" i="30" s="1"/>
  <c r="C18" i="29" s="1"/>
  <c r="E9" i="21"/>
  <c r="C9" i="21"/>
  <c r="C8" i="16"/>
  <c r="C9" i="16"/>
  <c r="C10" i="16"/>
  <c r="C11" i="16"/>
  <c r="C12" i="16"/>
  <c r="C13" i="16"/>
  <c r="C14" i="16"/>
  <c r="C15" i="16"/>
  <c r="C16" i="16"/>
  <c r="C17" i="16"/>
  <c r="C18" i="16"/>
  <c r="C19" i="16"/>
  <c r="C20" i="16"/>
  <c r="C21" i="16"/>
  <c r="C22" i="16"/>
  <c r="C23" i="16"/>
  <c r="C7" i="16"/>
  <c r="C187" i="15"/>
  <c r="C186" i="15"/>
  <c r="C185" i="15"/>
  <c r="C184" i="15"/>
  <c r="C183" i="15"/>
  <c r="C182" i="15"/>
  <c r="C164" i="15"/>
  <c r="D23" i="16"/>
  <c r="D22" i="16"/>
  <c r="D21" i="16"/>
  <c r="D20" i="16"/>
  <c r="D19" i="16"/>
  <c r="D18" i="16"/>
  <c r="D17" i="16"/>
  <c r="D16" i="16"/>
  <c r="D15" i="16"/>
  <c r="D14" i="16"/>
  <c r="D13" i="16"/>
  <c r="D12" i="16"/>
  <c r="D11" i="16"/>
  <c r="D10" i="16"/>
  <c r="D9" i="16"/>
  <c r="D8" i="16"/>
  <c r="D7" i="16"/>
  <c r="H46" i="14"/>
  <c r="H44" i="14"/>
  <c r="H42" i="14"/>
  <c r="H41" i="14"/>
  <c r="H40" i="14"/>
  <c r="J35" i="14"/>
  <c r="H34" i="14"/>
  <c r="C176" i="15" s="1"/>
  <c r="G34" i="14"/>
  <c r="C175" i="15" s="1"/>
  <c r="F34" i="14"/>
  <c r="C174" i="15" s="1"/>
  <c r="E34" i="14"/>
  <c r="C173" i="15" s="1"/>
  <c r="D34" i="14"/>
  <c r="C172" i="15" s="1"/>
  <c r="C34" i="14"/>
  <c r="C171" i="15" s="1"/>
  <c r="H33" i="14"/>
  <c r="C165" i="15" s="1"/>
  <c r="G33" i="14"/>
  <c r="F33" i="14"/>
  <c r="C163" i="15" s="1"/>
  <c r="E33" i="14"/>
  <c r="C162" i="15" s="1"/>
  <c r="D33" i="14"/>
  <c r="C161" i="15" s="1"/>
  <c r="C33" i="14"/>
  <c r="C160" i="15" s="1"/>
  <c r="J31" i="14"/>
  <c r="H30" i="14"/>
  <c r="C154" i="15" s="1"/>
  <c r="G30" i="14"/>
  <c r="C153" i="15" s="1"/>
  <c r="F30" i="14"/>
  <c r="C152" i="15" s="1"/>
  <c r="E30" i="14"/>
  <c r="C151" i="15" s="1"/>
  <c r="D30" i="14"/>
  <c r="C150" i="15" s="1"/>
  <c r="C30" i="14"/>
  <c r="H29" i="14"/>
  <c r="C143" i="15" s="1"/>
  <c r="G29" i="14"/>
  <c r="C142" i="15" s="1"/>
  <c r="F29" i="14"/>
  <c r="C141" i="15" s="1"/>
  <c r="E29" i="14"/>
  <c r="C140" i="15" s="1"/>
  <c r="D29" i="14"/>
  <c r="C139" i="15" s="1"/>
  <c r="C29" i="14"/>
  <c r="C138" i="15" s="1"/>
  <c r="H28" i="14"/>
  <c r="C132" i="15" s="1"/>
  <c r="G28" i="14"/>
  <c r="C131" i="15" s="1"/>
  <c r="F28" i="14"/>
  <c r="C130" i="15" s="1"/>
  <c r="E28" i="14"/>
  <c r="C129" i="15" s="1"/>
  <c r="D28" i="14"/>
  <c r="C128" i="15" s="1"/>
  <c r="C28" i="14"/>
  <c r="H27" i="14"/>
  <c r="C121" i="15" s="1"/>
  <c r="G27" i="14"/>
  <c r="C120" i="15" s="1"/>
  <c r="F27" i="14"/>
  <c r="C119" i="15" s="1"/>
  <c r="E27" i="14"/>
  <c r="C118" i="15" s="1"/>
  <c r="D27" i="14"/>
  <c r="C117" i="15" s="1"/>
  <c r="C27" i="14"/>
  <c r="C116" i="15" s="1"/>
  <c r="H26" i="14"/>
  <c r="C110" i="15" s="1"/>
  <c r="G26" i="14"/>
  <c r="C109" i="15" s="1"/>
  <c r="F26" i="14"/>
  <c r="C108" i="15" s="1"/>
  <c r="E26" i="14"/>
  <c r="C107" i="15" s="1"/>
  <c r="D26" i="14"/>
  <c r="C106" i="15" s="1"/>
  <c r="C26" i="14"/>
  <c r="C105" i="15" s="1"/>
  <c r="H25" i="14"/>
  <c r="C99" i="15" s="1"/>
  <c r="G25" i="14"/>
  <c r="C98" i="15" s="1"/>
  <c r="F25" i="14"/>
  <c r="C97" i="15" s="1"/>
  <c r="E25" i="14"/>
  <c r="C96" i="15" s="1"/>
  <c r="D25" i="14"/>
  <c r="C95" i="15" s="1"/>
  <c r="C25" i="14"/>
  <c r="C94" i="15" s="1"/>
  <c r="H24" i="14"/>
  <c r="C88" i="15" s="1"/>
  <c r="G24" i="14"/>
  <c r="C87" i="15" s="1"/>
  <c r="F24" i="14"/>
  <c r="C86" i="15" s="1"/>
  <c r="E24" i="14"/>
  <c r="C85" i="15" s="1"/>
  <c r="D24" i="14"/>
  <c r="C84" i="15" s="1"/>
  <c r="C24" i="14"/>
  <c r="C83" i="15" s="1"/>
  <c r="H23" i="14"/>
  <c r="C77" i="15" s="1"/>
  <c r="G23" i="14"/>
  <c r="C76" i="15" s="1"/>
  <c r="F23" i="14"/>
  <c r="C75" i="15" s="1"/>
  <c r="E23" i="14"/>
  <c r="C74" i="15" s="1"/>
  <c r="D23" i="14"/>
  <c r="C73" i="15" s="1"/>
  <c r="C23" i="14"/>
  <c r="C72" i="15" s="1"/>
  <c r="H22" i="14"/>
  <c r="C66" i="15" s="1"/>
  <c r="G22" i="14"/>
  <c r="C65" i="15" s="1"/>
  <c r="F22" i="14"/>
  <c r="C64" i="15" s="1"/>
  <c r="E22" i="14"/>
  <c r="C63" i="15" s="1"/>
  <c r="D22" i="14"/>
  <c r="C62" i="15" s="1"/>
  <c r="C22" i="14"/>
  <c r="H21" i="14"/>
  <c r="C55" i="15" s="1"/>
  <c r="G21" i="14"/>
  <c r="C54" i="15" s="1"/>
  <c r="F21" i="14"/>
  <c r="C53" i="15" s="1"/>
  <c r="E21" i="14"/>
  <c r="C52" i="15" s="1"/>
  <c r="D21" i="14"/>
  <c r="C51" i="15" s="1"/>
  <c r="C21" i="14"/>
  <c r="C50" i="15" s="1"/>
  <c r="H20" i="14"/>
  <c r="C44" i="15" s="1"/>
  <c r="G20" i="14"/>
  <c r="C43" i="15" s="1"/>
  <c r="F20" i="14"/>
  <c r="C42" i="15" s="1"/>
  <c r="E20" i="14"/>
  <c r="C41" i="15" s="1"/>
  <c r="D20" i="14"/>
  <c r="C40" i="15" s="1"/>
  <c r="C20" i="14"/>
  <c r="C39" i="15" s="1"/>
  <c r="H19" i="14"/>
  <c r="C33" i="15" s="1"/>
  <c r="G19" i="14"/>
  <c r="C32" i="15" s="1"/>
  <c r="F19" i="14"/>
  <c r="C31" i="15" s="1"/>
  <c r="E19" i="14"/>
  <c r="C30" i="15" s="1"/>
  <c r="D19" i="14"/>
  <c r="C29" i="15" s="1"/>
  <c r="C19" i="14"/>
  <c r="C28" i="15" s="1"/>
  <c r="H18" i="14"/>
  <c r="C22" i="15" s="1"/>
  <c r="G18" i="14"/>
  <c r="C21" i="15" s="1"/>
  <c r="F18" i="14"/>
  <c r="C20" i="15" s="1"/>
  <c r="E18" i="14"/>
  <c r="C19" i="15" s="1"/>
  <c r="D18" i="14"/>
  <c r="C18" i="15" s="1"/>
  <c r="C18" i="14"/>
  <c r="H17" i="14"/>
  <c r="C11" i="15" s="1"/>
  <c r="G17" i="14"/>
  <c r="C10" i="15" s="1"/>
  <c r="F17" i="14"/>
  <c r="C9" i="15" s="1"/>
  <c r="E17" i="14"/>
  <c r="C8" i="15" s="1"/>
  <c r="D17" i="14"/>
  <c r="C7" i="15" s="1"/>
  <c r="C17" i="14"/>
  <c r="C6" i="15" s="1"/>
  <c r="D6" i="14"/>
  <c r="D13" i="14" s="1"/>
  <c r="B223" i="15" s="1"/>
  <c r="H10" i="38" l="1"/>
  <c r="F10" i="38" s="1"/>
  <c r="H7" i="38"/>
  <c r="F7" i="38" s="1"/>
  <c r="H11" i="38"/>
  <c r="F11" i="38" s="1"/>
  <c r="J9" i="29"/>
  <c r="F9" i="29" s="1"/>
  <c r="B178" i="15"/>
  <c r="B209" i="15"/>
  <c r="B37" i="32"/>
  <c r="B25" i="32"/>
  <c r="J7" i="29"/>
  <c r="F7" i="29" s="1"/>
  <c r="I7" i="32"/>
  <c r="E7" i="32" s="1"/>
  <c r="I11" i="32"/>
  <c r="E11" i="32" s="1"/>
  <c r="I6" i="32"/>
  <c r="E6" i="32" s="1"/>
  <c r="J18" i="14"/>
  <c r="J22" i="14"/>
  <c r="J28" i="14"/>
  <c r="J30" i="14"/>
  <c r="C17" i="15"/>
  <c r="C61" i="15"/>
  <c r="C127" i="15"/>
  <c r="C149" i="15"/>
  <c r="J17" i="14"/>
  <c r="J21" i="14"/>
  <c r="J26" i="14"/>
  <c r="J10" i="29"/>
  <c r="F10" i="29" s="1"/>
  <c r="E10" i="38"/>
  <c r="H9" i="38"/>
  <c r="F9" i="38" s="1"/>
  <c r="H32" i="32"/>
  <c r="I32" i="32" s="1"/>
  <c r="E32" i="32" s="1"/>
  <c r="I20" i="32"/>
  <c r="E20" i="32" s="1"/>
  <c r="I8" i="32"/>
  <c r="E8" i="32" s="1"/>
  <c r="I34" i="32"/>
  <c r="E34" i="32" s="1"/>
  <c r="G22" i="38"/>
  <c r="G33" i="38" s="1"/>
  <c r="H33" i="38" s="1"/>
  <c r="F33" i="38" s="1"/>
  <c r="G17" i="38"/>
  <c r="G28" i="38" s="1"/>
  <c r="E28" i="38" s="1"/>
  <c r="B13" i="29"/>
  <c r="J8" i="29"/>
  <c r="F8" i="29" s="1"/>
  <c r="J6" i="29"/>
  <c r="F6" i="29" s="1"/>
  <c r="J11" i="29"/>
  <c r="F11" i="29" s="1"/>
  <c r="E7" i="29"/>
  <c r="E11" i="29"/>
  <c r="E6" i="29"/>
  <c r="E10" i="29"/>
  <c r="E33" i="29"/>
  <c r="G18" i="38"/>
  <c r="H18" i="38" s="1"/>
  <c r="F18" i="38" s="1"/>
  <c r="H11" i="15"/>
  <c r="F11" i="15" s="1"/>
  <c r="G44" i="15"/>
  <c r="H44" i="15" s="1"/>
  <c r="F44" i="15" s="1"/>
  <c r="E33" i="15"/>
  <c r="G31" i="38"/>
  <c r="E20" i="38"/>
  <c r="H21" i="38"/>
  <c r="F21" i="38" s="1"/>
  <c r="G32" i="38"/>
  <c r="H32" i="38" s="1"/>
  <c r="F32" i="38" s="1"/>
  <c r="G19" i="38"/>
  <c r="H19" i="38" s="1"/>
  <c r="F19" i="38" s="1"/>
  <c r="H6" i="38"/>
  <c r="F6" i="38" s="1"/>
  <c r="I13" i="40"/>
  <c r="I8" i="40" s="1"/>
  <c r="L65" i="38" s="1"/>
  <c r="L66" i="38" s="1"/>
  <c r="L15" i="37" s="1"/>
  <c r="F15" i="37" s="1"/>
  <c r="H3" i="40"/>
  <c r="L61" i="38" s="1"/>
  <c r="H8" i="38"/>
  <c r="F8" i="38" s="1"/>
  <c r="H20" i="38"/>
  <c r="F20" i="38" s="1"/>
  <c r="E9" i="38"/>
  <c r="E21" i="38"/>
  <c r="I10" i="32"/>
  <c r="E10" i="32" s="1"/>
  <c r="I9" i="32"/>
  <c r="E9" i="32" s="1"/>
  <c r="E23" i="29"/>
  <c r="I18" i="32"/>
  <c r="E18" i="32" s="1"/>
  <c r="H30" i="32"/>
  <c r="I30" i="32" s="1"/>
  <c r="E30" i="32" s="1"/>
  <c r="I21" i="32"/>
  <c r="E21" i="32" s="1"/>
  <c r="H33" i="32"/>
  <c r="I33" i="32" s="1"/>
  <c r="E33" i="32" s="1"/>
  <c r="H23" i="32"/>
  <c r="H19" i="32"/>
  <c r="E19" i="29"/>
  <c r="I22" i="32"/>
  <c r="E22" i="32" s="1"/>
  <c r="H22" i="15"/>
  <c r="F22" i="15" s="1"/>
  <c r="I20" i="34"/>
  <c r="E14" i="34"/>
  <c r="E22" i="29"/>
  <c r="J32" i="29"/>
  <c r="F32" i="29" s="1"/>
  <c r="J19" i="29"/>
  <c r="F19" i="29" s="1"/>
  <c r="J18" i="29"/>
  <c r="F18" i="29" s="1"/>
  <c r="J20" i="29"/>
  <c r="F20" i="29" s="1"/>
  <c r="J21" i="29"/>
  <c r="F21" i="29" s="1"/>
  <c r="E18" i="29"/>
  <c r="J23" i="29"/>
  <c r="F23" i="29" s="1"/>
  <c r="J22" i="29"/>
  <c r="F22" i="29" s="1"/>
  <c r="E21" i="29"/>
  <c r="E20" i="29"/>
  <c r="H33" i="15"/>
  <c r="F33" i="15" s="1"/>
  <c r="B35" i="15"/>
  <c r="B79" i="15"/>
  <c r="B123" i="15"/>
  <c r="B167" i="15"/>
  <c r="B24" i="15"/>
  <c r="B68" i="15"/>
  <c r="B112" i="15"/>
  <c r="B156" i="15"/>
  <c r="B13" i="15"/>
  <c r="B57" i="15"/>
  <c r="B101" i="15"/>
  <c r="B145" i="15"/>
  <c r="B189" i="15"/>
  <c r="B46" i="15"/>
  <c r="B90" i="15"/>
  <c r="B134" i="15"/>
  <c r="J23" i="14"/>
  <c r="J27" i="14"/>
  <c r="J34" i="14"/>
  <c r="H43" i="14"/>
  <c r="K194" i="15" s="1"/>
  <c r="L194" i="15" s="1"/>
  <c r="F194" i="15" s="1"/>
  <c r="J25" i="14"/>
  <c r="J33" i="14"/>
  <c r="J29" i="14"/>
  <c r="J24" i="14"/>
  <c r="J20" i="14"/>
  <c r="J19" i="14"/>
  <c r="E11" i="15"/>
  <c r="E22" i="15"/>
  <c r="H39" i="14"/>
  <c r="H55" i="14"/>
  <c r="L198" i="15" s="1"/>
  <c r="F198" i="15" s="1"/>
  <c r="F199" i="15" s="1"/>
  <c r="L199" i="15" s="1"/>
  <c r="L28" i="16" s="1"/>
  <c r="F28" i="16" s="1"/>
  <c r="F66" i="38" l="1"/>
  <c r="F65" i="38"/>
  <c r="G44" i="38"/>
  <c r="H44" i="38" s="1"/>
  <c r="F44" i="38" s="1"/>
  <c r="H28" i="38"/>
  <c r="F28" i="38" s="1"/>
  <c r="E33" i="38"/>
  <c r="E22" i="38"/>
  <c r="E12" i="32"/>
  <c r="H22" i="38"/>
  <c r="F22" i="38" s="1"/>
  <c r="I12" i="32"/>
  <c r="I15" i="32" s="1"/>
  <c r="I7" i="22" s="1"/>
  <c r="E7" i="22" s="1"/>
  <c r="G39" i="38"/>
  <c r="H39" i="38" s="1"/>
  <c r="F39" i="38" s="1"/>
  <c r="E17" i="38"/>
  <c r="H17" i="38"/>
  <c r="F17" i="38" s="1"/>
  <c r="F12" i="29"/>
  <c r="J12" i="29"/>
  <c r="J14" i="29" s="1"/>
  <c r="J33" i="29"/>
  <c r="F33" i="29" s="1"/>
  <c r="J34" i="29"/>
  <c r="F34" i="29" s="1"/>
  <c r="E34" i="29"/>
  <c r="G29" i="38"/>
  <c r="E18" i="38"/>
  <c r="E44" i="15"/>
  <c r="G55" i="15"/>
  <c r="H47" i="14"/>
  <c r="K193" i="15"/>
  <c r="L193" i="15" s="1"/>
  <c r="L62" i="38"/>
  <c r="F61" i="38"/>
  <c r="E32" i="38"/>
  <c r="G43" i="38"/>
  <c r="G42" i="38"/>
  <c r="H31" i="38"/>
  <c r="F31" i="38" s="1"/>
  <c r="E31" i="38"/>
  <c r="E19" i="38"/>
  <c r="G30" i="38"/>
  <c r="F12" i="38"/>
  <c r="H12" i="38"/>
  <c r="I23" i="32"/>
  <c r="E23" i="32" s="1"/>
  <c r="H35" i="32"/>
  <c r="I35" i="32" s="1"/>
  <c r="E35" i="32" s="1"/>
  <c r="I19" i="32"/>
  <c r="H31" i="32"/>
  <c r="I31" i="32" s="1"/>
  <c r="E31" i="32" s="1"/>
  <c r="I21" i="34"/>
  <c r="E20" i="34"/>
  <c r="E32" i="29"/>
  <c r="F24" i="29"/>
  <c r="J24" i="29"/>
  <c r="J26" i="29" s="1"/>
  <c r="E44" i="38" l="1"/>
  <c r="F23" i="38"/>
  <c r="E36" i="32"/>
  <c r="E15" i="32"/>
  <c r="G55" i="38"/>
  <c r="E55" i="38" s="1"/>
  <c r="G50" i="38"/>
  <c r="H50" i="38" s="1"/>
  <c r="E39" i="38"/>
  <c r="H23" i="38"/>
  <c r="F14" i="29"/>
  <c r="J7" i="21"/>
  <c r="F7" i="21" s="1"/>
  <c r="E31" i="29"/>
  <c r="J31" i="29"/>
  <c r="F31" i="29" s="1"/>
  <c r="E35" i="29"/>
  <c r="J35" i="29"/>
  <c r="F35" i="29" s="1"/>
  <c r="J30" i="29"/>
  <c r="E30" i="29"/>
  <c r="E29" i="38"/>
  <c r="H29" i="38"/>
  <c r="F29" i="38" s="1"/>
  <c r="G40" i="38"/>
  <c r="G66" i="15"/>
  <c r="H55" i="15"/>
  <c r="F55" i="15" s="1"/>
  <c r="E55" i="15"/>
  <c r="F193" i="15"/>
  <c r="F195" i="15" s="1"/>
  <c r="L195" i="15"/>
  <c r="L27" i="16" s="1"/>
  <c r="F27" i="16" s="1"/>
  <c r="F26" i="16" s="1"/>
  <c r="F62" i="38"/>
  <c r="L14" i="37"/>
  <c r="G53" i="38"/>
  <c r="H42" i="38"/>
  <c r="F42" i="38" s="1"/>
  <c r="E42" i="38"/>
  <c r="H30" i="38"/>
  <c r="G41" i="38"/>
  <c r="E30" i="38"/>
  <c r="G54" i="38"/>
  <c r="E43" i="38"/>
  <c r="H43" i="38"/>
  <c r="F43" i="38" s="1"/>
  <c r="E19" i="32"/>
  <c r="E24" i="32" s="1"/>
  <c r="I24" i="32"/>
  <c r="I27" i="32" s="1"/>
  <c r="I36" i="32"/>
  <c r="I39" i="32" s="1"/>
  <c r="I23" i="34"/>
  <c r="E21" i="34"/>
  <c r="F26" i="29"/>
  <c r="J8" i="21"/>
  <c r="E50" i="38" l="1"/>
  <c r="H55" i="38"/>
  <c r="F55" i="38" s="1"/>
  <c r="E23" i="34"/>
  <c r="E8" i="34" s="1"/>
  <c r="I8" i="34"/>
  <c r="J36" i="29"/>
  <c r="J38" i="29" s="1"/>
  <c r="F30" i="29"/>
  <c r="F36" i="29" s="1"/>
  <c r="H40" i="38"/>
  <c r="F40" i="38" s="1"/>
  <c r="E40" i="38"/>
  <c r="G51" i="38"/>
  <c r="G77" i="15"/>
  <c r="H66" i="15"/>
  <c r="F66" i="15" s="1"/>
  <c r="E66" i="15"/>
  <c r="F14" i="37"/>
  <c r="F13" i="37" s="1"/>
  <c r="L13" i="37"/>
  <c r="E53" i="38"/>
  <c r="H53" i="38"/>
  <c r="F53" i="38" s="1"/>
  <c r="E54" i="38"/>
  <c r="H54" i="38"/>
  <c r="F54" i="38" s="1"/>
  <c r="F30" i="38"/>
  <c r="F34" i="38" s="1"/>
  <c r="H34" i="38"/>
  <c r="G52" i="38"/>
  <c r="H41" i="38"/>
  <c r="E41" i="38"/>
  <c r="F50" i="38"/>
  <c r="E27" i="32"/>
  <c r="I8" i="22"/>
  <c r="E8" i="22" s="1"/>
  <c r="E39" i="32"/>
  <c r="I9" i="22"/>
  <c r="E9" i="22" s="1"/>
  <c r="F8" i="21"/>
  <c r="E9" i="34" l="1"/>
  <c r="E6" i="22"/>
  <c r="J9" i="21"/>
  <c r="J6" i="21" s="1"/>
  <c r="F38" i="29"/>
  <c r="H51" i="38"/>
  <c r="F51" i="38" s="1"/>
  <c r="E51" i="38"/>
  <c r="E77" i="15"/>
  <c r="G88" i="15"/>
  <c r="H77" i="15"/>
  <c r="F77" i="15" s="1"/>
  <c r="E52" i="38"/>
  <c r="H52" i="38"/>
  <c r="F41" i="38"/>
  <c r="F45" i="38" s="1"/>
  <c r="H45" i="38"/>
  <c r="E11" i="22" l="1"/>
  <c r="E11" i="34"/>
  <c r="F9" i="21"/>
  <c r="F6" i="21" s="1"/>
  <c r="E88" i="15"/>
  <c r="G99" i="15"/>
  <c r="H88" i="15"/>
  <c r="F88" i="15" s="1"/>
  <c r="F52" i="38"/>
  <c r="F56" i="38" s="1"/>
  <c r="H56" i="38"/>
  <c r="F6" i="23" l="1"/>
  <c r="F10" i="23" s="1"/>
  <c r="F12" i="23" s="1"/>
  <c r="F14" i="23" s="1"/>
  <c r="E15" i="22"/>
  <c r="F14" i="21"/>
  <c r="G110" i="15"/>
  <c r="H99" i="15"/>
  <c r="F99" i="15" s="1"/>
  <c r="E99" i="15"/>
  <c r="P15" i="2" l="1"/>
  <c r="J15" i="2"/>
  <c r="F18" i="21"/>
  <c r="J13" i="2" s="1"/>
  <c r="J14" i="2"/>
  <c r="E17" i="22"/>
  <c r="E19" i="22" s="1"/>
  <c r="P14" i="2"/>
  <c r="G121" i="15"/>
  <c r="E110" i="15"/>
  <c r="H110" i="15"/>
  <c r="F110" i="15" s="1"/>
  <c r="F20" i="21" l="1"/>
  <c r="F22" i="21" s="1"/>
  <c r="P13" i="2"/>
  <c r="G132" i="15"/>
  <c r="E121" i="15"/>
  <c r="H121" i="15"/>
  <c r="F121" i="15" s="1"/>
  <c r="E132" i="15" l="1"/>
  <c r="G143" i="15"/>
  <c r="H132" i="15"/>
  <c r="F132" i="15" s="1"/>
  <c r="G154" i="15" l="1"/>
  <c r="H143" i="15"/>
  <c r="F143" i="15" s="1"/>
  <c r="E143" i="15"/>
  <c r="E154" i="15" l="1"/>
  <c r="G165" i="15"/>
  <c r="H154" i="15"/>
  <c r="F154" i="15" s="1"/>
  <c r="G176" i="15" l="1"/>
  <c r="E165" i="15"/>
  <c r="H165" i="15"/>
  <c r="F165" i="15" s="1"/>
  <c r="E176" i="15" l="1"/>
  <c r="G187" i="15"/>
  <c r="G207" i="15" s="1"/>
  <c r="H176" i="15"/>
  <c r="F176" i="15" s="1"/>
  <c r="H207" i="15" l="1"/>
  <c r="F207" i="15" s="1"/>
  <c r="G221" i="15"/>
  <c r="H221" i="15" s="1"/>
  <c r="F221" i="15" s="1"/>
  <c r="H187" i="15"/>
  <c r="F187" i="15" s="1"/>
  <c r="E187" i="15"/>
  <c r="H14" i="39" l="1"/>
  <c r="G14" i="39"/>
  <c r="B14" i="39" s="1"/>
  <c r="J19" i="39" l="1"/>
  <c r="B35" i="38" l="1"/>
  <c r="H36" i="38" s="1"/>
  <c r="B46" i="38"/>
  <c r="H47" i="38" s="1"/>
  <c r="B13" i="38"/>
  <c r="H14" i="38" s="1"/>
  <c r="B24" i="38"/>
  <c r="H25" i="38" s="1"/>
  <c r="B57" i="38"/>
  <c r="H58" i="38" s="1"/>
  <c r="H9" i="37" l="1"/>
  <c r="F9" i="37" s="1"/>
  <c r="F36" i="38"/>
  <c r="H10" i="37"/>
  <c r="F10" i="37" s="1"/>
  <c r="F47" i="38"/>
  <c r="H7" i="37"/>
  <c r="F14" i="38"/>
  <c r="F58" i="38"/>
  <c r="H11" i="37"/>
  <c r="F11" i="37" s="1"/>
  <c r="F25" i="38"/>
  <c r="H8" i="37"/>
  <c r="F8" i="37" s="1"/>
  <c r="H6" i="37" l="1"/>
  <c r="F7" i="37"/>
  <c r="F6" i="37" s="1"/>
  <c r="F17" i="37" l="1"/>
  <c r="F21" i="37" l="1"/>
  <c r="J16" i="2" s="1"/>
  <c r="F23" i="37" l="1"/>
  <c r="F25" i="37" s="1"/>
  <c r="P16" i="2"/>
  <c r="G10" i="15"/>
  <c r="E10" i="15" s="1"/>
  <c r="G21" i="15" l="1"/>
  <c r="H21" i="15" s="1"/>
  <c r="F21" i="15" s="1"/>
  <c r="H10" i="15"/>
  <c r="F10" i="15" s="1"/>
  <c r="G9" i="15"/>
  <c r="E9" i="15" s="1"/>
  <c r="G20" i="15" l="1"/>
  <c r="E20" i="15" s="1"/>
  <c r="H9" i="15"/>
  <c r="F9" i="15" s="1"/>
  <c r="E21" i="15"/>
  <c r="G32" i="15"/>
  <c r="G8" i="15"/>
  <c r="E8" i="15" s="1"/>
  <c r="G7" i="15"/>
  <c r="H7" i="15" s="1"/>
  <c r="F7" i="15" s="1"/>
  <c r="G6" i="15"/>
  <c r="E6" i="15" s="1"/>
  <c r="G31" i="15" l="1"/>
  <c r="H31" i="15" s="1"/>
  <c r="F31" i="15" s="1"/>
  <c r="H20" i="15"/>
  <c r="F20" i="15" s="1"/>
  <c r="G19" i="15"/>
  <c r="E19" i="15" s="1"/>
  <c r="G18" i="15"/>
  <c r="E18" i="15" s="1"/>
  <c r="G17" i="15"/>
  <c r="E17" i="15" s="1"/>
  <c r="E32" i="15"/>
  <c r="G43" i="15"/>
  <c r="H32" i="15"/>
  <c r="F32" i="15" s="1"/>
  <c r="E31" i="15"/>
  <c r="H8" i="15"/>
  <c r="F8" i="15" s="1"/>
  <c r="E7" i="15"/>
  <c r="H6" i="15"/>
  <c r="F6" i="15" s="1"/>
  <c r="G30" i="15" l="1"/>
  <c r="G41" i="15" s="1"/>
  <c r="H19" i="15"/>
  <c r="F19" i="15" s="1"/>
  <c r="H17" i="15"/>
  <c r="F17" i="15" s="1"/>
  <c r="G28" i="15"/>
  <c r="G39" i="15" s="1"/>
  <c r="G42" i="15"/>
  <c r="G53" i="15" s="1"/>
  <c r="H18" i="15"/>
  <c r="F18" i="15" s="1"/>
  <c r="G29" i="15"/>
  <c r="E43" i="15"/>
  <c r="G54" i="15"/>
  <c r="H43" i="15"/>
  <c r="F43" i="15" s="1"/>
  <c r="H12" i="15"/>
  <c r="F12" i="15" s="1"/>
  <c r="H30" i="15" l="1"/>
  <c r="F30" i="15" s="1"/>
  <c r="E30" i="15"/>
  <c r="H28" i="15"/>
  <c r="F28" i="15" s="1"/>
  <c r="E28" i="15"/>
  <c r="H23" i="15"/>
  <c r="F23" i="15" s="1"/>
  <c r="H42" i="15"/>
  <c r="F42" i="15" s="1"/>
  <c r="E42" i="15"/>
  <c r="H29" i="15"/>
  <c r="F29" i="15" s="1"/>
  <c r="G40" i="15"/>
  <c r="E29" i="15"/>
  <c r="E54" i="15"/>
  <c r="G65" i="15"/>
  <c r="H54" i="15"/>
  <c r="F54" i="15" s="1"/>
  <c r="E53" i="15"/>
  <c r="G64" i="15"/>
  <c r="H53" i="15"/>
  <c r="F53" i="15" s="1"/>
  <c r="H14" i="15"/>
  <c r="H7" i="16" s="1"/>
  <c r="F7" i="16" s="1"/>
  <c r="H41" i="15"/>
  <c r="F41" i="15" s="1"/>
  <c r="G52" i="15"/>
  <c r="E41" i="15"/>
  <c r="H25" i="15"/>
  <c r="F25" i="15" s="1"/>
  <c r="E39" i="15"/>
  <c r="G50" i="15"/>
  <c r="H39" i="15"/>
  <c r="H34" i="15" l="1"/>
  <c r="H36" i="15" s="1"/>
  <c r="F14" i="15"/>
  <c r="H40" i="15"/>
  <c r="F40" i="15" s="1"/>
  <c r="G51" i="15"/>
  <c r="E40" i="15"/>
  <c r="E65" i="15"/>
  <c r="G76" i="15"/>
  <c r="H65" i="15"/>
  <c r="F65" i="15" s="1"/>
  <c r="E64" i="15"/>
  <c r="G75" i="15"/>
  <c r="H64" i="15"/>
  <c r="F64" i="15" s="1"/>
  <c r="E52" i="15"/>
  <c r="H52" i="15"/>
  <c r="F52" i="15" s="1"/>
  <c r="G63" i="15"/>
  <c r="H8" i="16"/>
  <c r="F8" i="16" s="1"/>
  <c r="F39" i="15"/>
  <c r="E50" i="15"/>
  <c r="G61" i="15"/>
  <c r="H50" i="15"/>
  <c r="H45" i="15" l="1"/>
  <c r="F45" i="15" s="1"/>
  <c r="F34" i="15"/>
  <c r="H51" i="15"/>
  <c r="F51" i="15" s="1"/>
  <c r="G62" i="15"/>
  <c r="E51" i="15"/>
  <c r="E76" i="15"/>
  <c r="G87" i="15"/>
  <c r="H76" i="15"/>
  <c r="F76" i="15" s="1"/>
  <c r="E75" i="15"/>
  <c r="G86" i="15"/>
  <c r="H75" i="15"/>
  <c r="F75" i="15" s="1"/>
  <c r="E63" i="15"/>
  <c r="G74" i="15"/>
  <c r="H63" i="15"/>
  <c r="F63" i="15" s="1"/>
  <c r="H61" i="15"/>
  <c r="E61" i="15"/>
  <c r="G72" i="15"/>
  <c r="F50" i="15"/>
  <c r="H9" i="16"/>
  <c r="F9" i="16" s="1"/>
  <c r="F36" i="15"/>
  <c r="H47" i="15" l="1"/>
  <c r="H62" i="15"/>
  <c r="F62" i="15" s="1"/>
  <c r="G73" i="15"/>
  <c r="E62" i="15"/>
  <c r="H56" i="15"/>
  <c r="H58" i="15" s="1"/>
  <c r="E87" i="15"/>
  <c r="G98" i="15"/>
  <c r="H87" i="15"/>
  <c r="F87" i="15" s="1"/>
  <c r="E86" i="15"/>
  <c r="G97" i="15"/>
  <c r="H86" i="15"/>
  <c r="F86" i="15" s="1"/>
  <c r="H74" i="15"/>
  <c r="F74" i="15" s="1"/>
  <c r="E74" i="15"/>
  <c r="G85" i="15"/>
  <c r="F61" i="15"/>
  <c r="H72" i="15"/>
  <c r="E72" i="15"/>
  <c r="G83" i="15"/>
  <c r="F47" i="15"/>
  <c r="H10" i="16"/>
  <c r="F10" i="16" s="1"/>
  <c r="H67" i="15" l="1"/>
  <c r="H69" i="15" s="1"/>
  <c r="H73" i="15"/>
  <c r="F73" i="15" s="1"/>
  <c r="G84" i="15"/>
  <c r="E73" i="15"/>
  <c r="F56" i="15"/>
  <c r="E98" i="15"/>
  <c r="G109" i="15"/>
  <c r="H98" i="15"/>
  <c r="F98" i="15" s="1"/>
  <c r="E97" i="15"/>
  <c r="G108" i="15"/>
  <c r="H97" i="15"/>
  <c r="F97" i="15" s="1"/>
  <c r="H85" i="15"/>
  <c r="F85" i="15" s="1"/>
  <c r="G96" i="15"/>
  <c r="E85" i="15"/>
  <c r="F58" i="15"/>
  <c r="H11" i="16"/>
  <c r="F11" i="16" s="1"/>
  <c r="F72" i="15"/>
  <c r="E83" i="15"/>
  <c r="G94" i="15"/>
  <c r="H83" i="15"/>
  <c r="H78" i="15" l="1"/>
  <c r="F78" i="15" s="1"/>
  <c r="F67" i="15"/>
  <c r="H84" i="15"/>
  <c r="F84" i="15" s="1"/>
  <c r="G95" i="15"/>
  <c r="E84" i="15"/>
  <c r="E109" i="15"/>
  <c r="G120" i="15"/>
  <c r="H109" i="15"/>
  <c r="F109" i="15" s="1"/>
  <c r="E108" i="15"/>
  <c r="G119" i="15"/>
  <c r="H108" i="15"/>
  <c r="F108" i="15" s="1"/>
  <c r="H96" i="15"/>
  <c r="F96" i="15" s="1"/>
  <c r="E96" i="15"/>
  <c r="G107" i="15"/>
  <c r="E94" i="15"/>
  <c r="G105" i="15"/>
  <c r="H94" i="15"/>
  <c r="F83" i="15"/>
  <c r="H12" i="16"/>
  <c r="F12" i="16" s="1"/>
  <c r="F69" i="15"/>
  <c r="H80" i="15" l="1"/>
  <c r="H13" i="16" s="1"/>
  <c r="F13" i="16" s="1"/>
  <c r="H89" i="15"/>
  <c r="H91" i="15" s="1"/>
  <c r="H95" i="15"/>
  <c r="F95" i="15" s="1"/>
  <c r="G106" i="15"/>
  <c r="E95" i="15"/>
  <c r="E120" i="15"/>
  <c r="G131" i="15"/>
  <c r="H120" i="15"/>
  <c r="F120" i="15" s="1"/>
  <c r="E119" i="15"/>
  <c r="G130" i="15"/>
  <c r="H119" i="15"/>
  <c r="F119" i="15" s="1"/>
  <c r="E107" i="15"/>
  <c r="G118" i="15"/>
  <c r="H107" i="15"/>
  <c r="F107" i="15" s="1"/>
  <c r="H105" i="15"/>
  <c r="E105" i="15"/>
  <c r="G116" i="15"/>
  <c r="F94" i="15"/>
  <c r="H100" i="15" l="1"/>
  <c r="H102" i="15" s="1"/>
  <c r="F80" i="15"/>
  <c r="F89" i="15"/>
  <c r="H106" i="15"/>
  <c r="F106" i="15" s="1"/>
  <c r="G117" i="15"/>
  <c r="E106" i="15"/>
  <c r="E131" i="15"/>
  <c r="G142" i="15"/>
  <c r="H131" i="15"/>
  <c r="F131" i="15" s="1"/>
  <c r="E130" i="15"/>
  <c r="G141" i="15"/>
  <c r="H130" i="15"/>
  <c r="F130" i="15" s="1"/>
  <c r="H118" i="15"/>
  <c r="F118" i="15" s="1"/>
  <c r="E118" i="15"/>
  <c r="G129" i="15"/>
  <c r="F105" i="15"/>
  <c r="H14" i="16"/>
  <c r="F14" i="16" s="1"/>
  <c r="F91" i="15"/>
  <c r="H116" i="15"/>
  <c r="E116" i="15"/>
  <c r="G127" i="15"/>
  <c r="F100" i="15" l="1"/>
  <c r="H111" i="15"/>
  <c r="F111" i="15" s="1"/>
  <c r="H117" i="15"/>
  <c r="F117" i="15" s="1"/>
  <c r="G128" i="15"/>
  <c r="E117" i="15"/>
  <c r="E142" i="15"/>
  <c r="G153" i="15"/>
  <c r="H142" i="15"/>
  <c r="F142" i="15" s="1"/>
  <c r="E141" i="15"/>
  <c r="G152" i="15"/>
  <c r="H141" i="15"/>
  <c r="F141" i="15" s="1"/>
  <c r="H129" i="15"/>
  <c r="F129" i="15" s="1"/>
  <c r="G140" i="15"/>
  <c r="E129" i="15"/>
  <c r="E127" i="15"/>
  <c r="G138" i="15"/>
  <c r="H127" i="15"/>
  <c r="F102" i="15"/>
  <c r="H15" i="16"/>
  <c r="F15" i="16" s="1"/>
  <c r="F116" i="15"/>
  <c r="H122" i="15" l="1"/>
  <c r="H124" i="15" s="1"/>
  <c r="H113" i="15"/>
  <c r="F113" i="15" s="1"/>
  <c r="H128" i="15"/>
  <c r="F128" i="15" s="1"/>
  <c r="G139" i="15"/>
  <c r="E128" i="15"/>
  <c r="E153" i="15"/>
  <c r="G164" i="15"/>
  <c r="H153" i="15"/>
  <c r="F153" i="15" s="1"/>
  <c r="E152" i="15"/>
  <c r="G163" i="15"/>
  <c r="H152" i="15"/>
  <c r="F152" i="15" s="1"/>
  <c r="H140" i="15"/>
  <c r="F140" i="15" s="1"/>
  <c r="E140" i="15"/>
  <c r="G151" i="15"/>
  <c r="H138" i="15"/>
  <c r="E138" i="15"/>
  <c r="G149" i="15"/>
  <c r="F127" i="15"/>
  <c r="H133" i="15" l="1"/>
  <c r="H135" i="15" s="1"/>
  <c r="F122" i="15"/>
  <c r="H16" i="16"/>
  <c r="F16" i="16" s="1"/>
  <c r="H139" i="15"/>
  <c r="F139" i="15" s="1"/>
  <c r="G150" i="15"/>
  <c r="E139" i="15"/>
  <c r="E164" i="15"/>
  <c r="G175" i="15"/>
  <c r="H164" i="15"/>
  <c r="F164" i="15" s="1"/>
  <c r="E163" i="15"/>
  <c r="H163" i="15"/>
  <c r="F163" i="15" s="1"/>
  <c r="G174" i="15"/>
  <c r="E151" i="15"/>
  <c r="G162" i="15"/>
  <c r="H151" i="15"/>
  <c r="F151" i="15" s="1"/>
  <c r="F138" i="15"/>
  <c r="F124" i="15"/>
  <c r="H17" i="16"/>
  <c r="F17" i="16" s="1"/>
  <c r="H149" i="15"/>
  <c r="E149" i="15"/>
  <c r="G160" i="15"/>
  <c r="F133" i="15" l="1"/>
  <c r="H144" i="15"/>
  <c r="H146" i="15" s="1"/>
  <c r="H150" i="15"/>
  <c r="F150" i="15" s="1"/>
  <c r="G161" i="15"/>
  <c r="E150" i="15"/>
  <c r="E175" i="15"/>
  <c r="G186" i="15"/>
  <c r="H175" i="15"/>
  <c r="F175" i="15" s="1"/>
  <c r="E174" i="15"/>
  <c r="G185" i="15"/>
  <c r="H174" i="15"/>
  <c r="F174" i="15" s="1"/>
  <c r="H162" i="15"/>
  <c r="F162" i="15" s="1"/>
  <c r="E162" i="15"/>
  <c r="G173" i="15"/>
  <c r="G171" i="15"/>
  <c r="H160" i="15"/>
  <c r="E160" i="15"/>
  <c r="H18" i="16"/>
  <c r="F18" i="16" s="1"/>
  <c r="F135" i="15"/>
  <c r="F149" i="15"/>
  <c r="F144" i="15" l="1"/>
  <c r="H155" i="15"/>
  <c r="H157" i="15" s="1"/>
  <c r="H161" i="15"/>
  <c r="F161" i="15" s="1"/>
  <c r="G172" i="15"/>
  <c r="E161" i="15"/>
  <c r="E186" i="15"/>
  <c r="G206" i="15"/>
  <c r="H186" i="15"/>
  <c r="F186" i="15" s="1"/>
  <c r="E185" i="15"/>
  <c r="G205" i="15"/>
  <c r="H185" i="15"/>
  <c r="F185" i="15" s="1"/>
  <c r="H173" i="15"/>
  <c r="F173" i="15" s="1"/>
  <c r="E173" i="15"/>
  <c r="G184" i="15"/>
  <c r="H19" i="16"/>
  <c r="F19" i="16" s="1"/>
  <c r="F146" i="15"/>
  <c r="E171" i="15"/>
  <c r="G182" i="15"/>
  <c r="H171" i="15"/>
  <c r="F160" i="15"/>
  <c r="F155" i="15" l="1"/>
  <c r="H166" i="15"/>
  <c r="H168" i="15" s="1"/>
  <c r="H172" i="15"/>
  <c r="F172" i="15" s="1"/>
  <c r="G183" i="15"/>
  <c r="E172" i="15"/>
  <c r="H206" i="15"/>
  <c r="F206" i="15" s="1"/>
  <c r="G220" i="15"/>
  <c r="H220" i="15" s="1"/>
  <c r="F220" i="15" s="1"/>
  <c r="H205" i="15"/>
  <c r="F205" i="15" s="1"/>
  <c r="G219" i="15"/>
  <c r="H219" i="15" s="1"/>
  <c r="F219" i="15" s="1"/>
  <c r="H184" i="15"/>
  <c r="F184" i="15" s="1"/>
  <c r="E184" i="15"/>
  <c r="G204" i="15"/>
  <c r="F171" i="15"/>
  <c r="H20" i="16"/>
  <c r="F20" i="16" s="1"/>
  <c r="F157" i="15"/>
  <c r="E182" i="15"/>
  <c r="E202" i="15" s="1"/>
  <c r="E216" i="15" s="1"/>
  <c r="G202" i="15"/>
  <c r="H182" i="15"/>
  <c r="H177" i="15" l="1"/>
  <c r="F177" i="15" s="1"/>
  <c r="F166" i="15"/>
  <c r="E183" i="15"/>
  <c r="G203" i="15"/>
  <c r="H183" i="15"/>
  <c r="F183" i="15" s="1"/>
  <c r="H204" i="15"/>
  <c r="F204" i="15" s="1"/>
  <c r="G218" i="15"/>
  <c r="H218" i="15" s="1"/>
  <c r="F218" i="15" s="1"/>
  <c r="F182" i="15"/>
  <c r="F168" i="15"/>
  <c r="H21" i="16"/>
  <c r="F21" i="16" s="1"/>
  <c r="H202" i="15"/>
  <c r="G216" i="15"/>
  <c r="H216" i="15" s="1"/>
  <c r="H179" i="15" l="1"/>
  <c r="F179" i="15" s="1"/>
  <c r="H188" i="15"/>
  <c r="F188" i="15" s="1"/>
  <c r="G217" i="15"/>
  <c r="H217" i="15" s="1"/>
  <c r="F217" i="15" s="1"/>
  <c r="H203" i="15"/>
  <c r="F203" i="15" s="1"/>
  <c r="F216" i="15"/>
  <c r="F202" i="15"/>
  <c r="H22" i="16" l="1"/>
  <c r="F22" i="16" s="1"/>
  <c r="H190" i="15"/>
  <c r="F190" i="15" s="1"/>
  <c r="H208" i="15"/>
  <c r="H210" i="15" s="1"/>
  <c r="F210" i="15" s="1"/>
  <c r="F222" i="15"/>
  <c r="H222" i="15"/>
  <c r="H224" i="15" s="1"/>
  <c r="F224" i="15" s="1"/>
  <c r="F208" i="15"/>
  <c r="H23" i="16" l="1"/>
  <c r="F23" i="16" s="1"/>
  <c r="H25" i="16"/>
  <c r="F25" i="16" s="1"/>
  <c r="H24" i="16"/>
  <c r="F24" i="16" s="1"/>
  <c r="F6" i="16" l="1"/>
  <c r="F31" i="16" s="1"/>
  <c r="F35" i="16" s="1"/>
  <c r="J12" i="2" s="1"/>
  <c r="F37" i="16" l="1"/>
  <c r="F39" i="16" s="1"/>
  <c r="P12" i="2"/>
  <c r="J19" i="2" l="1"/>
  <c r="J20" i="2" s="1"/>
  <c r="J21" i="2" s="1"/>
  <c r="F13" i="81"/>
  <c r="F14" i="81" l="1"/>
  <c r="C16" i="65"/>
  <c r="C18" i="65" s="1"/>
  <c r="C19" i="65" s="1"/>
  <c r="F6" i="64" s="1"/>
  <c r="F7" i="64" s="1"/>
  <c r="F18" i="81" s="1"/>
  <c r="F9" i="64" l="1"/>
  <c r="F11" i="64" s="1"/>
  <c r="J24" i="2"/>
  <c r="J25" i="2" l="1"/>
  <c r="J26" i="2" s="1"/>
  <c r="J27" i="2" s="1"/>
  <c r="J29" i="2" s="1"/>
  <c r="K31" i="2" s="1"/>
  <c r="F19" i="81"/>
  <c r="F20" i="81" l="1"/>
  <c r="F21" i="81" s="1"/>
  <c r="F22" i="81" s="1"/>
  <c r="F26" i="81" s="1"/>
  <c r="F27" i="81" s="1"/>
  <c r="O12" i="2"/>
  <c r="P18" i="2" s="1"/>
  <c r="I8" i="80" l="1"/>
  <c r="E8" i="80" s="1"/>
  <c r="P9" i="2"/>
  <c r="P17" i="2"/>
  <c r="P19" i="2" s="1"/>
  <c r="P22" i="2" s="1"/>
  <c r="P24" i="2" s="1"/>
  <c r="P25" i="2" s="1"/>
  <c r="P26" i="2" s="1"/>
  <c r="P27" i="2" s="1"/>
  <c r="E21" i="80" l="1"/>
  <c r="E20" i="80"/>
  <c r="E19" i="80"/>
  <c r="P20" i="2"/>
  <c r="P21" i="2" s="1"/>
  <c r="P29" i="2" s="1"/>
  <c r="E22" i="80" l="1"/>
</calcChain>
</file>

<file path=xl/comments1.xml><?xml version="1.0" encoding="utf-8"?>
<comments xmlns="http://schemas.openxmlformats.org/spreadsheetml/2006/main">
  <authors>
    <author>lh</author>
  </authors>
  <commentList>
    <comment ref="G41" authorId="0">
      <text>
        <r>
          <rPr>
            <b/>
            <sz val="10"/>
            <color indexed="81"/>
            <rFont val="Tahoma"/>
            <family val="2"/>
          </rPr>
          <t>8</t>
        </r>
        <r>
          <rPr>
            <b/>
            <sz val="10"/>
            <color indexed="81"/>
            <rFont val="돋움"/>
            <family val="3"/>
            <charset val="129"/>
          </rPr>
          <t>절</t>
        </r>
        <r>
          <rPr>
            <b/>
            <sz val="10"/>
            <color indexed="81"/>
            <rFont val="Tahoma"/>
            <family val="2"/>
          </rPr>
          <t xml:space="preserve"> </t>
        </r>
        <r>
          <rPr>
            <b/>
            <sz val="10"/>
            <color indexed="81"/>
            <rFont val="돋움"/>
            <family val="3"/>
            <charset val="129"/>
          </rPr>
          <t>백상지 본문단가 5매 적용
*서울인쇄정보산업협동조합-인쇄기준표 적용</t>
        </r>
      </text>
    </comment>
  </commentList>
</comments>
</file>

<file path=xl/comments2.xml><?xml version="1.0" encoding="utf-8"?>
<comments xmlns="http://schemas.openxmlformats.org/spreadsheetml/2006/main">
  <authors>
    <author>lh</author>
  </authors>
  <commentList>
    <comment ref="E27" authorId="0">
      <text>
        <r>
          <rPr>
            <b/>
            <sz val="10"/>
            <color indexed="81"/>
            <rFont val="Tahoma"/>
            <family val="2"/>
          </rPr>
          <t>8</t>
        </r>
        <r>
          <rPr>
            <b/>
            <sz val="10"/>
            <color indexed="81"/>
            <rFont val="돋움"/>
            <family val="3"/>
            <charset val="129"/>
          </rPr>
          <t>절</t>
        </r>
        <r>
          <rPr>
            <b/>
            <sz val="10"/>
            <color indexed="81"/>
            <rFont val="Tahoma"/>
            <family val="2"/>
          </rPr>
          <t xml:space="preserve"> </t>
        </r>
        <r>
          <rPr>
            <b/>
            <sz val="10"/>
            <color indexed="81"/>
            <rFont val="돋움"/>
            <family val="3"/>
            <charset val="129"/>
          </rPr>
          <t>백상지 본문단가 5매 적용</t>
        </r>
      </text>
    </comment>
  </commentList>
</comments>
</file>

<file path=xl/comments3.xml><?xml version="1.0" encoding="utf-8"?>
<comments xmlns="http://schemas.openxmlformats.org/spreadsheetml/2006/main">
  <authors>
    <author>com</author>
  </authors>
  <commentList>
    <comment ref="D8" authorId="0">
      <text>
        <r>
          <rPr>
            <b/>
            <sz val="9"/>
            <color indexed="81"/>
            <rFont val="굴림"/>
            <family val="3"/>
            <charset val="129"/>
          </rPr>
          <t>3,213㎡</t>
        </r>
      </text>
    </comment>
  </commentList>
</comments>
</file>

<file path=xl/comments4.xml><?xml version="1.0" encoding="utf-8"?>
<comments xmlns="http://schemas.openxmlformats.org/spreadsheetml/2006/main">
  <authors>
    <author>lh</author>
  </authors>
  <commentList>
    <comment ref="G5" authorId="0">
      <text>
        <r>
          <rPr>
            <b/>
            <sz val="10"/>
            <color indexed="81"/>
            <rFont val="Tahoma"/>
            <family val="2"/>
          </rPr>
          <t>8</t>
        </r>
        <r>
          <rPr>
            <b/>
            <sz val="10"/>
            <color indexed="81"/>
            <rFont val="돋움"/>
            <family val="3"/>
            <charset val="129"/>
          </rPr>
          <t>절</t>
        </r>
        <r>
          <rPr>
            <b/>
            <sz val="10"/>
            <color indexed="81"/>
            <rFont val="Tahoma"/>
            <family val="2"/>
          </rPr>
          <t xml:space="preserve"> </t>
        </r>
        <r>
          <rPr>
            <b/>
            <sz val="10"/>
            <color indexed="81"/>
            <rFont val="돋움"/>
            <family val="3"/>
            <charset val="129"/>
          </rPr>
          <t>백상지 본문단가 5매 적용</t>
        </r>
      </text>
    </comment>
  </commentList>
</comments>
</file>

<file path=xl/comments5.xml><?xml version="1.0" encoding="utf-8"?>
<comments xmlns="http://schemas.openxmlformats.org/spreadsheetml/2006/main">
  <authors>
    <author>LH</author>
  </authors>
  <commentList>
    <comment ref="F18" authorId="0">
      <text>
        <r>
          <rPr>
            <b/>
            <sz val="9"/>
            <color indexed="81"/>
            <rFont val="Tahoma"/>
            <family val="2"/>
          </rPr>
          <t>LH:</t>
        </r>
        <r>
          <rPr>
            <sz val="9"/>
            <color indexed="81"/>
            <rFont val="Tahoma"/>
            <family val="2"/>
          </rPr>
          <t xml:space="preserve">
8</t>
        </r>
        <r>
          <rPr>
            <sz val="9"/>
            <color indexed="81"/>
            <rFont val="돋움"/>
            <family val="3"/>
            <charset val="129"/>
          </rPr>
          <t>절</t>
        </r>
        <r>
          <rPr>
            <sz val="9"/>
            <color indexed="81"/>
            <rFont val="Tahoma"/>
            <family val="2"/>
          </rPr>
          <t xml:space="preserve"> </t>
        </r>
        <r>
          <rPr>
            <sz val="9"/>
            <color indexed="81"/>
            <rFont val="돋움"/>
            <family val="3"/>
            <charset val="129"/>
          </rPr>
          <t>백상지</t>
        </r>
        <r>
          <rPr>
            <sz val="9"/>
            <color indexed="81"/>
            <rFont val="Tahoma"/>
            <family val="2"/>
          </rPr>
          <t xml:space="preserve"> </t>
        </r>
        <r>
          <rPr>
            <sz val="9"/>
            <color indexed="81"/>
            <rFont val="돋움"/>
            <family val="3"/>
            <charset val="129"/>
          </rPr>
          <t>본문단가</t>
        </r>
        <r>
          <rPr>
            <sz val="9"/>
            <color indexed="81"/>
            <rFont val="Tahoma"/>
            <family val="2"/>
          </rPr>
          <t xml:space="preserve"> 5</t>
        </r>
        <r>
          <rPr>
            <sz val="9"/>
            <color indexed="81"/>
            <rFont val="돋움"/>
            <family val="3"/>
            <charset val="129"/>
          </rPr>
          <t>매</t>
        </r>
        <r>
          <rPr>
            <sz val="9"/>
            <color indexed="81"/>
            <rFont val="Tahoma"/>
            <family val="2"/>
          </rPr>
          <t xml:space="preserve"> </t>
        </r>
        <r>
          <rPr>
            <sz val="9"/>
            <color indexed="81"/>
            <rFont val="돋움"/>
            <family val="3"/>
            <charset val="129"/>
          </rPr>
          <t>적용</t>
        </r>
      </text>
    </comment>
    <comment ref="F25" authorId="0">
      <text>
        <r>
          <rPr>
            <b/>
            <sz val="9"/>
            <color indexed="81"/>
            <rFont val="Tahoma"/>
            <family val="2"/>
          </rPr>
          <t>LH:</t>
        </r>
        <r>
          <rPr>
            <sz val="9"/>
            <color indexed="81"/>
            <rFont val="Tahoma"/>
            <family val="2"/>
          </rPr>
          <t xml:space="preserve">
8</t>
        </r>
        <r>
          <rPr>
            <sz val="9"/>
            <color indexed="81"/>
            <rFont val="돋움"/>
            <family val="3"/>
            <charset val="129"/>
          </rPr>
          <t>절</t>
        </r>
        <r>
          <rPr>
            <sz val="9"/>
            <color indexed="81"/>
            <rFont val="Tahoma"/>
            <family val="2"/>
          </rPr>
          <t xml:space="preserve"> </t>
        </r>
        <r>
          <rPr>
            <sz val="9"/>
            <color indexed="81"/>
            <rFont val="돋움"/>
            <family val="3"/>
            <charset val="129"/>
          </rPr>
          <t>백상지</t>
        </r>
        <r>
          <rPr>
            <sz val="9"/>
            <color indexed="81"/>
            <rFont val="Tahoma"/>
            <family val="2"/>
          </rPr>
          <t xml:space="preserve"> </t>
        </r>
        <r>
          <rPr>
            <sz val="9"/>
            <color indexed="81"/>
            <rFont val="돋움"/>
            <family val="3"/>
            <charset val="129"/>
          </rPr>
          <t>본문단가</t>
        </r>
        <r>
          <rPr>
            <sz val="9"/>
            <color indexed="81"/>
            <rFont val="Tahoma"/>
            <family val="2"/>
          </rPr>
          <t xml:space="preserve"> 5</t>
        </r>
        <r>
          <rPr>
            <sz val="9"/>
            <color indexed="81"/>
            <rFont val="돋움"/>
            <family val="3"/>
            <charset val="129"/>
          </rPr>
          <t>매</t>
        </r>
        <r>
          <rPr>
            <sz val="9"/>
            <color indexed="81"/>
            <rFont val="Tahoma"/>
            <family val="2"/>
          </rPr>
          <t xml:space="preserve"> </t>
        </r>
        <r>
          <rPr>
            <sz val="9"/>
            <color indexed="81"/>
            <rFont val="돋움"/>
            <family val="3"/>
            <charset val="129"/>
          </rPr>
          <t>적용</t>
        </r>
      </text>
    </comment>
    <comment ref="F29" authorId="0">
      <text>
        <r>
          <rPr>
            <b/>
            <sz val="9"/>
            <color indexed="81"/>
            <rFont val="Tahoma"/>
            <family val="2"/>
          </rPr>
          <t>LH:</t>
        </r>
        <r>
          <rPr>
            <sz val="9"/>
            <color indexed="81"/>
            <rFont val="Tahoma"/>
            <family val="2"/>
          </rPr>
          <t xml:space="preserve">
8</t>
        </r>
        <r>
          <rPr>
            <sz val="9"/>
            <color indexed="81"/>
            <rFont val="돋움"/>
            <family val="3"/>
            <charset val="129"/>
          </rPr>
          <t>절</t>
        </r>
        <r>
          <rPr>
            <sz val="9"/>
            <color indexed="81"/>
            <rFont val="Tahoma"/>
            <family val="2"/>
          </rPr>
          <t xml:space="preserve"> </t>
        </r>
        <r>
          <rPr>
            <sz val="9"/>
            <color indexed="81"/>
            <rFont val="돋움"/>
            <family val="3"/>
            <charset val="129"/>
          </rPr>
          <t>백상지</t>
        </r>
        <r>
          <rPr>
            <sz val="9"/>
            <color indexed="81"/>
            <rFont val="Tahoma"/>
            <family val="2"/>
          </rPr>
          <t xml:space="preserve"> </t>
        </r>
        <r>
          <rPr>
            <sz val="9"/>
            <color indexed="81"/>
            <rFont val="돋움"/>
            <family val="3"/>
            <charset val="129"/>
          </rPr>
          <t>본문단가</t>
        </r>
        <r>
          <rPr>
            <sz val="9"/>
            <color indexed="81"/>
            <rFont val="Tahoma"/>
            <family val="2"/>
          </rPr>
          <t xml:space="preserve"> 5</t>
        </r>
        <r>
          <rPr>
            <sz val="9"/>
            <color indexed="81"/>
            <rFont val="돋움"/>
            <family val="3"/>
            <charset val="129"/>
          </rPr>
          <t>매</t>
        </r>
        <r>
          <rPr>
            <sz val="9"/>
            <color indexed="81"/>
            <rFont val="Tahoma"/>
            <family val="2"/>
          </rPr>
          <t xml:space="preserve"> </t>
        </r>
        <r>
          <rPr>
            <sz val="9"/>
            <color indexed="81"/>
            <rFont val="돋움"/>
            <family val="3"/>
            <charset val="129"/>
          </rPr>
          <t>적용</t>
        </r>
      </text>
    </comment>
  </commentList>
</comments>
</file>

<file path=xl/sharedStrings.xml><?xml version="1.0" encoding="utf-8"?>
<sst xmlns="http://schemas.openxmlformats.org/spreadsheetml/2006/main" count="2829" uniqueCount="1479">
  <si>
    <t>설 계 내 역 서</t>
    <phoneticPr fontId="4" type="noConversion"/>
  </si>
  <si>
    <t>단가</t>
    <phoneticPr fontId="4" type="noConversion"/>
  </si>
  <si>
    <t>비고</t>
  </si>
  <si>
    <t>계</t>
  </si>
  <si>
    <t>수량</t>
  </si>
  <si>
    <t>단위</t>
  </si>
  <si>
    <t>식</t>
    <phoneticPr fontId="4" type="noConversion"/>
  </si>
  <si>
    <t>용 역 비  총 괄 표</t>
    <phoneticPr fontId="4" type="noConversion"/>
  </si>
  <si>
    <t>총액</t>
    <phoneticPr fontId="4" type="noConversion"/>
  </si>
  <si>
    <t>금액</t>
    <phoneticPr fontId="4" type="noConversion"/>
  </si>
  <si>
    <t>인</t>
    <phoneticPr fontId="4" type="noConversion"/>
  </si>
  <si>
    <t>제2호표</t>
  </si>
  <si>
    <t>제3호표</t>
  </si>
  <si>
    <t>제4호표</t>
  </si>
  <si>
    <t>제5호표</t>
  </si>
  <si>
    <t>제6호표</t>
  </si>
  <si>
    <t>제7호표</t>
  </si>
  <si>
    <t>제8호표</t>
  </si>
  <si>
    <t>제9호표</t>
  </si>
  <si>
    <t>제10호표</t>
  </si>
  <si>
    <t>제11호표</t>
  </si>
  <si>
    <t>제12호표</t>
  </si>
  <si>
    <t>제13호표</t>
  </si>
  <si>
    <t>제14호표</t>
  </si>
  <si>
    <t>제15호표</t>
  </si>
  <si>
    <t>제16호표</t>
  </si>
  <si>
    <t>제17호표</t>
  </si>
  <si>
    <r>
      <t>제19호표</t>
    </r>
    <r>
      <rPr>
        <sz val="14"/>
        <rFont val="돋움체"/>
        <family val="3"/>
        <charset val="129"/>
      </rPr>
      <t/>
    </r>
  </si>
  <si>
    <r>
      <t>제18호표</t>
    </r>
    <r>
      <rPr>
        <sz val="14"/>
        <rFont val="돋움체"/>
        <family val="3"/>
        <charset val="129"/>
      </rPr>
      <t/>
    </r>
    <phoneticPr fontId="4" type="noConversion"/>
  </si>
  <si>
    <t>예산내역서 (기본계획)</t>
    <phoneticPr fontId="4" type="noConversion"/>
  </si>
  <si>
    <t>구분</t>
  </si>
  <si>
    <t>구분</t>
    <phoneticPr fontId="4" type="noConversion"/>
  </si>
  <si>
    <t>2.직접경비</t>
    <phoneticPr fontId="4" type="noConversion"/>
  </si>
  <si>
    <t>5. 부가가치세[10%]</t>
    <phoneticPr fontId="4" type="noConversion"/>
  </si>
  <si>
    <t>가. 현황조사 및 분석</t>
    <phoneticPr fontId="4" type="noConversion"/>
  </si>
  <si>
    <t>나. 개발정비조건 및 계획내용 설정</t>
    <phoneticPr fontId="4" type="noConversion"/>
  </si>
  <si>
    <t>다. 유치업종검토</t>
    <phoneticPr fontId="4" type="noConversion"/>
  </si>
  <si>
    <t>라. 유치업종별 원단위 및 규격결정</t>
    <phoneticPr fontId="4" type="noConversion"/>
  </si>
  <si>
    <t>마. 인구유발 효과 및 수용계획</t>
    <phoneticPr fontId="4" type="noConversion"/>
  </si>
  <si>
    <t>바. 지역경제파급효과</t>
    <phoneticPr fontId="4" type="noConversion"/>
  </si>
  <si>
    <t>사. 구상안 작성</t>
    <phoneticPr fontId="4" type="noConversion"/>
  </si>
  <si>
    <t>아. 업종별배분계획</t>
    <phoneticPr fontId="4" type="noConversion"/>
  </si>
  <si>
    <t>자. 토지이용계획</t>
    <phoneticPr fontId="4" type="noConversion"/>
  </si>
  <si>
    <t>차. 동선계획</t>
    <phoneticPr fontId="4" type="noConversion"/>
  </si>
  <si>
    <t>카. 공급처리시설계획</t>
    <phoneticPr fontId="4" type="noConversion"/>
  </si>
  <si>
    <t>타. 공원녹지계획</t>
    <phoneticPr fontId="4" type="noConversion"/>
  </si>
  <si>
    <t>파. 환경관리계획</t>
    <phoneticPr fontId="4" type="noConversion"/>
  </si>
  <si>
    <t>하. 인허가승인도서작성 및 협의</t>
    <phoneticPr fontId="4" type="noConversion"/>
  </si>
  <si>
    <t>거. 보고서작성 및 편집</t>
    <phoneticPr fontId="4" type="noConversion"/>
  </si>
  <si>
    <t>너. 관련도서 작성</t>
    <phoneticPr fontId="4" type="noConversion"/>
  </si>
  <si>
    <t>더. 공청회(주민설명회)</t>
    <phoneticPr fontId="4" type="noConversion"/>
  </si>
  <si>
    <t>가. 보고서 인쇄비</t>
    <phoneticPr fontId="4" type="noConversion"/>
  </si>
  <si>
    <t>나. 국내출장여비</t>
    <phoneticPr fontId="4" type="noConversion"/>
  </si>
  <si>
    <t>3.제경비[직접인건비 x 120%]</t>
    <phoneticPr fontId="4" type="noConversion"/>
  </si>
  <si>
    <t>합계(1+2+3+4+5)</t>
    <phoneticPr fontId="4" type="noConversion"/>
  </si>
  <si>
    <t>총계(1+2+3+4)</t>
    <phoneticPr fontId="4" type="noConversion"/>
  </si>
  <si>
    <t>4.기술료[(직접인건비+제경비) x 30%]</t>
    <phoneticPr fontId="4" type="noConversion"/>
  </si>
  <si>
    <t>* 경인쇄기준요금</t>
  </si>
  <si>
    <t>* 조판생략감액</t>
  </si>
  <si>
    <t>10포인트</t>
  </si>
  <si>
    <t>(인쇄면당)</t>
  </si>
  <si>
    <t>절수</t>
  </si>
  <si>
    <t>지질</t>
  </si>
  <si>
    <t>50부까지</t>
  </si>
  <si>
    <t>10부마다</t>
  </si>
  <si>
    <t>(1)</t>
  </si>
  <si>
    <t>(2)</t>
  </si>
  <si>
    <t>(3)</t>
  </si>
  <si>
    <t>8절</t>
  </si>
  <si>
    <t>신문용지</t>
  </si>
  <si>
    <t>중질지</t>
  </si>
  <si>
    <t>10절</t>
  </si>
  <si>
    <t>백상지</t>
  </si>
  <si>
    <t>16절</t>
  </si>
  <si>
    <t>25절</t>
  </si>
  <si>
    <t>32절</t>
  </si>
  <si>
    <t>(1) : 제판용 인화지(원판)를 제공하거나 기존 인화지를 재활용할때</t>
  </si>
  <si>
    <t>(2) : 변환이나 수정할 필요없이 바로 출력하여 제판할 수 있는 디스켓을 제공할때</t>
  </si>
  <si>
    <t>(3) : 글자 크기, 행간 조정, 페이지 재구성 등 변환이나 수정을 요하는 디스켓 제공할때</t>
  </si>
  <si>
    <t>원</t>
    <phoneticPr fontId="4" type="noConversion"/>
  </si>
  <si>
    <t>수량</t>
    <phoneticPr fontId="4" type="noConversion"/>
  </si>
  <si>
    <t>노무비</t>
    <phoneticPr fontId="4" type="noConversion"/>
  </si>
  <si>
    <t>재료비</t>
    <phoneticPr fontId="4" type="noConversion"/>
  </si>
  <si>
    <t>기본계획</t>
    <phoneticPr fontId="4" type="noConversion"/>
  </si>
  <si>
    <t>총계(가+나+다+라)</t>
    <phoneticPr fontId="4" type="noConversion"/>
  </si>
  <si>
    <t>예산내역서(조경기본계획)</t>
    <phoneticPr fontId="4" type="noConversion"/>
  </si>
  <si>
    <t>공종</t>
    <phoneticPr fontId="4" type="noConversion"/>
  </si>
  <si>
    <t>규격</t>
    <phoneticPr fontId="4" type="noConversion"/>
  </si>
  <si>
    <t>경비</t>
  </si>
  <si>
    <t>단가</t>
  </si>
  <si>
    <t>금액</t>
  </si>
  <si>
    <t>노무비</t>
  </si>
  <si>
    <t>기술사</t>
  </si>
  <si>
    <t>특급기술자</t>
  </si>
  <si>
    <t>고급기술자</t>
  </si>
  <si>
    <t>중급기술자</t>
  </si>
  <si>
    <t>초급기술자</t>
  </si>
  <si>
    <t>보조원</t>
  </si>
  <si>
    <t>합계</t>
    <phoneticPr fontId="4" type="noConversion"/>
  </si>
  <si>
    <t>초급</t>
    <phoneticPr fontId="4" type="noConversion"/>
  </si>
  <si>
    <t>보조원</t>
    <phoneticPr fontId="4" type="noConversion"/>
  </si>
  <si>
    <t>예산내역서(농지전용협의도서 작성)</t>
    <phoneticPr fontId="4" type="noConversion"/>
  </si>
  <si>
    <t>공종</t>
    <phoneticPr fontId="4" type="noConversion"/>
  </si>
  <si>
    <t>규격</t>
    <phoneticPr fontId="4" type="noConversion"/>
  </si>
  <si>
    <t>수량</t>
    <phoneticPr fontId="4" type="noConversion"/>
  </si>
  <si>
    <t>단위</t>
    <phoneticPr fontId="4" type="noConversion"/>
  </si>
  <si>
    <t>총액</t>
    <phoneticPr fontId="4" type="noConversion"/>
  </si>
  <si>
    <t>재료비</t>
    <phoneticPr fontId="4" type="noConversion"/>
  </si>
  <si>
    <t>노무비</t>
    <phoneticPr fontId="4" type="noConversion"/>
  </si>
  <si>
    <t>경비</t>
    <phoneticPr fontId="4" type="noConversion"/>
  </si>
  <si>
    <t>비고</t>
    <phoneticPr fontId="4" type="noConversion"/>
  </si>
  <si>
    <t>단 가</t>
    <phoneticPr fontId="4" type="noConversion"/>
  </si>
  <si>
    <t>금 액</t>
    <phoneticPr fontId="4" type="noConversion"/>
  </si>
  <si>
    <t>농지전용협의도서 작성</t>
    <phoneticPr fontId="4" type="noConversion"/>
  </si>
  <si>
    <t xml:space="preserve"> 가. 직접인건비</t>
    <phoneticPr fontId="4" type="noConversion"/>
  </si>
  <si>
    <t xml:space="preserve">   1. 농지전용협의요청서 등 사업계획서 작성</t>
    <phoneticPr fontId="4" type="noConversion"/>
  </si>
  <si>
    <t>식</t>
    <phoneticPr fontId="4" type="noConversion"/>
  </si>
  <si>
    <t>제1호표</t>
    <phoneticPr fontId="4" type="noConversion"/>
  </si>
  <si>
    <t xml:space="preserve">   2. 농지편입현황조서 작성</t>
    <phoneticPr fontId="4" type="noConversion"/>
  </si>
  <si>
    <t>제2호표</t>
    <phoneticPr fontId="4" type="noConversion"/>
  </si>
  <si>
    <t>공종</t>
    <phoneticPr fontId="4" type="noConversion"/>
  </si>
  <si>
    <t>규격</t>
    <phoneticPr fontId="4" type="noConversion"/>
  </si>
  <si>
    <t>수량</t>
    <phoneticPr fontId="4" type="noConversion"/>
  </si>
  <si>
    <t>단위</t>
    <phoneticPr fontId="4" type="noConversion"/>
  </si>
  <si>
    <t>재료비</t>
    <phoneticPr fontId="4" type="noConversion"/>
  </si>
  <si>
    <t>경비</t>
    <phoneticPr fontId="4" type="noConversion"/>
  </si>
  <si>
    <t>비고</t>
    <phoneticPr fontId="4" type="noConversion"/>
  </si>
  <si>
    <t>단 가</t>
    <phoneticPr fontId="4" type="noConversion"/>
  </si>
  <si>
    <t>금 액</t>
    <phoneticPr fontId="4" type="noConversion"/>
  </si>
  <si>
    <t xml:space="preserve">   3. 농지관련도서 작성</t>
    <phoneticPr fontId="4" type="noConversion"/>
  </si>
  <si>
    <t>제3호표</t>
    <phoneticPr fontId="4" type="noConversion"/>
  </si>
  <si>
    <t>나. 제경비[직접인건비*110%]</t>
    <phoneticPr fontId="4" type="noConversion"/>
  </si>
  <si>
    <t>다. 기술료[(직접인건비+제경비)*20%]</t>
    <phoneticPr fontId="4" type="noConversion"/>
  </si>
  <si>
    <t>라. 부가가치세[10%]</t>
    <phoneticPr fontId="4" type="noConversion"/>
  </si>
  <si>
    <t>총 액</t>
    <phoneticPr fontId="4" type="noConversion"/>
  </si>
  <si>
    <t xml:space="preserve"> 제1호표 농지전용협의요청서 등 사업계획서 작성</t>
    <phoneticPr fontId="4" type="noConversion"/>
  </si>
  <si>
    <t xml:space="preserve">    기     술     사</t>
    <phoneticPr fontId="4" type="noConversion"/>
  </si>
  <si>
    <t xml:space="preserve">    특 급 기 술 자</t>
    <phoneticPr fontId="4" type="noConversion"/>
  </si>
  <si>
    <t xml:space="preserve">    고 급 기 술 자</t>
    <phoneticPr fontId="4" type="noConversion"/>
  </si>
  <si>
    <t xml:space="preserve">    중 급 기 술 자</t>
    <phoneticPr fontId="4" type="noConversion"/>
  </si>
  <si>
    <t xml:space="preserve">    초 급 기 술 자</t>
    <phoneticPr fontId="4" type="noConversion"/>
  </si>
  <si>
    <t xml:space="preserve">    중 급 기 능 사</t>
    <phoneticPr fontId="4" type="noConversion"/>
  </si>
  <si>
    <t>계</t>
    <phoneticPr fontId="4" type="noConversion"/>
  </si>
  <si>
    <t>적용비율(β)</t>
    <phoneticPr fontId="4" type="noConversion"/>
  </si>
  <si>
    <t>소계</t>
    <phoneticPr fontId="4" type="noConversion"/>
  </si>
  <si>
    <t xml:space="preserve"> 제2호표 농지편입현황조서 작성</t>
    <phoneticPr fontId="4" type="noConversion"/>
  </si>
  <si>
    <t xml:space="preserve"> 제3호표 농지관련도서 작성</t>
    <phoneticPr fontId="4" type="noConversion"/>
  </si>
  <si>
    <t>일위대가표(농지전용협의도서 작성)</t>
    <phoneticPr fontId="4" type="noConversion"/>
  </si>
  <si>
    <t>노무비</t>
    <phoneticPr fontId="4" type="noConversion"/>
  </si>
  <si>
    <t xml:space="preserve">    중 급 기 능 사</t>
    <phoneticPr fontId="4" type="noConversion"/>
  </si>
  <si>
    <t>과업내용</t>
  </si>
  <si>
    <t>지목현황분류</t>
  </si>
  <si>
    <t>필지수</t>
  </si>
  <si>
    <t>면적(㎡)</t>
  </si>
  <si>
    <t>전</t>
  </si>
  <si>
    <t>도로</t>
  </si>
  <si>
    <t>구거</t>
  </si>
  <si>
    <t>대지</t>
  </si>
  <si>
    <t>하천</t>
  </si>
  <si>
    <t>주유소용지</t>
  </si>
  <si>
    <t>임야</t>
  </si>
  <si>
    <t>답</t>
  </si>
  <si>
    <t>면적보정계수(α)</t>
    <phoneticPr fontId="4" type="noConversion"/>
  </si>
  <si>
    <t>예산내역서(산지전용협의도서 작성)</t>
    <phoneticPr fontId="4" type="noConversion"/>
  </si>
  <si>
    <t>규격</t>
  </si>
  <si>
    <t>단 가</t>
  </si>
  <si>
    <t>금 액</t>
  </si>
  <si>
    <t>식</t>
  </si>
  <si>
    <t>공종</t>
  </si>
  <si>
    <t>총 액</t>
  </si>
  <si>
    <t>재료비</t>
  </si>
  <si>
    <t>가. 직접인건비</t>
  </si>
  <si>
    <t>소        계</t>
  </si>
  <si>
    <t>기    술    사</t>
  </si>
  <si>
    <t>특 급 기 술 자</t>
  </si>
  <si>
    <t>고 급 기 술 자</t>
  </si>
  <si>
    <t>중 급 기 술 자</t>
  </si>
  <si>
    <t>초 급 기 술 자</t>
  </si>
  <si>
    <t>토지소재</t>
  </si>
  <si>
    <t>토지필수</t>
  </si>
  <si>
    <t>임야필수</t>
  </si>
  <si>
    <t>○ 과업내용</t>
  </si>
  <si>
    <t>&lt;표준지조사방식 채택&gt;</t>
  </si>
  <si>
    <t>1개표준지면적</t>
    <phoneticPr fontId="4" type="noConversion"/>
  </si>
  <si>
    <t>2010년도 평균입목축적</t>
    <phoneticPr fontId="4" type="noConversion"/>
  </si>
  <si>
    <t>본조사단가</t>
    <phoneticPr fontId="4" type="noConversion"/>
  </si>
  <si>
    <t>원</t>
  </si>
  <si>
    <t>매목조사공정</t>
    <phoneticPr fontId="4" type="noConversion"/>
  </si>
  <si>
    <t>㎥/일</t>
  </si>
  <si>
    <t>산지전용협의도서 작성</t>
    <phoneticPr fontId="4" type="noConversion"/>
  </si>
  <si>
    <t xml:space="preserve"> 나. 산지전용예정지 실측도</t>
    <phoneticPr fontId="4" type="noConversion"/>
  </si>
  <si>
    <t xml:space="preserve"> 다. 산림조사서</t>
    <phoneticPr fontId="4" type="noConversion"/>
  </si>
  <si>
    <t xml:space="preserve"> 라. 부가가치세[10%]</t>
    <phoneticPr fontId="4" type="noConversion"/>
  </si>
  <si>
    <t>합계</t>
    <phoneticPr fontId="4" type="noConversion"/>
  </si>
  <si>
    <t>공종</t>
    <phoneticPr fontId="4" type="noConversion"/>
  </si>
  <si>
    <t>총액</t>
    <phoneticPr fontId="4" type="noConversion"/>
  </si>
  <si>
    <t>노무비</t>
    <phoneticPr fontId="4" type="noConversion"/>
  </si>
  <si>
    <t>재료비</t>
    <phoneticPr fontId="4" type="noConversion"/>
  </si>
  <si>
    <t>경비</t>
    <phoneticPr fontId="4" type="noConversion"/>
  </si>
  <si>
    <t>○ 용역비 산정 (필지수 x 단가)</t>
    <phoneticPr fontId="2" type="noConversion"/>
  </si>
  <si>
    <t>   용역비 =</t>
    <phoneticPr fontId="4" type="noConversion"/>
  </si>
  <si>
    <t>나. 본 조사 용역비 (총재적량/매목조사공정 x 본조사단가)</t>
    <phoneticPr fontId="4" type="noConversion"/>
  </si>
  <si>
    <t xml:space="preserve"> - 예비조사개소(산지면적 x 표본추출비율/1개표준지면적)</t>
    <phoneticPr fontId="2" type="noConversion"/>
  </si>
  <si>
    <t>ha</t>
    <phoneticPr fontId="2" type="noConversion"/>
  </si>
  <si>
    <r>
      <t xml:space="preserve">다. 따라서 </t>
    </r>
    <r>
      <rPr>
        <b/>
        <sz val="10"/>
        <rFont val="맑은 고딕"/>
        <family val="3"/>
        <charset val="129"/>
      </rPr>
      <t>산림조사서용역비 총액</t>
    </r>
    <r>
      <rPr>
        <sz val="10"/>
        <rFont val="맑은 고딕"/>
        <family val="3"/>
        <charset val="129"/>
      </rPr>
      <t>은</t>
    </r>
    <phoneticPr fontId="2" type="noConversion"/>
  </si>
  <si>
    <t>일위대가표(지구단위계획)</t>
    <phoneticPr fontId="4" type="noConversion"/>
  </si>
  <si>
    <t>단위</t>
    <phoneticPr fontId="4" type="noConversion"/>
  </si>
  <si>
    <t>제1호표(용도지역 지구계획)</t>
    <phoneticPr fontId="4" type="noConversion"/>
  </si>
  <si>
    <t>중급기능사</t>
  </si>
  <si>
    <t>사업면적(㎡)</t>
  </si>
  <si>
    <t>적용율(%)</t>
  </si>
  <si>
    <t>-</t>
  </si>
  <si>
    <t>과업면적(㎡)</t>
  </si>
  <si>
    <t>비  고</t>
    <phoneticPr fontId="4" type="noConversion"/>
  </si>
  <si>
    <t>공종</t>
    <phoneticPr fontId="4" type="noConversion"/>
  </si>
  <si>
    <t>규격</t>
    <phoneticPr fontId="4" type="noConversion"/>
  </si>
  <si>
    <t>수량</t>
    <phoneticPr fontId="4" type="noConversion"/>
  </si>
  <si>
    <t>단위</t>
    <phoneticPr fontId="4" type="noConversion"/>
  </si>
  <si>
    <t>노무비</t>
    <phoneticPr fontId="4" type="noConversion"/>
  </si>
  <si>
    <t>재료비</t>
    <phoneticPr fontId="4" type="noConversion"/>
  </si>
  <si>
    <t>경비</t>
    <phoneticPr fontId="4" type="noConversion"/>
  </si>
  <si>
    <t>비고</t>
    <phoneticPr fontId="4" type="noConversion"/>
  </si>
  <si>
    <t>단가</t>
    <phoneticPr fontId="4" type="noConversion"/>
  </si>
  <si>
    <t>금액</t>
    <phoneticPr fontId="4" type="noConversion"/>
  </si>
  <si>
    <t>단가</t>
    <phoneticPr fontId="4" type="noConversion"/>
  </si>
  <si>
    <t>금액</t>
    <phoneticPr fontId="4" type="noConversion"/>
  </si>
  <si>
    <t>단가</t>
    <phoneticPr fontId="4" type="noConversion"/>
  </si>
  <si>
    <t>지구단위계획</t>
    <phoneticPr fontId="4" type="noConversion"/>
  </si>
  <si>
    <t>가. 직접인건비</t>
    <phoneticPr fontId="4" type="noConversion"/>
  </si>
  <si>
    <t>1. 용도지역·지구계획</t>
    <phoneticPr fontId="4" type="noConversion"/>
  </si>
  <si>
    <t>식</t>
    <phoneticPr fontId="4" type="noConversion"/>
  </si>
  <si>
    <t>제1호표</t>
    <phoneticPr fontId="4" type="noConversion"/>
  </si>
  <si>
    <t>2. 가구 및 획지</t>
    <phoneticPr fontId="4" type="noConversion"/>
  </si>
  <si>
    <t>3. 건축물에 관한 계획</t>
    <phoneticPr fontId="4" type="noConversion"/>
  </si>
  <si>
    <t>식</t>
    <phoneticPr fontId="4" type="noConversion"/>
  </si>
  <si>
    <t>4. 보고서 작성 및 편집</t>
    <phoneticPr fontId="4" type="noConversion"/>
  </si>
  <si>
    <t>5. 관련도서작성</t>
    <phoneticPr fontId="4" type="noConversion"/>
  </si>
  <si>
    <t>식</t>
    <phoneticPr fontId="4" type="noConversion"/>
  </si>
  <si>
    <t>나.직접경비</t>
    <phoneticPr fontId="4" type="noConversion"/>
  </si>
  <si>
    <r>
      <t>1. 보고서 인쇄비</t>
    </r>
    <r>
      <rPr>
        <sz val="11"/>
        <rFont val="Times New Roman"/>
        <family val="1"/>
      </rPr>
      <t/>
    </r>
    <phoneticPr fontId="4" type="noConversion"/>
  </si>
  <si>
    <t>식</t>
    <phoneticPr fontId="4" type="noConversion"/>
  </si>
  <si>
    <t>제6호표</t>
    <phoneticPr fontId="4" type="noConversion"/>
  </si>
  <si>
    <t>2. 여비</t>
    <phoneticPr fontId="4" type="noConversion"/>
  </si>
  <si>
    <t>식</t>
    <phoneticPr fontId="4" type="noConversion"/>
  </si>
  <si>
    <t>다. 제경비[직접인건비*120%]</t>
    <phoneticPr fontId="4" type="noConversion"/>
  </si>
  <si>
    <t>마. 부가가치세[10%]</t>
    <phoneticPr fontId="4" type="noConversion"/>
  </si>
  <si>
    <t>합계</t>
    <phoneticPr fontId="4" type="noConversion"/>
  </si>
  <si>
    <t>예산내역서(지구단위계획)</t>
    <phoneticPr fontId="4" type="noConversion"/>
  </si>
  <si>
    <t>소계</t>
    <phoneticPr fontId="4" type="noConversion"/>
  </si>
  <si>
    <t>보정계수</t>
    <phoneticPr fontId="4" type="noConversion"/>
  </si>
  <si>
    <t>계</t>
    <phoneticPr fontId="4" type="noConversion"/>
  </si>
  <si>
    <t>제2호표(가구 및 획지)</t>
    <phoneticPr fontId="4" type="noConversion"/>
  </si>
  <si>
    <t>제3호표(건축물에 관한 계획)</t>
    <phoneticPr fontId="4" type="noConversion"/>
  </si>
  <si>
    <t>제4호표(보고서 작성 및 편집)</t>
    <phoneticPr fontId="4" type="noConversion"/>
  </si>
  <si>
    <t>제5호표(관련도서 작성)</t>
    <phoneticPr fontId="4" type="noConversion"/>
  </si>
  <si>
    <t>기술사</t>
    <phoneticPr fontId="4" type="noConversion"/>
  </si>
  <si>
    <t>특급기술자</t>
    <phoneticPr fontId="4" type="noConversion"/>
  </si>
  <si>
    <t>고급기술자</t>
    <phoneticPr fontId="4" type="noConversion"/>
  </si>
  <si>
    <t>중급기술자</t>
    <phoneticPr fontId="4" type="noConversion"/>
  </si>
  <si>
    <t>초급기술자</t>
    <phoneticPr fontId="4" type="noConversion"/>
  </si>
  <si>
    <t>중급기능사</t>
    <phoneticPr fontId="4" type="noConversion"/>
  </si>
  <si>
    <t>제6호표(보고서 인쇄비)</t>
    <phoneticPr fontId="4" type="noConversion"/>
  </si>
  <si>
    <t>보고서 인쇄비</t>
    <phoneticPr fontId="4" type="noConversion"/>
  </si>
  <si>
    <t>제7호표(여비)</t>
    <phoneticPr fontId="4" type="noConversion"/>
  </si>
  <si>
    <t>국내여비</t>
    <phoneticPr fontId="4" type="noConversion"/>
  </si>
  <si>
    <t>식</t>
    <phoneticPr fontId="4" type="noConversion"/>
  </si>
  <si>
    <t>라. 기술료[(직접인건비+제경비)*30%]</t>
    <phoneticPr fontId="4" type="noConversion"/>
  </si>
  <si>
    <t xml:space="preserve">  작성년월일</t>
    <phoneticPr fontId="4" type="noConversion"/>
  </si>
  <si>
    <t>작
성</t>
    <phoneticPr fontId="4" type="noConversion"/>
  </si>
  <si>
    <t>검
산</t>
    <phoneticPr fontId="4" type="noConversion"/>
  </si>
  <si>
    <t>검
토</t>
    <phoneticPr fontId="4" type="noConversion"/>
  </si>
  <si>
    <t>승
인</t>
    <phoneticPr fontId="4" type="noConversion"/>
  </si>
  <si>
    <t>용역명</t>
    <phoneticPr fontId="4" type="noConversion"/>
  </si>
  <si>
    <t>소재지</t>
    <phoneticPr fontId="4" type="noConversion"/>
  </si>
  <si>
    <t xml:space="preserve">       (단위 : 원)</t>
    <phoneticPr fontId="4" type="noConversion"/>
  </si>
  <si>
    <t>용  역  구  분</t>
    <phoneticPr fontId="4" type="noConversion"/>
  </si>
  <si>
    <t>규격</t>
    <phoneticPr fontId="4" type="noConversion"/>
  </si>
  <si>
    <t>수량</t>
    <phoneticPr fontId="4" type="noConversion"/>
  </si>
  <si>
    <t>단위</t>
    <phoneticPr fontId="4" type="noConversion"/>
  </si>
  <si>
    <t>금       액</t>
    <phoneticPr fontId="4" type="noConversion"/>
  </si>
  <si>
    <t>비고</t>
    <phoneticPr fontId="4" type="noConversion"/>
  </si>
  <si>
    <t>식</t>
    <phoneticPr fontId="4" type="noConversion"/>
  </si>
  <si>
    <t>식</t>
    <phoneticPr fontId="2" type="noConversion"/>
  </si>
  <si>
    <t>총   계</t>
    <phoneticPr fontId="4" type="noConversion"/>
  </si>
  <si>
    <t>공종</t>
    <phoneticPr fontId="4" type="noConversion"/>
  </si>
  <si>
    <t>규격</t>
    <phoneticPr fontId="31" type="noConversion"/>
  </si>
  <si>
    <t>총액</t>
    <phoneticPr fontId="31" type="noConversion"/>
  </si>
  <si>
    <t>재료비</t>
    <phoneticPr fontId="31" type="noConversion"/>
  </si>
  <si>
    <t>경비</t>
    <phoneticPr fontId="31" type="noConversion"/>
  </si>
  <si>
    <t>비고</t>
    <phoneticPr fontId="31" type="noConversion"/>
  </si>
  <si>
    <t>제1호표 기본구상</t>
    <phoneticPr fontId="31" type="noConversion"/>
  </si>
  <si>
    <t>인</t>
    <phoneticPr fontId="31" type="noConversion"/>
  </si>
  <si>
    <t>소계</t>
    <phoneticPr fontId="4" type="noConversion"/>
  </si>
  <si>
    <t>보정계수</t>
    <phoneticPr fontId="4" type="noConversion"/>
  </si>
  <si>
    <t>계</t>
    <phoneticPr fontId="4" type="noConversion"/>
  </si>
  <si>
    <t>제2호표 기본계획(시설지별)</t>
    <phoneticPr fontId="31" type="noConversion"/>
  </si>
  <si>
    <t>제3호표 성과품작성</t>
    <phoneticPr fontId="31" type="noConversion"/>
  </si>
  <si>
    <t>식</t>
    <phoneticPr fontId="4" type="noConversion"/>
  </si>
  <si>
    <t xml:space="preserve"> 가. 사업계획서(표고 및 평균경사도 조사서 포함)</t>
    <phoneticPr fontId="4" type="noConversion"/>
  </si>
  <si>
    <t>(국토부 고시 제2013-968호, 2014년 지적측량수수료 고시)</t>
    <phoneticPr fontId="4" type="noConversion"/>
  </si>
  <si>
    <t>    임야 : 지적측량중 1/6000 축척의 시설편입지면적측정으로 실측도를 작성</t>
    <phoneticPr fontId="2" type="noConversion"/>
  </si>
  <si>
    <t>조사단위</t>
    <phoneticPr fontId="2" type="noConversion"/>
  </si>
  <si>
    <t>공종</t>
    <phoneticPr fontId="4" type="noConversion"/>
  </si>
  <si>
    <t>규격</t>
    <phoneticPr fontId="4" type="noConversion"/>
  </si>
  <si>
    <t>단위</t>
    <phoneticPr fontId="31" type="noConversion"/>
  </si>
  <si>
    <t>총액</t>
    <phoneticPr fontId="31" type="noConversion"/>
  </si>
  <si>
    <t>재료비</t>
    <phoneticPr fontId="31" type="noConversion"/>
  </si>
  <si>
    <t>노무비</t>
    <phoneticPr fontId="31" type="noConversion"/>
  </si>
  <si>
    <t>비고</t>
    <phoneticPr fontId="31" type="noConversion"/>
  </si>
  <si>
    <t>단가</t>
    <phoneticPr fontId="31" type="noConversion"/>
  </si>
  <si>
    <t>금액</t>
    <phoneticPr fontId="31" type="noConversion"/>
  </si>
  <si>
    <t>조경기본계획</t>
    <phoneticPr fontId="4" type="noConversion"/>
  </si>
  <si>
    <t>가. 직접인건비</t>
    <phoneticPr fontId="31" type="noConversion"/>
  </si>
  <si>
    <t xml:space="preserve">   1. 기본구상</t>
    <phoneticPr fontId="31" type="noConversion"/>
  </si>
  <si>
    <t>식</t>
    <phoneticPr fontId="31" type="noConversion"/>
  </si>
  <si>
    <t>제1호표</t>
    <phoneticPr fontId="4" type="noConversion"/>
  </si>
  <si>
    <t xml:space="preserve">   2. 기본계획(시설지별)</t>
    <phoneticPr fontId="31" type="noConversion"/>
  </si>
  <si>
    <t>제2호표</t>
    <phoneticPr fontId="4" type="noConversion"/>
  </si>
  <si>
    <t xml:space="preserve">   3. 성과품작성</t>
    <phoneticPr fontId="31" type="noConversion"/>
  </si>
  <si>
    <t>나. 직접경비</t>
    <phoneticPr fontId="31" type="noConversion"/>
  </si>
  <si>
    <t xml:space="preserve">   1. 보고서 인쇄비</t>
    <phoneticPr fontId="31" type="noConversion"/>
  </si>
  <si>
    <t>제4호표</t>
    <phoneticPr fontId="4" type="noConversion"/>
  </si>
  <si>
    <t>다. 제경비[직접인건비*120%]</t>
    <phoneticPr fontId="31" type="noConversion"/>
  </si>
  <si>
    <t>라.기술료[(직접인건비+제경비)*30%]</t>
    <phoneticPr fontId="31" type="noConversion"/>
  </si>
  <si>
    <t>총계(가+나+다+라)</t>
    <phoneticPr fontId="31" type="noConversion"/>
  </si>
  <si>
    <t>마.부가가치세[10%]</t>
    <phoneticPr fontId="31" type="noConversion"/>
  </si>
  <si>
    <t>합계</t>
    <phoneticPr fontId="31" type="noConversion"/>
  </si>
  <si>
    <t>제4호표 보고서인쇄비</t>
    <phoneticPr fontId="4" type="noConversion"/>
  </si>
  <si>
    <r>
      <t>기본계획 보고서</t>
    </r>
    <r>
      <rPr>
        <sz val="13"/>
        <rFont val="Times New Roman"/>
        <family val="1"/>
      </rPr>
      <t/>
    </r>
    <phoneticPr fontId="4" type="noConversion"/>
  </si>
  <si>
    <t>일위대가표(조경기본계획)</t>
    <phoneticPr fontId="31" type="noConversion"/>
  </si>
  <si>
    <t>총계(가+나+다)</t>
    <phoneticPr fontId="4" type="noConversion"/>
  </si>
  <si>
    <t>산출근거(사업계획서 작성)</t>
    <phoneticPr fontId="4" type="noConversion"/>
  </si>
  <si>
    <t>산출근거(산림조사서)</t>
    <phoneticPr fontId="4" type="noConversion"/>
  </si>
  <si>
    <t>업    무    내    용</t>
  </si>
  <si>
    <t>기   술   자 (인ㆍ일)</t>
  </si>
  <si>
    <t>특급</t>
  </si>
  <si>
    <t>고급</t>
  </si>
  <si>
    <t>중급</t>
  </si>
  <si>
    <t>초급</t>
  </si>
  <si>
    <t>기</t>
  </si>
  <si>
    <t>본</t>
  </si>
  <si>
    <t>획</t>
  </si>
  <si>
    <t>1.현황조사 및 분석</t>
  </si>
  <si>
    <t>0.6 </t>
  </si>
  <si>
    <t>2.6 </t>
  </si>
  <si>
    <t>4.5 </t>
  </si>
  <si>
    <t>6.3 </t>
  </si>
  <si>
    <t>13.0 </t>
  </si>
  <si>
    <t>2.개발정비조건 및 계획내용설정</t>
  </si>
  <si>
    <t>0.7 </t>
  </si>
  <si>
    <t>2.2 </t>
  </si>
  <si>
    <t>4.1 </t>
  </si>
  <si>
    <t>5.8 </t>
  </si>
  <si>
    <t>8.7 </t>
  </si>
  <si>
    <t>3.구상안 작성</t>
  </si>
  <si>
    <t>1.3 </t>
  </si>
  <si>
    <t>1.6 </t>
  </si>
  <si>
    <t>5.2 </t>
  </si>
  <si>
    <t>11.6 </t>
  </si>
  <si>
    <t>4.인구수용 및 생활권계획</t>
  </si>
  <si>
    <t>0.9 </t>
  </si>
  <si>
    <t>2.5 </t>
  </si>
  <si>
    <t>6.6 </t>
  </si>
  <si>
    <t>5.주택계획</t>
  </si>
  <si>
    <t>1.1 </t>
  </si>
  <si>
    <t>5.3 </t>
  </si>
  <si>
    <t>8.8 </t>
  </si>
  <si>
    <t>13.2 </t>
  </si>
  <si>
    <t>6.공공시설계획</t>
  </si>
  <si>
    <t>7.토지이용계획</t>
  </si>
  <si>
    <t>1.2 </t>
  </si>
  <si>
    <t>7.2 </t>
  </si>
  <si>
    <t>7.8 </t>
  </si>
  <si>
    <t>26.0 </t>
  </si>
  <si>
    <t>8.교통계획</t>
  </si>
  <si>
    <t>1.0 </t>
  </si>
  <si>
    <t>4.8 </t>
  </si>
  <si>
    <t>14.5 </t>
  </si>
  <si>
    <t>19.8 </t>
  </si>
  <si>
    <t>9.공급처리시설계획</t>
  </si>
  <si>
    <t>7.4 </t>
  </si>
  <si>
    <t>14.9 </t>
  </si>
  <si>
    <t>10.집단에너지 공급계획</t>
  </si>
  <si>
    <t>2.1 </t>
  </si>
  <si>
    <t>5.0 </t>
  </si>
  <si>
    <t>8.2 </t>
  </si>
  <si>
    <t>11.공원녹지계획</t>
  </si>
  <si>
    <t>7.9 </t>
  </si>
  <si>
    <t>11.9 </t>
  </si>
  <si>
    <t>12.경관계획 및 미관계획</t>
  </si>
  <si>
    <t>(9.9) </t>
  </si>
  <si>
    <t>(17.1) </t>
  </si>
  <si>
    <t>(18.5) </t>
  </si>
  <si>
    <t>(21.8) </t>
  </si>
  <si>
    <t>선택적용</t>
  </si>
  <si>
    <t>13.친환경계획</t>
  </si>
  <si>
    <t>(2.1) </t>
  </si>
  <si>
    <t>(13.8) </t>
  </si>
  <si>
    <t>(11.4) </t>
  </si>
  <si>
    <t>(50.0) </t>
  </si>
  <si>
    <t>14.인ㆍ허가승인도서작성</t>
  </si>
  <si>
    <t>0.8 </t>
  </si>
  <si>
    <t>2.7 </t>
  </si>
  <si>
    <t>10.3 </t>
  </si>
  <si>
    <t>15.교육환경평가서작성</t>
  </si>
  <si>
    <t>2.9 </t>
  </si>
  <si>
    <t>3.0 </t>
  </si>
  <si>
    <t>6.5 </t>
  </si>
  <si>
    <t xml:space="preserve"> 7.8 </t>
  </si>
  <si>
    <t>소   계</t>
  </si>
  <si>
    <t>2.성과품작성</t>
  </si>
  <si>
    <t>16.보고서작성 및 편집</t>
  </si>
  <si>
    <t>2.3 </t>
  </si>
  <si>
    <t>5.1 </t>
  </si>
  <si>
    <t>4.3 </t>
  </si>
  <si>
    <t xml:space="preserve"> 7.7 </t>
  </si>
  <si>
    <t xml:space="preserve"> 5.6 </t>
  </si>
  <si>
    <t>17.관련도서작성</t>
  </si>
  <si>
    <t>0.3 </t>
  </si>
  <si>
    <t>10.0 </t>
  </si>
  <si>
    <t>13.9 </t>
  </si>
  <si>
    <t>(20.2) </t>
  </si>
  <si>
    <t>(34.0) </t>
  </si>
  <si>
    <t>(96.5) </t>
  </si>
  <si>
    <t>(100.3) </t>
  </si>
  <si>
    <t>(215.6) </t>
  </si>
  <si>
    <t>(258.6) </t>
  </si>
  <si>
    <t>3.공청회/주민설명회</t>
  </si>
  <si>
    <t>2.0 </t>
  </si>
  <si>
    <t>4.0 </t>
  </si>
  <si>
    <t>1. 과업착수준비</t>
  </si>
  <si>
    <t>50만㎡</t>
  </si>
  <si>
    <t>1. 전 단계 성과검토</t>
  </si>
  <si>
    <t>기준인원수(man-day)</t>
    <phoneticPr fontId="4" type="noConversion"/>
  </si>
  <si>
    <t>보정계수</t>
    <phoneticPr fontId="46" type="noConversion"/>
  </si>
  <si>
    <t>기본업무</t>
  </si>
  <si>
    <t>50만㎡</t>
    <phoneticPr fontId="2" type="noConversion"/>
  </si>
  <si>
    <t>3. 현지조사 및 답사</t>
    <phoneticPr fontId="46" type="noConversion"/>
  </si>
  <si>
    <t>5. 측량 성과검토</t>
    <phoneticPr fontId="2" type="noConversion"/>
  </si>
  <si>
    <t>6. 토질 및 지반조사 성과검토</t>
    <phoneticPr fontId="46" type="noConversion"/>
  </si>
  <si>
    <t>8. 토취장, 골재원, 사토장 조사</t>
    <phoneticPr fontId="2" type="noConversion"/>
  </si>
  <si>
    <t>계
획</t>
    <phoneticPr fontId="46" type="noConversion"/>
  </si>
  <si>
    <t>50만㎡</t>
    <phoneticPr fontId="46" type="noConversion"/>
  </si>
  <si>
    <t>2. 제영향평가 성과검토</t>
    <phoneticPr fontId="2" type="noConversion"/>
  </si>
  <si>
    <t>3. 단지토공 계획</t>
    <phoneticPr fontId="46" type="noConversion"/>
  </si>
  <si>
    <t>10,000㎡</t>
    <phoneticPr fontId="46" type="noConversion"/>
  </si>
  <si>
    <t>5. 우수배제 계획</t>
    <phoneticPr fontId="46" type="noConversion"/>
  </si>
  <si>
    <t>8. 도시시설물 계획</t>
    <phoneticPr fontId="46" type="noConversion"/>
  </si>
  <si>
    <t>개소</t>
    <phoneticPr fontId="46" type="noConversion"/>
  </si>
  <si>
    <t>9. 설계기준 작성</t>
    <phoneticPr fontId="46" type="noConversion"/>
  </si>
  <si>
    <t>10. 관계기관 협의 및 민원검토</t>
    <phoneticPr fontId="2" type="noConversion"/>
  </si>
  <si>
    <t>설
계</t>
    <phoneticPr fontId="46" type="noConversion"/>
  </si>
  <si>
    <t>1. 단지정지 및 토공 설계</t>
    <phoneticPr fontId="46" type="noConversion"/>
  </si>
  <si>
    <t>3. 도로 및 포장공 설계</t>
    <phoneticPr fontId="46" type="noConversion"/>
  </si>
  <si>
    <t>㎞(도로연장)</t>
    <phoneticPr fontId="46" type="noConversion"/>
  </si>
  <si>
    <t>6. 상수공 설계</t>
    <phoneticPr fontId="46" type="noConversion"/>
  </si>
  <si>
    <t>7. 기타 구조물 설계</t>
    <phoneticPr fontId="46" type="noConversion"/>
  </si>
  <si>
    <t>9. 하천설계</t>
    <phoneticPr fontId="46" type="noConversion"/>
  </si>
  <si>
    <t>Ⅰ. 직접인건비</t>
  </si>
  <si>
    <t>1) 조사</t>
  </si>
  <si>
    <t>(1) 기술사</t>
  </si>
  <si>
    <t>인</t>
  </si>
  <si>
    <t>(2) 특급기술자</t>
  </si>
  <si>
    <t>(3) 고급기술자</t>
  </si>
  <si>
    <t>(4) 중급기술자</t>
  </si>
  <si>
    <t>(5) 초급기술자</t>
  </si>
  <si>
    <t>2) 계획</t>
  </si>
  <si>
    <t>3) 설계</t>
  </si>
  <si>
    <t>4) 성과품작성</t>
  </si>
  <si>
    <t>공종</t>
    <phoneticPr fontId="46" type="noConversion"/>
  </si>
  <si>
    <t>1.직접인건비</t>
  </si>
  <si>
    <t>5) 추가업무</t>
  </si>
  <si>
    <t>2. 직접경비</t>
  </si>
  <si>
    <t>1) 출장여비</t>
    <phoneticPr fontId="2" type="noConversion"/>
  </si>
  <si>
    <t>식</t>
    <phoneticPr fontId="2" type="noConversion"/>
  </si>
  <si>
    <t>■ 건설부문 요율</t>
    <phoneticPr fontId="2" type="noConversion"/>
  </si>
  <si>
    <t>공사비요율 방식</t>
    <phoneticPr fontId="2" type="noConversion"/>
  </si>
  <si>
    <t>추정공사비</t>
    <phoneticPr fontId="2" type="noConversion"/>
  </si>
  <si>
    <t>공사비</t>
  </si>
  <si>
    <t>기본설계</t>
  </si>
  <si>
    <t>실시설계</t>
  </si>
  <si>
    <t xml:space="preserve"> 5. 부가가치세 (용역비*10%)</t>
  </si>
  <si>
    <t>기본 공종</t>
  </si>
  <si>
    <t>추가 공종</t>
  </si>
  <si>
    <t>1. 공통공사</t>
  </si>
  <si>
    <t>1. 교량공사</t>
  </si>
  <si>
    <t>2. 토 공 사</t>
  </si>
  <si>
    <t>2. 연약지반처리</t>
  </si>
  <si>
    <t>3. 포장공사</t>
  </si>
  <si>
    <t>3. 배수지공사</t>
  </si>
  <si>
    <t>4. 우수공사</t>
  </si>
  <si>
    <t>4. 가압장</t>
  </si>
  <si>
    <t>5. 오수공사</t>
  </si>
  <si>
    <t>5. 오수중계펌프장</t>
  </si>
  <si>
    <t>6. 상수공사</t>
  </si>
  <si>
    <t>6. 빗물펌프장</t>
  </si>
  <si>
    <t>7. 구조물공사(옹벽등)</t>
  </si>
  <si>
    <t>7. 지구 외 모든 공사</t>
  </si>
  <si>
    <t>8. 하천공사</t>
  </si>
  <si>
    <t>8. 준설/매립</t>
  </si>
  <si>
    <t>9. 저류지공사</t>
  </si>
  <si>
    <t>9. 호안공사</t>
  </si>
  <si>
    <t xml:space="preserve">    토지 : 지적측량중 1/1200 축척의 시설편입지면적측정으로 실측도를 작성</t>
    <phoneticPr fontId="2" type="noConversion"/>
  </si>
  <si>
    <t xml:space="preserve">  ⇒ 적용 기준 = </t>
    <phoneticPr fontId="4" type="noConversion"/>
  </si>
  <si>
    <t>금  액</t>
    <phoneticPr fontId="4" type="noConversion"/>
  </si>
  <si>
    <t>1. 직접인건비</t>
    <phoneticPr fontId="4" type="noConversion"/>
  </si>
  <si>
    <t>Ⅰ. 조사설계용역</t>
    <phoneticPr fontId="2" type="noConversion"/>
  </si>
  <si>
    <t xml:space="preserve">  1. 기본계획</t>
    <phoneticPr fontId="4" type="noConversion"/>
  </si>
  <si>
    <t xml:space="preserve">  2. 조경기본계획</t>
    <phoneticPr fontId="2" type="noConversion"/>
  </si>
  <si>
    <t xml:space="preserve">  3. 농지전용 협의도서 작성</t>
    <phoneticPr fontId="2" type="noConversion"/>
  </si>
  <si>
    <t xml:space="preserve">  4. 산지전용 협의도서 작성</t>
    <phoneticPr fontId="2" type="noConversion"/>
  </si>
  <si>
    <t xml:space="preserve">  9. 부가가치세</t>
    <phoneticPr fontId="4" type="noConversion"/>
  </si>
  <si>
    <t>소   계1</t>
    <phoneticPr fontId="4" type="noConversion"/>
  </si>
  <si>
    <t>Ⅱ. 관리용역</t>
  </si>
  <si>
    <t>합   계1</t>
    <phoneticPr fontId="4" type="noConversion"/>
  </si>
  <si>
    <t xml:space="preserve">  1. 관리용역비</t>
    <phoneticPr fontId="4" type="noConversion"/>
  </si>
  <si>
    <t xml:space="preserve">  2. 부가가치세</t>
    <phoneticPr fontId="4" type="noConversion"/>
  </si>
  <si>
    <t>예산내역서(관리용역비)</t>
  </si>
  <si>
    <t>종  별</t>
  </si>
  <si>
    <t>규  격</t>
  </si>
  <si>
    <t>인 건 비</t>
  </si>
  <si>
    <t>재 료 비</t>
  </si>
  <si>
    <t>경  비</t>
  </si>
  <si>
    <t>비  고</t>
  </si>
  <si>
    <t>단  위</t>
  </si>
  <si>
    <t>금  액</t>
  </si>
  <si>
    <t>1. 관리용역비</t>
  </si>
  <si>
    <t>소     계</t>
  </si>
  <si>
    <t>2. 부가가치세(10%)</t>
  </si>
  <si>
    <t>총     계</t>
  </si>
  <si>
    <t>관리용역비 산출내역</t>
  </si>
  <si>
    <t>Ⅰ. 관리용역비 계상기준</t>
  </si>
  <si>
    <t xml:space="preserve">    - 용역대가 산정기준(토목설계, 2014.11)</t>
  </si>
  <si>
    <t>본 용역 금액(원)</t>
  </si>
  <si>
    <t>관리용역비</t>
  </si>
  <si>
    <t>10억 미만</t>
  </si>
  <si>
    <t>2억-(10억-용역금액)×20%</t>
  </si>
  <si>
    <t>10억～ 30억 미만</t>
  </si>
  <si>
    <t>2억+[1.0억×(용역금액-10억)÷20억]</t>
  </si>
  <si>
    <t>30억～ 50억 미만</t>
  </si>
  <si>
    <t>3억+[0.5억×(용역금액-30억)÷20억]</t>
  </si>
  <si>
    <t>50억～100억 미만</t>
  </si>
  <si>
    <t>3.5억+[1.5억×(용역금액-50억)÷50억]</t>
  </si>
  <si>
    <t>100억 이상</t>
  </si>
  <si>
    <t>5억+(용역금액-100억)× 5%</t>
  </si>
  <si>
    <t>Ⅱ. 관리용역비 산출내역</t>
  </si>
  <si>
    <t>- 본 용역 금액</t>
  </si>
  <si>
    <t xml:space="preserve">       * 수요조사 및 마케팅전략 용역 제외</t>
  </si>
  <si>
    <t xml:space="preserve">- 관리용역비   </t>
  </si>
  <si>
    <t>- 산출금액(천원이하철사)</t>
  </si>
  <si>
    <t>제20호표 경관계획 및 미관계획</t>
  </si>
  <si>
    <t>중급숙련기술자</t>
  </si>
  <si>
    <t>소계</t>
  </si>
  <si>
    <t>보정계수적용(α×β×K)</t>
  </si>
  <si>
    <t>조감도 및 3D 시뮬레이션</t>
  </si>
  <si>
    <t>러. 경관계획 및 미관계획</t>
    <phoneticPr fontId="2" type="noConversion"/>
  </si>
  <si>
    <t>제20호표</t>
    <phoneticPr fontId="2" type="noConversion"/>
  </si>
  <si>
    <t>다. 조감도 및 3D</t>
    <phoneticPr fontId="2" type="noConversion"/>
  </si>
  <si>
    <t>제21호표</t>
    <phoneticPr fontId="2" type="noConversion"/>
  </si>
  <si>
    <t>소   계2</t>
    <phoneticPr fontId="4" type="noConversion"/>
  </si>
  <si>
    <t>합   계2</t>
    <phoneticPr fontId="4" type="noConversion"/>
  </si>
  <si>
    <t>총액</t>
    <phoneticPr fontId="4" type="noConversion"/>
  </si>
  <si>
    <t>일위대가표 (기본계획)</t>
    <phoneticPr fontId="4" type="noConversion"/>
  </si>
  <si>
    <t>공종</t>
    <phoneticPr fontId="4" type="noConversion"/>
  </si>
  <si>
    <t>규격</t>
    <phoneticPr fontId="4" type="noConversion"/>
  </si>
  <si>
    <t>수량</t>
    <phoneticPr fontId="4" type="noConversion"/>
  </si>
  <si>
    <t>단위</t>
    <phoneticPr fontId="4" type="noConversion"/>
  </si>
  <si>
    <t>총액</t>
    <phoneticPr fontId="4" type="noConversion"/>
  </si>
  <si>
    <t>노무비</t>
    <phoneticPr fontId="4" type="noConversion"/>
  </si>
  <si>
    <t>재료비</t>
    <phoneticPr fontId="4" type="noConversion"/>
  </si>
  <si>
    <t>경비</t>
    <phoneticPr fontId="4" type="noConversion"/>
  </si>
  <si>
    <t>비고</t>
    <phoneticPr fontId="4" type="noConversion"/>
  </si>
  <si>
    <t>단가</t>
    <phoneticPr fontId="4" type="noConversion"/>
  </si>
  <si>
    <t>금액</t>
    <phoneticPr fontId="4" type="noConversion"/>
  </si>
  <si>
    <t>제1호표 현황조사 및 분석</t>
    <phoneticPr fontId="4" type="noConversion"/>
  </si>
  <si>
    <t>기술사</t>
    <phoneticPr fontId="4" type="noConversion"/>
  </si>
  <si>
    <t>인</t>
    <phoneticPr fontId="4" type="noConversion"/>
  </si>
  <si>
    <t>특급기술자</t>
    <phoneticPr fontId="4" type="noConversion"/>
  </si>
  <si>
    <t>고급기술자</t>
    <phoneticPr fontId="4" type="noConversion"/>
  </si>
  <si>
    <t>중급기술자</t>
    <phoneticPr fontId="4" type="noConversion"/>
  </si>
  <si>
    <t>초급기술자</t>
    <phoneticPr fontId="4" type="noConversion"/>
  </si>
  <si>
    <t>중급숙련기술자</t>
    <phoneticPr fontId="2" type="noConversion"/>
  </si>
  <si>
    <t>소계</t>
    <phoneticPr fontId="4" type="noConversion"/>
  </si>
  <si>
    <t>보정계수적용(α×β×K)</t>
    <phoneticPr fontId="4" type="noConversion"/>
  </si>
  <si>
    <t>계</t>
    <phoneticPr fontId="4" type="noConversion"/>
  </si>
  <si>
    <t>제2호표 개발정비조건및계획내용설정</t>
    <phoneticPr fontId="4" type="noConversion"/>
  </si>
  <si>
    <t>제3호표 유치업종검토</t>
    <phoneticPr fontId="4" type="noConversion"/>
  </si>
  <si>
    <t>제4호표 유치업종별 원단위 및 규격결정</t>
    <phoneticPr fontId="4" type="noConversion"/>
  </si>
  <si>
    <t>제5호표 인구유발효과 및 수용계획</t>
    <phoneticPr fontId="4" type="noConversion"/>
  </si>
  <si>
    <t>제6호표 지역경제 파급효과</t>
    <phoneticPr fontId="4" type="noConversion"/>
  </si>
  <si>
    <t>제7호표 구상안 작성</t>
    <phoneticPr fontId="4" type="noConversion"/>
  </si>
  <si>
    <t>제8호표 업종별배분계획</t>
    <phoneticPr fontId="4" type="noConversion"/>
  </si>
  <si>
    <t>제9호표 토지이용계획</t>
    <phoneticPr fontId="4" type="noConversion"/>
  </si>
  <si>
    <t>제10호표 동선계획</t>
    <phoneticPr fontId="4" type="noConversion"/>
  </si>
  <si>
    <t>제11호표 공급처리시설계획</t>
    <phoneticPr fontId="4" type="noConversion"/>
  </si>
  <si>
    <t>제12호표 공원녹지계획</t>
    <phoneticPr fontId="4" type="noConversion"/>
  </si>
  <si>
    <t>제13호표 환경관리계획</t>
    <phoneticPr fontId="4" type="noConversion"/>
  </si>
  <si>
    <t>제14호표 인허가승인도서작성 및 협의</t>
    <phoneticPr fontId="4" type="noConversion"/>
  </si>
  <si>
    <t>제15호표 보고서작성 및 편집</t>
    <phoneticPr fontId="4" type="noConversion"/>
  </si>
  <si>
    <t>제16호표 관련도서 작성</t>
    <phoneticPr fontId="4" type="noConversion"/>
  </si>
  <si>
    <t>제17호표 공청회(주민설명회)</t>
    <phoneticPr fontId="4" type="noConversion"/>
  </si>
  <si>
    <t>제18호표 보고서인쇄비</t>
    <phoneticPr fontId="4" type="noConversion"/>
  </si>
  <si>
    <r>
      <t>기본계획 본보고서</t>
    </r>
    <r>
      <rPr>
        <sz val="13"/>
        <rFont val="Times New Roman"/>
        <family val="1"/>
      </rPr>
      <t/>
    </r>
    <phoneticPr fontId="4" type="noConversion"/>
  </si>
  <si>
    <t>식</t>
    <phoneticPr fontId="4" type="noConversion"/>
  </si>
  <si>
    <t>기본계획 요약보고서</t>
    <phoneticPr fontId="4" type="noConversion"/>
  </si>
  <si>
    <t>제19호표 국내출장여비</t>
    <phoneticPr fontId="4" type="noConversion"/>
  </si>
  <si>
    <r>
      <t>국내여비</t>
    </r>
    <r>
      <rPr>
        <sz val="13"/>
        <rFont val="Times New Roman"/>
        <family val="1"/>
      </rPr>
      <t/>
    </r>
    <phoneticPr fontId="4" type="noConversion"/>
  </si>
  <si>
    <t>제21호표 조감도 및 3D</t>
    <phoneticPr fontId="2" type="noConversion"/>
  </si>
  <si>
    <t>수량산출서 (기본계획)</t>
    <phoneticPr fontId="4" type="noConversion"/>
  </si>
  <si>
    <t>□ 면적에 따른 보정계수</t>
    <phoneticPr fontId="4" type="noConversion"/>
  </si>
  <si>
    <t>구분</t>
    <phoneticPr fontId="2" type="noConversion"/>
  </si>
  <si>
    <t>건설 및 기타(원)</t>
    <phoneticPr fontId="2" type="noConversion"/>
  </si>
  <si>
    <t>* 보조원은 작업공정의 평균치를 감안하여 중급기능사(중급숙련기술자)로 갈음한다.(품셈 1-17)</t>
    <phoneticPr fontId="2" type="noConversion"/>
  </si>
  <si>
    <t xml:space="preserve">  - 계획면적 </t>
    <phoneticPr fontId="4" type="noConversion"/>
  </si>
  <si>
    <t>만㎡</t>
    <phoneticPr fontId="4" type="noConversion"/>
  </si>
  <si>
    <t>기술사</t>
    <phoneticPr fontId="2" type="noConversion"/>
  </si>
  <si>
    <t xml:space="preserve">  - 기준면적 </t>
    <phoneticPr fontId="4" type="noConversion"/>
  </si>
  <si>
    <t>특급기술자</t>
    <phoneticPr fontId="2" type="noConversion"/>
  </si>
  <si>
    <t xml:space="preserve">  - 면적보정계수(α) = (계획면적/기준면적)^0.6 =</t>
    <phoneticPr fontId="4" type="noConversion"/>
  </si>
  <si>
    <t>적용</t>
    <phoneticPr fontId="4" type="noConversion"/>
  </si>
  <si>
    <t>고급기술자</t>
    <phoneticPr fontId="2" type="noConversion"/>
  </si>
  <si>
    <t>□ 난이도 보정계수(β) =</t>
    <phoneticPr fontId="4" type="noConversion"/>
  </si>
  <si>
    <t>중급기술자</t>
    <phoneticPr fontId="2" type="noConversion"/>
  </si>
  <si>
    <t xml:space="preserve">  - 대상조건이 복잡한 경우 : 1.0 ~ 1.25 </t>
    <phoneticPr fontId="4" type="noConversion"/>
  </si>
  <si>
    <t>초급기술자</t>
    <phoneticPr fontId="2" type="noConversion"/>
  </si>
  <si>
    <t xml:space="preserve">  - 구상안 대안작성의 수량 : 0.8 ~ 1.5</t>
    <phoneticPr fontId="4" type="noConversion"/>
  </si>
  <si>
    <t>고급숙련기술자</t>
    <phoneticPr fontId="2" type="noConversion"/>
  </si>
  <si>
    <t>□ 선행작업계수(κ) =</t>
    <phoneticPr fontId="4" type="noConversion"/>
  </si>
  <si>
    <t xml:space="preserve">  - 사전개발구상 수립에 따른 중복수량보정</t>
    <phoneticPr fontId="4" type="noConversion"/>
  </si>
  <si>
    <t>초급숙련기술자</t>
    <phoneticPr fontId="2" type="noConversion"/>
  </si>
  <si>
    <t xml:space="preserve">  - 적용 과업내용 : 개발정비조건 및 계획내용설정, 구상안 작성 : 0.7 ~ 0.9</t>
    <phoneticPr fontId="4" type="noConversion"/>
  </si>
  <si>
    <t>□ 보정계수 = α×β×K=</t>
    <phoneticPr fontId="4" type="noConversion"/>
  </si>
  <si>
    <t>1. 산업단지 개발계획(기본계획) 기술업무 직종별 직접인력 소요작업량(면적 50만㎡ 기준)</t>
    <phoneticPr fontId="4" type="noConversion"/>
  </si>
  <si>
    <t>구   분</t>
    <phoneticPr fontId="4" type="noConversion"/>
  </si>
  <si>
    <t>특급</t>
    <phoneticPr fontId="4" type="noConversion"/>
  </si>
  <si>
    <t>고급</t>
    <phoneticPr fontId="4" type="noConversion"/>
  </si>
  <si>
    <t>중급</t>
    <phoneticPr fontId="4" type="noConversion"/>
  </si>
  <si>
    <t>초급</t>
    <phoneticPr fontId="4" type="noConversion"/>
  </si>
  <si>
    <t>보조원</t>
    <phoneticPr fontId="4" type="noConversion"/>
  </si>
  <si>
    <t>비  고</t>
    <phoneticPr fontId="4" type="noConversion"/>
  </si>
  <si>
    <t>1. 
기본
계획</t>
    <phoneticPr fontId="4" type="noConversion"/>
  </si>
  <si>
    <t xml:space="preserve"> 1) 현황조사 및 분석</t>
    <phoneticPr fontId="4" type="noConversion"/>
  </si>
  <si>
    <t xml:space="preserve"> 2) 개발정비조건 및 계획내용설정</t>
    <phoneticPr fontId="4" type="noConversion"/>
  </si>
  <si>
    <t xml:space="preserve"> 3) 유치업종검토</t>
    <phoneticPr fontId="4" type="noConversion"/>
  </si>
  <si>
    <t xml:space="preserve"> 4) 유치업종별 원단위 및 규격결정</t>
    <phoneticPr fontId="4" type="noConversion"/>
  </si>
  <si>
    <t xml:space="preserve"> 5) 인구유발 효과 및 수용계획</t>
    <phoneticPr fontId="4" type="noConversion"/>
  </si>
  <si>
    <t xml:space="preserve"> 6) 지역경제 파급효과</t>
    <phoneticPr fontId="4" type="noConversion"/>
  </si>
  <si>
    <t xml:space="preserve"> 6) 지역경제 파급효과</t>
    <phoneticPr fontId="4" type="noConversion"/>
  </si>
  <si>
    <t xml:space="preserve"> 7) 구상안 작성</t>
    <phoneticPr fontId="4" type="noConversion"/>
  </si>
  <si>
    <t xml:space="preserve"> 8) 업종별배분계획</t>
    <phoneticPr fontId="4" type="noConversion"/>
  </si>
  <si>
    <t xml:space="preserve"> 9) 토지이용계획</t>
    <phoneticPr fontId="4" type="noConversion"/>
  </si>
  <si>
    <t xml:space="preserve"> 10) 동선계획</t>
    <phoneticPr fontId="4" type="noConversion"/>
  </si>
  <si>
    <t xml:space="preserve"> 11) 공급처리시설계획</t>
    <phoneticPr fontId="4" type="noConversion"/>
  </si>
  <si>
    <t xml:space="preserve"> 12) 공원녹지계획</t>
    <phoneticPr fontId="4" type="noConversion"/>
  </si>
  <si>
    <t xml:space="preserve"> 13) 환경관리계획</t>
    <phoneticPr fontId="4" type="noConversion"/>
  </si>
  <si>
    <t xml:space="preserve"> 14) 인허가승인도서 작성 및 협의</t>
    <phoneticPr fontId="4" type="noConversion"/>
  </si>
  <si>
    <t xml:space="preserve"> 15) 교육환경평가서작성</t>
    <phoneticPr fontId="4" type="noConversion"/>
  </si>
  <si>
    <t xml:space="preserve"> 15) 교육환경평가서작성</t>
    <phoneticPr fontId="4" type="noConversion"/>
  </si>
  <si>
    <t xml:space="preserve"> 16) 경관계획 및 미관계획</t>
    <phoneticPr fontId="2" type="noConversion"/>
  </si>
  <si>
    <t>2.
성과품
작성</t>
    <phoneticPr fontId="4" type="noConversion"/>
  </si>
  <si>
    <t xml:space="preserve"> 17) 보고서작성 및 편집</t>
    <phoneticPr fontId="4" type="noConversion"/>
  </si>
  <si>
    <t xml:space="preserve"> 16) 보고서작성 및 편집</t>
    <phoneticPr fontId="4" type="noConversion"/>
  </si>
  <si>
    <t xml:space="preserve"> 18) 관련도서 작성</t>
    <phoneticPr fontId="4" type="noConversion"/>
  </si>
  <si>
    <t xml:space="preserve"> 17) 관련도서 작성</t>
    <phoneticPr fontId="4" type="noConversion"/>
  </si>
  <si>
    <t>3. 공청회 / 주민설명회</t>
    <phoneticPr fontId="4" type="noConversion"/>
  </si>
  <si>
    <t xml:space="preserve"> </t>
    <phoneticPr fontId="4" type="noConversion"/>
  </si>
  <si>
    <t>** 인쇄단가(10절)</t>
    <phoneticPr fontId="4" type="noConversion"/>
  </si>
  <si>
    <t>&lt;보고서 인쇄비&gt;</t>
    <phoneticPr fontId="2" type="noConversion"/>
  </si>
  <si>
    <t>(페이지, 원)</t>
    <phoneticPr fontId="4" type="noConversion"/>
  </si>
  <si>
    <t xml:space="preserve"> 2.1 기본계획 본보고서(100부)</t>
    <phoneticPr fontId="4" type="noConversion"/>
  </si>
  <si>
    <t>부수</t>
    <phoneticPr fontId="4" type="noConversion"/>
  </si>
  <si>
    <t>면수</t>
    <phoneticPr fontId="4" type="noConversion"/>
  </si>
  <si>
    <t>단가(면당, 50부까지)</t>
    <phoneticPr fontId="4" type="noConversion"/>
  </si>
  <si>
    <t xml:space="preserve">  본문 [경인쇄, 10절, 백상지, 100부, 200P]</t>
    <phoneticPr fontId="4" type="noConversion"/>
  </si>
  <si>
    <t xml:space="preserve">  표지 [경인쇄, 10절, 백상지, 100부, 1P]</t>
    <phoneticPr fontId="4" type="noConversion"/>
  </si>
  <si>
    <t xml:space="preserve">  칼라 [10절, 100부, 10P]</t>
    <phoneticPr fontId="4" type="noConversion"/>
  </si>
  <si>
    <t xml:space="preserve"> 2.2 기본계획 요약보고서(100부)</t>
    <phoneticPr fontId="4" type="noConversion"/>
  </si>
  <si>
    <t xml:space="preserve">  본문 [경인쇄, 10절, 백상지, 100부, 50P]</t>
    <phoneticPr fontId="4" type="noConversion"/>
  </si>
  <si>
    <t>*‘12. 경관계획 및 미관계획’의 (   )는 지구단위계획에서 수립하던 경관계획이므로 사업지구별 특성에 따라 선택 적용
*‘13. 친환경계획’은 생태환경조성계획으로서 사업지구의 특성에 따라 필요시 선택 적용
* 공청회(주민설명회 포함)는 2회 이내 기준이며, 회수가 늘어날 경우 증가배수에 해당하는 작업품과 비용을 가산한다</t>
    <phoneticPr fontId="2" type="noConversion"/>
  </si>
  <si>
    <t xml:space="preserve">  표지 [경인쇄, 10절, 백상지, 100부, 1P]</t>
    <phoneticPr fontId="4" type="noConversion"/>
  </si>
  <si>
    <t xml:space="preserve">  칼라 [10절, 100부, 5P]</t>
    <phoneticPr fontId="4" type="noConversion"/>
  </si>
  <si>
    <t>계</t>
    <phoneticPr fontId="4" type="noConversion"/>
  </si>
  <si>
    <t>&lt;국내출장여비&gt;</t>
    <phoneticPr fontId="4" type="noConversion"/>
  </si>
  <si>
    <t xml:space="preserve"> 3.1 항목별 산출근거</t>
    <phoneticPr fontId="4" type="noConversion"/>
  </si>
  <si>
    <t xml:space="preserve">   - 일비, 식비, 교통비 : 공사 여비규정</t>
    <phoneticPr fontId="4" type="noConversion"/>
  </si>
  <si>
    <t xml:space="preserve"> 3.2 경비내역</t>
    <phoneticPr fontId="4" type="noConversion"/>
  </si>
  <si>
    <t>구    분</t>
    <phoneticPr fontId="4" type="noConversion"/>
  </si>
  <si>
    <t>일비</t>
    <phoneticPr fontId="4" type="noConversion"/>
  </si>
  <si>
    <t>식비</t>
    <phoneticPr fontId="4" type="noConversion"/>
  </si>
  <si>
    <t>교통비</t>
    <phoneticPr fontId="4" type="noConversion"/>
  </si>
  <si>
    <t>횟수</t>
    <phoneticPr fontId="4" type="noConversion"/>
  </si>
  <si>
    <t xml:space="preserve">     . 특급기술자(2급 기준) : </t>
    <phoneticPr fontId="4" type="noConversion"/>
  </si>
  <si>
    <t xml:space="preserve">     . 고급기술자(3급 기준) : </t>
    <phoneticPr fontId="4" type="noConversion"/>
  </si>
  <si>
    <t xml:space="preserve">     . 중급기술자(4급 기준) :</t>
    <phoneticPr fontId="4" type="noConversion"/>
  </si>
  <si>
    <t xml:space="preserve"> 산출근거(조경기본계획)</t>
    <phoneticPr fontId="4" type="noConversion"/>
  </si>
  <si>
    <t xml:space="preserve">  ★ 조경기본계획비 = 직능별 소요작업량(인) x 면적보정계수(a) x 공원면적비율(%) x 노임단가(원/인)</t>
    <phoneticPr fontId="4" type="noConversion"/>
  </si>
  <si>
    <t>* 직능별 소요작업량 : 국토개발계획 표준품셈('07.11)에서 기본계획에 중복되는 과업항목 등 일부조정</t>
    <phoneticPr fontId="2" type="noConversion"/>
  </si>
  <si>
    <t>* 공원면적비율(%) : [공원면적/(공원면적 + 공원외녹지면적)] x 100%, 산업단지는 60%를 적용한다</t>
    <phoneticPr fontId="2" type="noConversion"/>
  </si>
  <si>
    <t>사업면적 :</t>
    <phoneticPr fontId="4" type="noConversion"/>
  </si>
  <si>
    <t>㎡</t>
    <phoneticPr fontId="4" type="noConversion"/>
  </si>
  <si>
    <t>구분</t>
    <phoneticPr fontId="4" type="noConversion"/>
  </si>
  <si>
    <t>1. 기본구상</t>
    <phoneticPr fontId="2" type="noConversion"/>
  </si>
  <si>
    <t>동선체계구상</t>
    <phoneticPr fontId="2" type="noConversion"/>
  </si>
  <si>
    <t>유치시설종류 및 규모설정</t>
    <phoneticPr fontId="2" type="noConversion"/>
  </si>
  <si>
    <t>소  계</t>
    <phoneticPr fontId="4" type="noConversion"/>
  </si>
  <si>
    <t>공원면적비율 (산업단지 60%적용)</t>
    <phoneticPr fontId="4" type="noConversion"/>
  </si>
  <si>
    <t>2.기본계획
  (시설지별)</t>
    <phoneticPr fontId="4" type="noConversion"/>
  </si>
  <si>
    <t>토지이용계획</t>
    <phoneticPr fontId="4" type="noConversion"/>
  </si>
  <si>
    <t>동선계획</t>
    <phoneticPr fontId="4" type="noConversion"/>
  </si>
  <si>
    <t>시설물배치계획</t>
    <phoneticPr fontId="4" type="noConversion"/>
  </si>
  <si>
    <t>식재계획</t>
    <phoneticPr fontId="4" type="noConversion"/>
  </si>
  <si>
    <t>3.성과품작성</t>
    <phoneticPr fontId="4" type="noConversion"/>
  </si>
  <si>
    <t>관련도서 작성</t>
    <phoneticPr fontId="4" type="noConversion"/>
  </si>
  <si>
    <t>4.면적 보정계수</t>
    <phoneticPr fontId="4" type="noConversion"/>
  </si>
  <si>
    <t xml:space="preserve">(계획면적A/기준면적50)^0.6 = </t>
    <phoneticPr fontId="2" type="noConversion"/>
  </si>
  <si>
    <t xml:space="preserve">  ★ 보고서 인쇄비</t>
    <phoneticPr fontId="4" type="noConversion"/>
  </si>
  <si>
    <t xml:space="preserve"> 기본계획 보고서(10부)</t>
    <phoneticPr fontId="4" type="noConversion"/>
  </si>
  <si>
    <t xml:space="preserve">  본문 [경인쇄, 10절, 백상지, 10부, 100P]</t>
    <phoneticPr fontId="4" type="noConversion"/>
  </si>
  <si>
    <t xml:space="preserve">  표지 [경인쇄, 10절, 백상지, 10부, 1P]</t>
    <phoneticPr fontId="4" type="noConversion"/>
  </si>
  <si>
    <t xml:space="preserve">  칼라 [10절, 100부, 10P]</t>
    <phoneticPr fontId="4" type="noConversion"/>
  </si>
  <si>
    <t>산출근거(농지전용협의도서 작성)</t>
    <phoneticPr fontId="4" type="noConversion"/>
  </si>
  <si>
    <t>직접인건비 : 소요인력기준 x 당해년도 기술자 인건비 x 면적보정계수 x 적용비율</t>
    <phoneticPr fontId="2" type="noConversion"/>
  </si>
  <si>
    <t>□ 소요인력기준</t>
    <phoneticPr fontId="4" type="noConversion"/>
  </si>
  <si>
    <t>구분</t>
    <phoneticPr fontId="4" type="noConversion"/>
  </si>
  <si>
    <t>기술사</t>
    <phoneticPr fontId="4" type="noConversion"/>
  </si>
  <si>
    <t>특급기술자</t>
    <phoneticPr fontId="4" type="noConversion"/>
  </si>
  <si>
    <t>고급기술자</t>
    <phoneticPr fontId="4" type="noConversion"/>
  </si>
  <si>
    <t>중급기술자</t>
    <phoneticPr fontId="4" type="noConversion"/>
  </si>
  <si>
    <t>초급기술자</t>
    <phoneticPr fontId="4" type="noConversion"/>
  </si>
  <si>
    <t>중급기능사</t>
    <phoneticPr fontId="4" type="noConversion"/>
  </si>
  <si>
    <t>1. 농지전용협의요청서 등 사업계획서 작성</t>
    <phoneticPr fontId="4" type="noConversion"/>
  </si>
  <si>
    <t>2. 농지편입현황조서 작성</t>
    <phoneticPr fontId="4" type="noConversion"/>
  </si>
  <si>
    <t>3. 농지관련 도서 작성</t>
    <phoneticPr fontId="4" type="noConversion"/>
  </si>
  <si>
    <t>□ 면적에 따른 보정계수</t>
    <phoneticPr fontId="4" type="noConversion"/>
  </si>
  <si>
    <t xml:space="preserve">   - 적용면적(농지면적 적용)</t>
    <phoneticPr fontId="4" type="noConversion"/>
  </si>
  <si>
    <t>만㎡</t>
    <phoneticPr fontId="4" type="noConversion"/>
  </si>
  <si>
    <t xml:space="preserve">    ※ LH-GIS BANK시스템에 따른 사업대상지 전체 지목 중 전, 답, 과 면적 적용</t>
    <phoneticPr fontId="4" type="noConversion"/>
  </si>
  <si>
    <t xml:space="preserve">   - 면적보정계수(α) = (계획면적/기준면적)^0.5 =</t>
    <phoneticPr fontId="4" type="noConversion"/>
  </si>
  <si>
    <t>□  적용비율</t>
    <phoneticPr fontId="2" type="noConversion"/>
  </si>
  <si>
    <t>국토계획 품셈 
적용비율</t>
    <phoneticPr fontId="4" type="noConversion"/>
  </si>
  <si>
    <t>적용</t>
    <phoneticPr fontId="4" type="noConversion"/>
  </si>
  <si>
    <t>1. 관련법규 검토</t>
    <phoneticPr fontId="4" type="noConversion"/>
  </si>
  <si>
    <t>2. 관련계획 검토</t>
    <phoneticPr fontId="4" type="noConversion"/>
  </si>
  <si>
    <t>구분</t>
    <phoneticPr fontId="2" type="noConversion"/>
  </si>
  <si>
    <t>건설 및 기타(원)</t>
    <phoneticPr fontId="2" type="noConversion"/>
  </si>
  <si>
    <t>* 보조원은 작업공정의 평균치를 감안하여 중급기능사(중급숙련기술자)로 갈음한다.(품셈 1-17)</t>
    <phoneticPr fontId="2" type="noConversion"/>
  </si>
  <si>
    <t>3. 주변지역과의 상관성 검토</t>
    <phoneticPr fontId="4" type="noConversion"/>
  </si>
  <si>
    <t>기술사</t>
    <phoneticPr fontId="2" type="noConversion"/>
  </si>
  <si>
    <t>4. 농지전용협의요청서 등 사업계획서 작성</t>
    <phoneticPr fontId="4" type="noConversion"/>
  </si>
  <si>
    <t>반영</t>
    <phoneticPr fontId="4" type="noConversion"/>
  </si>
  <si>
    <t>특급기술자</t>
    <phoneticPr fontId="2" type="noConversion"/>
  </si>
  <si>
    <t>5. 농지편입현황조서 작성</t>
    <phoneticPr fontId="4" type="noConversion"/>
  </si>
  <si>
    <t>고급기술자</t>
    <phoneticPr fontId="2" type="noConversion"/>
  </si>
  <si>
    <t>6. 피해방지계획서</t>
    <phoneticPr fontId="4" type="noConversion"/>
  </si>
  <si>
    <t>중급기술자</t>
    <phoneticPr fontId="2" type="noConversion"/>
  </si>
  <si>
    <t>7. 도시계획 관련 도서</t>
    <phoneticPr fontId="4" type="noConversion"/>
  </si>
  <si>
    <t>초급기술자</t>
    <phoneticPr fontId="2" type="noConversion"/>
  </si>
  <si>
    <t>8. 농지전용관련 도서 작성</t>
    <phoneticPr fontId="4" type="noConversion"/>
  </si>
  <si>
    <t>고급숙련기술자</t>
    <phoneticPr fontId="2" type="noConversion"/>
  </si>
  <si>
    <t>9. 초지관련도서</t>
    <phoneticPr fontId="4" type="noConversion"/>
  </si>
  <si>
    <t>중급숙련기술자</t>
    <phoneticPr fontId="2" type="noConversion"/>
  </si>
  <si>
    <t>※ [농지산지전용협의 도서작성 업무처리지침('10.10 택지개발처)]에 의거 농지전용협의요청서, 농지편입현황조서는 20% 적용, 농지관련 도서 작성은 100% 적용</t>
    <phoneticPr fontId="4" type="noConversion"/>
  </si>
  <si>
    <t>초급숙련기술자</t>
    <phoneticPr fontId="2" type="noConversion"/>
  </si>
  <si>
    <t>※ [농지산지전용협의 도서작성 업무처리지침('10.10 택지개발처)]에 의거 용역대가는 농지전용 최종협의면적에 의거 정산조치</t>
    <phoneticPr fontId="2" type="noConversion"/>
  </si>
  <si>
    <t>※ [농지산지전용협의 도서작성 업무처리지침('10.10 택지개발처)]에 의거 용역대가는 산지전용 최종협의면적에 의거 정산조치</t>
    <phoneticPr fontId="2" type="noConversion"/>
  </si>
  <si>
    <t>1. 사업계획서 작성</t>
    <phoneticPr fontId="4" type="noConversion"/>
  </si>
  <si>
    <t>제1호표</t>
    <phoneticPr fontId="2" type="noConversion"/>
  </si>
  <si>
    <t>나. 제경비(직접인건비*110%)</t>
    <phoneticPr fontId="4" type="noConversion"/>
  </si>
  <si>
    <t>다. 기술료[(직접인건비+제경비)*20%)]</t>
    <phoneticPr fontId="4" type="noConversion"/>
  </si>
  <si>
    <t>[제1호표] 사업계획서 작성(표고 및 평균경사도 조사서 포함)</t>
    <phoneticPr fontId="4" type="noConversion"/>
  </si>
  <si>
    <t>구분</t>
    <phoneticPr fontId="2" type="noConversion"/>
  </si>
  <si>
    <t>건설 및 기타(원)</t>
    <phoneticPr fontId="2" type="noConversion"/>
  </si>
  <si>
    <t>* 보조원은 작업공정의 평균치를 감안하여 중급기능사(중급숙련기술자)로 갈음한다.(품셈 1-17)</t>
    <phoneticPr fontId="2" type="noConversion"/>
  </si>
  <si>
    <t>기술사</t>
    <phoneticPr fontId="2" type="noConversion"/>
  </si>
  <si>
    <t>특급기술자</t>
    <phoneticPr fontId="2" type="noConversion"/>
  </si>
  <si>
    <t>고급기술자</t>
    <phoneticPr fontId="2" type="noConversion"/>
  </si>
  <si>
    <t>보조원(초급기능사)</t>
    <phoneticPr fontId="2" type="noConversion"/>
  </si>
  <si>
    <t>중급기술자</t>
    <phoneticPr fontId="2" type="noConversion"/>
  </si>
  <si>
    <t>소계</t>
    <phoneticPr fontId="4" type="noConversion"/>
  </si>
  <si>
    <t>초급기술자</t>
    <phoneticPr fontId="2" type="noConversion"/>
  </si>
  <si>
    <t>보정계수(α)</t>
    <phoneticPr fontId="4" type="noConversion"/>
  </si>
  <si>
    <t>고급숙련기술자</t>
    <phoneticPr fontId="2" type="noConversion"/>
  </si>
  <si>
    <t>적용비율(β)</t>
    <phoneticPr fontId="4" type="noConversion"/>
  </si>
  <si>
    <t>중급숙련기술자</t>
    <phoneticPr fontId="2" type="noConversion"/>
  </si>
  <si>
    <t>계</t>
    <phoneticPr fontId="4" type="noConversion"/>
  </si>
  <si>
    <t>초급숙련기술자</t>
    <phoneticPr fontId="2" type="noConversion"/>
  </si>
  <si>
    <t>(X : 산지전용면적(만㎡), Y : 기준면적(50만㎡))</t>
    <phoneticPr fontId="2" type="noConversion"/>
  </si>
  <si>
    <t xml:space="preserve">    ※ 산지전용면적은 LH-GIS BANK시스템에 따른 사업대상지 전체 지목 중 "임" 면적 적용</t>
    <phoneticPr fontId="2" type="noConversion"/>
  </si>
  <si>
    <t>* 적용비율(β) = 20%(사업계획서 작성)</t>
    <phoneticPr fontId="2" type="noConversion"/>
  </si>
  <si>
    <t>산출근거(산지전용예정지 실측도작성)</t>
    <phoneticPr fontId="2" type="noConversion"/>
  </si>
  <si>
    <t>가. 예비조사 용역비 (예비조사단가 x 조사단위)</t>
    <phoneticPr fontId="2" type="noConversion"/>
  </si>
  <si>
    <t xml:space="preserve"> - 조사단위 : 산지면적(ha) / 10ha</t>
    <phoneticPr fontId="2" type="noConversion"/>
  </si>
  <si>
    <t xml:space="preserve"> - 총재적량(예비조사개소 x 1개표준지면적 x 해당지역 평균축적)</t>
    <phoneticPr fontId="2" type="noConversion"/>
  </si>
  <si>
    <t xml:space="preserve"> - 표본추출비울 = 5%</t>
    <phoneticPr fontId="2" type="noConversion"/>
  </si>
  <si>
    <t xml:space="preserve">  ○ 표준지 5개소에서 산출된 총재적량은 </t>
    <phoneticPr fontId="4" type="noConversion"/>
  </si>
  <si>
    <t>㎥</t>
    <phoneticPr fontId="4" type="noConversion"/>
  </si>
  <si>
    <t>총재적량</t>
    <phoneticPr fontId="4" type="noConversion"/>
  </si>
  <si>
    <t>  ⇒ (예비조사용역비 + 본조사용역비)</t>
    <phoneticPr fontId="2" type="noConversion"/>
  </si>
  <si>
    <t>원</t>
    <phoneticPr fontId="4" type="noConversion"/>
  </si>
  <si>
    <t>3) 2010 산림기본통계 산출결과('11.6.15), 산림청</t>
    <phoneticPr fontId="4" type="noConversion"/>
  </si>
  <si>
    <t>4) 매목조사 공정중 ‘개벌’ 적용</t>
    <phoneticPr fontId="4" type="noConversion"/>
  </si>
  <si>
    <t>구 분</t>
    <phoneticPr fontId="4" type="noConversion"/>
  </si>
  <si>
    <t>산출근거(지구단위계획)</t>
    <phoneticPr fontId="4" type="noConversion"/>
  </si>
  <si>
    <t xml:space="preserve"> 1. 계획면적 보정</t>
    <phoneticPr fontId="4" type="noConversion"/>
  </si>
  <si>
    <t xml:space="preserve">    - 토지이용계획표상의 토지용도별로 다음과 같이 산정</t>
    <phoneticPr fontId="4" type="noConversion"/>
  </si>
  <si>
    <t xml:space="preserve">       . 필지분할 및 용도검토 수반시(단독주택, 상업업무, 근생, 준주거, 주차장, 종교용지 등) : 100% 계상</t>
    <phoneticPr fontId="4" type="noConversion"/>
  </si>
  <si>
    <t xml:space="preserve">       . 기타 유상공급 용지(공동택지, 학교, 공공시설용지 등) : 50% 계상</t>
    <phoneticPr fontId="4" type="noConversion"/>
  </si>
  <si>
    <t xml:space="preserve">       . 도로, 공원 등 별도설계 수반되는 무상공급 용지 : 계상치 않음</t>
    <phoneticPr fontId="4" type="noConversion"/>
  </si>
  <si>
    <t xml:space="preserve">       . 단, 특별계획구역의 세부계획 수립 등 과업(지시)조건에 따라서 해당 부분 계상 가능</t>
    <phoneticPr fontId="4" type="noConversion"/>
  </si>
  <si>
    <t>구  분</t>
    <phoneticPr fontId="4" type="noConversion"/>
  </si>
  <si>
    <t>산업시설</t>
    <phoneticPr fontId="4" type="noConversion"/>
  </si>
  <si>
    <t>지원시설</t>
    <phoneticPr fontId="4" type="noConversion"/>
  </si>
  <si>
    <t>주차장</t>
    <phoneticPr fontId="4" type="noConversion"/>
  </si>
  <si>
    <t>도로</t>
    <phoneticPr fontId="4" type="noConversion"/>
  </si>
  <si>
    <t>* 사업면적(토지이용계획)은 산입법, 산입통합지침, 편람에 명시된 기준에 따라 대략 산정</t>
    <phoneticPr fontId="2" type="noConversion"/>
  </si>
  <si>
    <t xml:space="preserve"> 2. 작업량보정 : </t>
    <phoneticPr fontId="4" type="noConversion"/>
  </si>
  <si>
    <t xml:space="preserve">    - 면적보정계수 : α = [과업면적/10만㎡]</t>
    <phoneticPr fontId="4" type="noConversion"/>
  </si>
  <si>
    <t>=</t>
    <phoneticPr fontId="4" type="noConversion"/>
  </si>
  <si>
    <t>=</t>
    <phoneticPr fontId="4" type="noConversion"/>
  </si>
  <si>
    <t>[기준면적 : 10만㎡]</t>
    <phoneticPr fontId="4" type="noConversion"/>
  </si>
  <si>
    <t xml:space="preserve">    - 난이도 보정계수 </t>
    <phoneticPr fontId="4" type="noConversion"/>
  </si>
  <si>
    <t xml:space="preserve">       . 시가지(택지개발등)의 일반적인 계획 수립시 </t>
    <phoneticPr fontId="4" type="noConversion"/>
  </si>
  <si>
    <t>:</t>
    <phoneticPr fontId="4" type="noConversion"/>
  </si>
  <si>
    <t>(적용)</t>
    <phoneticPr fontId="4" type="noConversion"/>
  </si>
  <si>
    <t xml:space="preserve">       . 복합구역(신개발지와 기존시가지 혼재) </t>
    <phoneticPr fontId="4" type="noConversion"/>
  </si>
  <si>
    <t>:</t>
    <phoneticPr fontId="4" type="noConversion"/>
  </si>
  <si>
    <t xml:space="preserve">       . 기존시가지</t>
    <phoneticPr fontId="4" type="noConversion"/>
  </si>
  <si>
    <t>:</t>
    <phoneticPr fontId="4" type="noConversion"/>
  </si>
  <si>
    <t xml:space="preserve"> 3. 소요작업량</t>
    <phoneticPr fontId="4" type="noConversion"/>
  </si>
  <si>
    <t xml:space="preserve">    - 용역대가 산정기준(단지계획부문'12.7) 중 지구단위계획용역 대가 산정기준 적용</t>
    <phoneticPr fontId="4" type="noConversion"/>
  </si>
  <si>
    <t>(용역대가 기준)</t>
    <phoneticPr fontId="4" type="noConversion"/>
  </si>
  <si>
    <t>업무내용</t>
    <phoneticPr fontId="4" type="noConversion"/>
  </si>
  <si>
    <t>기술사</t>
    <phoneticPr fontId="4" type="noConversion"/>
  </si>
  <si>
    <t>특급</t>
    <phoneticPr fontId="4" type="noConversion"/>
  </si>
  <si>
    <t>고급</t>
    <phoneticPr fontId="4" type="noConversion"/>
  </si>
  <si>
    <t>중급</t>
    <phoneticPr fontId="4" type="noConversion"/>
  </si>
  <si>
    <t>초급</t>
    <phoneticPr fontId="4" type="noConversion"/>
  </si>
  <si>
    <t>보조원</t>
    <phoneticPr fontId="4" type="noConversion"/>
  </si>
  <si>
    <t>비  고</t>
    <phoneticPr fontId="4" type="noConversion"/>
  </si>
  <si>
    <t>업무내용</t>
    <phoneticPr fontId="4" type="noConversion"/>
  </si>
  <si>
    <t>기술사</t>
    <phoneticPr fontId="4" type="noConversion"/>
  </si>
  <si>
    <t>특급</t>
    <phoneticPr fontId="4" type="noConversion"/>
  </si>
  <si>
    <t>고급</t>
    <phoneticPr fontId="4" type="noConversion"/>
  </si>
  <si>
    <t>중급</t>
    <phoneticPr fontId="4" type="noConversion"/>
  </si>
  <si>
    <t xml:space="preserve"> ① 용도지역·지구계획</t>
    <phoneticPr fontId="4" type="noConversion"/>
  </si>
  <si>
    <t>50%적용</t>
    <phoneticPr fontId="2" type="noConversion"/>
  </si>
  <si>
    <t xml:space="preserve"> ① 용도지역·지구계획</t>
    <phoneticPr fontId="4" type="noConversion"/>
  </si>
  <si>
    <t xml:space="preserve"> ② 가구 및 획지</t>
    <phoneticPr fontId="4" type="noConversion"/>
  </si>
  <si>
    <t xml:space="preserve"> ③ 건축물에관한계획</t>
    <phoneticPr fontId="4" type="noConversion"/>
  </si>
  <si>
    <t>50%적용</t>
    <phoneticPr fontId="2" type="noConversion"/>
  </si>
  <si>
    <t xml:space="preserve"> ③ 건축물에관한계획</t>
    <phoneticPr fontId="4" type="noConversion"/>
  </si>
  <si>
    <t xml:space="preserve"> ④ 특별계획구역 계획</t>
    <phoneticPr fontId="4" type="noConversion"/>
  </si>
  <si>
    <t>미적용</t>
    <phoneticPr fontId="4" type="noConversion"/>
  </si>
  <si>
    <t xml:space="preserve"> ④ 특별계획구역 계획</t>
    <phoneticPr fontId="4" type="noConversion"/>
  </si>
  <si>
    <t xml:space="preserve"> ⑤ 주요지구 스케치모델</t>
    <phoneticPr fontId="4" type="noConversion"/>
  </si>
  <si>
    <t>미적용</t>
    <phoneticPr fontId="4" type="noConversion"/>
  </si>
  <si>
    <t xml:space="preserve"> ⑥ 보고서작성 및 편집</t>
    <phoneticPr fontId="4" type="noConversion"/>
  </si>
  <si>
    <t xml:space="preserve"> ⑥ 보고서작성 및 편집</t>
    <phoneticPr fontId="4" type="noConversion"/>
  </si>
  <si>
    <t xml:space="preserve"> ⑦ 관련도서 작성</t>
    <phoneticPr fontId="4" type="noConversion"/>
  </si>
  <si>
    <t>50%적용</t>
    <phoneticPr fontId="2" type="noConversion"/>
  </si>
  <si>
    <t xml:space="preserve"> ⑦ 관련도서 작성</t>
    <phoneticPr fontId="4" type="noConversion"/>
  </si>
  <si>
    <t>* 산업단지는 택지개발지구, 도시개발지구 등에 비해 지구단위계획이 상대적으로 단순하므로 50%만 적용</t>
    <phoneticPr fontId="2" type="noConversion"/>
  </si>
  <si>
    <t>□ 지구단위계획 직접경비</t>
    <phoneticPr fontId="4" type="noConversion"/>
  </si>
  <si>
    <t xml:space="preserve"> 1. 보고서 인쇄비</t>
    <phoneticPr fontId="4" type="noConversion"/>
  </si>
  <si>
    <t>단가(면당)</t>
    <phoneticPr fontId="4" type="noConversion"/>
  </si>
  <si>
    <t xml:space="preserve">  표지 [경인쇄, 10절, 백상지, 100부, 5P]</t>
    <phoneticPr fontId="4" type="noConversion"/>
  </si>
  <si>
    <t>2. 국내여비</t>
    <phoneticPr fontId="4" type="noConversion"/>
  </si>
  <si>
    <t xml:space="preserve"> 2.1 항목별 산출근거</t>
    <phoneticPr fontId="4" type="noConversion"/>
  </si>
  <si>
    <t xml:space="preserve"> - 일비, 식비, 교통비 : 공사 여비규정</t>
    <phoneticPr fontId="4" type="noConversion"/>
  </si>
  <si>
    <t>(원, 편도)</t>
    <phoneticPr fontId="4" type="noConversion"/>
  </si>
  <si>
    <t xml:space="preserve"> 2.2 경비내역</t>
    <phoneticPr fontId="4" type="noConversion"/>
  </si>
  <si>
    <t>구    분</t>
    <phoneticPr fontId="4" type="noConversion"/>
  </si>
  <si>
    <t>일비</t>
    <phoneticPr fontId="4" type="noConversion"/>
  </si>
  <si>
    <t>식비</t>
    <phoneticPr fontId="4" type="noConversion"/>
  </si>
  <si>
    <t>교통비</t>
    <phoneticPr fontId="4" type="noConversion"/>
  </si>
  <si>
    <t>횟수</t>
    <phoneticPr fontId="4" type="noConversion"/>
  </si>
  <si>
    <t xml:space="preserve">     . 특급기술자(2급 기준) : </t>
    <phoneticPr fontId="4" type="noConversion"/>
  </si>
  <si>
    <t xml:space="preserve">     . 고급기술자(3급 기준) : </t>
    <phoneticPr fontId="4" type="noConversion"/>
  </si>
  <si>
    <t xml:space="preserve">     . 중급기술자(4급 기준) :</t>
    <phoneticPr fontId="4" type="noConversion"/>
  </si>
  <si>
    <t>* 경인쇄기준요금</t>
    <phoneticPr fontId="4" type="noConversion"/>
  </si>
  <si>
    <t>* 조판생략감액</t>
    <phoneticPr fontId="4" type="noConversion"/>
  </si>
  <si>
    <t>10포인트</t>
    <phoneticPr fontId="4" type="noConversion"/>
  </si>
  <si>
    <t>(인쇄면당)</t>
    <phoneticPr fontId="4" type="noConversion"/>
  </si>
  <si>
    <t>절수</t>
    <phoneticPr fontId="4" type="noConversion"/>
  </si>
  <si>
    <t>지질</t>
    <phoneticPr fontId="4" type="noConversion"/>
  </si>
  <si>
    <t>50부까지</t>
    <phoneticPr fontId="4" type="noConversion"/>
  </si>
  <si>
    <t>10부마다</t>
    <phoneticPr fontId="4" type="noConversion"/>
  </si>
  <si>
    <t>(1)</t>
    <phoneticPr fontId="4" type="noConversion"/>
  </si>
  <si>
    <t>(2)</t>
    <phoneticPr fontId="4" type="noConversion"/>
  </si>
  <si>
    <t>(3)</t>
    <phoneticPr fontId="4" type="noConversion"/>
  </si>
  <si>
    <t>8절</t>
    <phoneticPr fontId="4" type="noConversion"/>
  </si>
  <si>
    <t>신문용지</t>
    <phoneticPr fontId="4" type="noConversion"/>
  </si>
  <si>
    <t>중질지</t>
    <phoneticPr fontId="4" type="noConversion"/>
  </si>
  <si>
    <t>10절</t>
    <phoneticPr fontId="4" type="noConversion"/>
  </si>
  <si>
    <t>백상지</t>
    <phoneticPr fontId="4" type="noConversion"/>
  </si>
  <si>
    <t>16절</t>
    <phoneticPr fontId="4" type="noConversion"/>
  </si>
  <si>
    <t>25절</t>
    <phoneticPr fontId="4" type="noConversion"/>
  </si>
  <si>
    <t>32절</t>
    <phoneticPr fontId="4" type="noConversion"/>
  </si>
  <si>
    <t>(1) : 제판용 인화지(원판)를 제공하거나 기존 인화지를 재활용할때</t>
    <phoneticPr fontId="4" type="noConversion"/>
  </si>
  <si>
    <t>(2) : 변환이나 수정할 필요없이 바로 출력하여 제판할 수 있는 디스켓을 제공할때</t>
    <phoneticPr fontId="4" type="noConversion"/>
  </si>
  <si>
    <t>(3) 글자 크기, 행간 조정, 페이지 재구성 등 변환이나 수정을 요하는 디스켓 제공할때</t>
    <phoneticPr fontId="4" type="noConversion"/>
  </si>
  <si>
    <t>■ 단지조성공사 단위공사비</t>
    <phoneticPr fontId="2" type="noConversion"/>
  </si>
  <si>
    <t>인</t>
    <phoneticPr fontId="2" type="noConversion"/>
  </si>
  <si>
    <t>산업단지</t>
    <phoneticPr fontId="2" type="noConversion"/>
  </si>
  <si>
    <t xml:space="preserve">  (3) 고급기술자</t>
    <phoneticPr fontId="46" type="noConversion"/>
  </si>
  <si>
    <t xml:space="preserve">  (5) 초급기술자</t>
    <phoneticPr fontId="46" type="noConversion"/>
  </si>
  <si>
    <t>간
접
비</t>
    <phoneticPr fontId="4" type="noConversion"/>
  </si>
  <si>
    <t xml:space="preserve"> 4. 기 술 료 [(직접인건비+제경비)*20%]</t>
    <phoneticPr fontId="4" type="noConversion"/>
  </si>
  <si>
    <t>소 계</t>
    <phoneticPr fontId="4" type="noConversion"/>
  </si>
  <si>
    <t>* 초과시 기본설계</t>
    <phoneticPr fontId="2" type="noConversion"/>
  </si>
  <si>
    <t>= 2.75 × (공사비)^0.0265 - 0.006822</t>
    <phoneticPr fontId="2" type="noConversion"/>
  </si>
  <si>
    <t>* 초과시 실시설계</t>
    <phoneticPr fontId="2" type="noConversion"/>
  </si>
  <si>
    <t>조 사</t>
    <phoneticPr fontId="2" type="noConversion"/>
  </si>
  <si>
    <t>계 획</t>
    <phoneticPr fontId="2" type="noConversion"/>
  </si>
  <si>
    <t>설 계</t>
    <phoneticPr fontId="2" type="noConversion"/>
  </si>
  <si>
    <t>성과품 작성</t>
    <phoneticPr fontId="2" type="noConversion"/>
  </si>
  <si>
    <t>기준단위</t>
    <phoneticPr fontId="2" type="noConversion"/>
  </si>
  <si>
    <t>산출방법</t>
    <phoneticPr fontId="2" type="noConversion"/>
  </si>
  <si>
    <t>환산수량</t>
    <phoneticPr fontId="2" type="noConversion"/>
  </si>
  <si>
    <t>&lt;추가공종&gt;</t>
    <phoneticPr fontId="2" type="noConversion"/>
  </si>
  <si>
    <t>포함되지 않은 공종</t>
    <phoneticPr fontId="2" type="noConversion"/>
  </si>
  <si>
    <t>③과업대상 면적(식)</t>
    <phoneticPr fontId="2" type="noConversion"/>
  </si>
  <si>
    <t>⑤ 도로연장</t>
    <phoneticPr fontId="2" type="noConversion"/>
  </si>
  <si>
    <t xml:space="preserve">1km 미만 : 도로연장 그대로 적용, 1km 이상 : 1+α*(도로연장 - 1)
설계단계 : α=0.5
</t>
    <phoneticPr fontId="46" type="noConversion"/>
  </si>
  <si>
    <t>⑧ 도시
   시설물 
   개소</t>
    <phoneticPr fontId="2" type="noConversion"/>
  </si>
  <si>
    <t>1개소</t>
    <phoneticPr fontId="46" type="noConversion"/>
  </si>
  <si>
    <t>적용</t>
    <phoneticPr fontId="2" type="noConversion"/>
  </si>
  <si>
    <t>□ 1) 3) 4) 는 수요조사 및 마케팅전략수립과의 중복되는 부분이 있으므로 작업량을 70% 감
□ 15) 교육환경평가서작성은 산업단지내 주거단지가 있는 경우 작성하므로 미적용
        (학교용지 확보등에 관한 특례법 제3조(학교용지의 조성,개발)에 따르면 300가구 이상의 개발사업을 시행하는 자는
        개발계획에 학교용지의 조성,개발계획을 포함시켜야하고 교육환경평가서 작성.
        단, 취학수요가 발생하지 않는 용도의 개발일 경우 해당 가구수 제외)
 * 경관심의를 위한 조감도 및 3D 시뮬레이션 과업에 대한 직접비는 별도 계상</t>
    <phoneticPr fontId="4" type="noConversion"/>
  </si>
  <si>
    <t>□ 한국엔지니어링진흥협회 공표 엔지니어링사업별, 기술자등급별, 실지급임금현황 (2015.1월 기준)</t>
    <phoneticPr fontId="4" type="noConversion"/>
  </si>
  <si>
    <t>(지침상 기준-산업단지)</t>
    <phoneticPr fontId="4" type="noConversion"/>
  </si>
  <si>
    <t>주택단지</t>
    <phoneticPr fontId="2" type="noConversion"/>
  </si>
  <si>
    <t>주유소</t>
    <phoneticPr fontId="4" type="noConversion"/>
  </si>
  <si>
    <t>공원,녹지,하천</t>
    <phoneticPr fontId="4" type="noConversion"/>
  </si>
  <si>
    <t>공동택지</t>
    <phoneticPr fontId="4" type="noConversion"/>
  </si>
  <si>
    <t>(20,267㎡ / 100,000㎡)^0.6</t>
    <phoneticPr fontId="4" type="noConversion"/>
  </si>
  <si>
    <t>* 면적보정계수(a) : (계획면적 / 기준면적)^0.6 = (A / 50)^0.6</t>
    <phoneticPr fontId="2" type="noConversion"/>
  </si>
  <si>
    <t>장대 도첨산단</t>
    <phoneticPr fontId="2" type="noConversion"/>
  </si>
  <si>
    <t>제</t>
    <phoneticPr fontId="2" type="noConversion"/>
  </si>
  <si>
    <t>* 보정계수(α) = (X/Y)^0.5 = (0.3213/50)^0.5 =</t>
    <phoneticPr fontId="2" type="noConversion"/>
  </si>
  <si>
    <t>과</t>
    <phoneticPr fontId="2" type="noConversion"/>
  </si>
  <si>
    <t>면적 0.3ha</t>
    <phoneticPr fontId="4" type="noConversion"/>
  </si>
  <si>
    <t>  ⇒ 2012년 사유림벌채지도(매목조사) 수수료 징수기준 - 4. 조사방법 - 다. 산지전용을 위한 입목축적조사에 따르면
    5만제곱미터 미만일 경우 표준지를 5개소 이상 선정</t>
    <phoneticPr fontId="2" type="noConversion"/>
  </si>
  <si>
    <t>(2013년 사유림벌채지도(매목조사) 수수료 징수기준 준용)</t>
    <phoneticPr fontId="4" type="noConversion"/>
  </si>
  <si>
    <t>*지자체 제안서 자료</t>
    <phoneticPr fontId="2" type="noConversion"/>
  </si>
  <si>
    <t>답</t>
    <phoneticPr fontId="2" type="noConversion"/>
  </si>
  <si>
    <t>전</t>
    <phoneticPr fontId="2" type="noConversion"/>
  </si>
  <si>
    <t>임야</t>
    <phoneticPr fontId="2" type="noConversion"/>
  </si>
  <si>
    <t>잡</t>
    <phoneticPr fontId="2" type="noConversion"/>
  </si>
  <si>
    <t>도</t>
    <phoneticPr fontId="2" type="noConversion"/>
  </si>
  <si>
    <t>대</t>
    <phoneticPr fontId="2" type="noConversion"/>
  </si>
  <si>
    <t>과</t>
    <phoneticPr fontId="2" type="noConversion"/>
  </si>
  <si>
    <t>묘</t>
    <phoneticPr fontId="2" type="noConversion"/>
  </si>
  <si>
    <t>구</t>
    <phoneticPr fontId="2" type="noConversion"/>
  </si>
  <si>
    <t>천</t>
    <phoneticPr fontId="2" type="noConversion"/>
  </si>
  <si>
    <t>목</t>
    <phoneticPr fontId="2" type="noConversion"/>
  </si>
  <si>
    <t>창</t>
    <phoneticPr fontId="2" type="noConversion"/>
  </si>
  <si>
    <t>주</t>
    <phoneticPr fontId="2" type="noConversion"/>
  </si>
  <si>
    <t>제</t>
    <phoneticPr fontId="2" type="noConversion"/>
  </si>
  <si>
    <t>■ 조건 : 산지전용 예정면적 0.3ha의 대상지에서 임목축적조사 시행</t>
    <phoneticPr fontId="4" type="noConversion"/>
  </si>
  <si>
    <r>
      <t>○ 총면적의 5%를 표본 추출</t>
    </r>
    <r>
      <rPr>
        <vertAlign val="superscript"/>
        <sz val="10"/>
        <rFont val="맑은 고딕"/>
        <family val="3"/>
        <charset val="129"/>
      </rPr>
      <t>1)</t>
    </r>
    <r>
      <rPr>
        <sz val="10"/>
        <rFont val="맑은 고딕"/>
        <family val="3"/>
        <charset val="129"/>
      </rPr>
      <t>하면 표준지는 5개소 임</t>
    </r>
    <phoneticPr fontId="4" type="noConversion"/>
  </si>
  <si>
    <r>
      <t>  ⇒ 전체면적 0.3ha × 5% ÷ 1개 표준지면적(0.04ha)</t>
    </r>
    <r>
      <rPr>
        <vertAlign val="superscript"/>
        <sz val="10"/>
        <rFont val="맑은 고딕"/>
        <family val="3"/>
        <charset val="129"/>
      </rPr>
      <t>2)</t>
    </r>
    <r>
      <rPr>
        <sz val="10"/>
        <rFont val="맑은 고딕"/>
        <family val="3"/>
        <charset val="129"/>
      </rPr>
      <t xml:space="preserve"> = 1개소</t>
    </r>
    <phoneticPr fontId="4" type="noConversion"/>
  </si>
  <si>
    <t xml:space="preserve"> ○ 산림경영기술자 1인과 보통인부 2인이 0.3ha를 답사한 후 표준지위치 5개를 선정하고 
     그 경계를 구획하는 작업에 0.5일이 소요되므로</t>
    <phoneticPr fontId="4" type="noConversion"/>
  </si>
  <si>
    <t>대전광역시</t>
    <phoneticPr fontId="4" type="noConversion"/>
  </si>
  <si>
    <r>
      <t xml:space="preserve">     ⇒ 예비조사개소(5개소) x 1개표준지면적(0.04ha) × 2010년도 대전광역시 평균축적(123.95㎥/ha)</t>
    </r>
    <r>
      <rPr>
        <vertAlign val="superscript"/>
        <sz val="10"/>
        <rFont val="맑은 고딕"/>
        <family val="3"/>
        <charset val="129"/>
      </rPr>
      <t>)</t>
    </r>
    <r>
      <rPr>
        <sz val="10"/>
        <rFont val="맑은 고딕"/>
        <family val="3"/>
        <charset val="129"/>
      </rPr>
      <t xml:space="preserve"> </t>
    </r>
    <phoneticPr fontId="4" type="noConversion"/>
  </si>
  <si>
    <t>  ○ 총재적량 25㎥에 대한 본 조사 용역비는</t>
    <phoneticPr fontId="4" type="noConversion"/>
  </si>
  <si>
    <t>1), 2) 2012년 사유림벌채지도(매목조사) 수수료 징수기준 참조</t>
    <phoneticPr fontId="4" type="noConversion"/>
  </si>
  <si>
    <t xml:space="preserve">     토지 0필 × 63,000원 </t>
    <phoneticPr fontId="4" type="noConversion"/>
  </si>
  <si>
    <t xml:space="preserve">   2억-(10억-용역금액)×20%</t>
    <phoneticPr fontId="2" type="noConversion"/>
  </si>
  <si>
    <t>설계용역 대가산정 기초자료</t>
    <phoneticPr fontId="2" type="noConversion"/>
  </si>
  <si>
    <t>(단지조성 분야)</t>
    <phoneticPr fontId="2" type="noConversion"/>
  </si>
  <si>
    <t>구분</t>
    <phoneticPr fontId="2" type="noConversion"/>
  </si>
  <si>
    <t>:  입력항목</t>
  </si>
  <si>
    <t>작성일자 :</t>
  </si>
  <si>
    <t>부 서 명  :</t>
  </si>
  <si>
    <t xml:space="preserve">■ 과업개요  </t>
    <phoneticPr fontId="2" type="noConversion"/>
  </si>
  <si>
    <t>위      치</t>
    <phoneticPr fontId="2" type="noConversion"/>
  </si>
  <si>
    <t>사업면적</t>
  </si>
  <si>
    <r>
      <t>현황보존면적</t>
    </r>
    <r>
      <rPr>
        <b/>
        <vertAlign val="superscript"/>
        <sz val="11"/>
        <color indexed="8"/>
        <rFont val="맑은 고딕"/>
        <family val="3"/>
        <charset val="129"/>
      </rPr>
      <t>1)</t>
    </r>
  </si>
  <si>
    <t>설계면적</t>
  </si>
  <si>
    <r>
      <t>연약지반 면적</t>
    </r>
    <r>
      <rPr>
        <b/>
        <vertAlign val="superscript"/>
        <sz val="11"/>
        <color rgb="FFFF0000"/>
        <rFont val="맑은 고딕"/>
        <family val="3"/>
        <charset val="129"/>
      </rPr>
      <t>7)</t>
    </r>
    <phoneticPr fontId="2" type="noConversion"/>
  </si>
  <si>
    <r>
      <t>도로연장</t>
    </r>
    <r>
      <rPr>
        <b/>
        <vertAlign val="superscript"/>
        <sz val="11"/>
        <color indexed="8"/>
        <rFont val="맑은 고딕"/>
        <family val="3"/>
        <charset val="129"/>
      </rPr>
      <t>2)</t>
    </r>
    <phoneticPr fontId="2" type="noConversion"/>
  </si>
  <si>
    <r>
      <t>하천연장</t>
    </r>
    <r>
      <rPr>
        <b/>
        <vertAlign val="superscript"/>
        <sz val="11"/>
        <color indexed="8"/>
        <rFont val="맑은 고딕"/>
        <family val="3"/>
        <charset val="129"/>
      </rPr>
      <t>3)</t>
    </r>
    <phoneticPr fontId="2" type="noConversion"/>
  </si>
  <si>
    <r>
      <t>시설연장</t>
    </r>
    <r>
      <rPr>
        <b/>
        <vertAlign val="superscript"/>
        <sz val="11"/>
        <color indexed="8"/>
        <rFont val="맑은 고딕"/>
        <family val="3"/>
        <charset val="129"/>
      </rPr>
      <t>4)</t>
    </r>
    <phoneticPr fontId="2" type="noConversion"/>
  </si>
  <si>
    <t>옹벽</t>
    <phoneticPr fontId="2" type="noConversion"/>
  </si>
  <si>
    <t>우수암거</t>
    <phoneticPr fontId="2" type="noConversion"/>
  </si>
  <si>
    <r>
      <t>구 조 물</t>
    </r>
    <r>
      <rPr>
        <b/>
        <vertAlign val="superscript"/>
        <sz val="11"/>
        <color indexed="8"/>
        <rFont val="맑은 고딕"/>
        <family val="3"/>
        <charset val="129"/>
      </rPr>
      <t>5)</t>
    </r>
    <phoneticPr fontId="2" type="noConversion"/>
  </si>
  <si>
    <t>교량</t>
  </si>
  <si>
    <t>지하차도</t>
  </si>
  <si>
    <t>터널</t>
    <phoneticPr fontId="2" type="noConversion"/>
  </si>
  <si>
    <r>
      <t>단계별 자문 및 방침자료작성</t>
    </r>
    <r>
      <rPr>
        <b/>
        <vertAlign val="superscript"/>
        <sz val="11"/>
        <color indexed="8"/>
        <rFont val="맑은 고딕"/>
        <family val="3"/>
        <charset val="129"/>
      </rPr>
      <t>6)</t>
    </r>
    <phoneticPr fontId="2" type="noConversion"/>
  </si>
  <si>
    <t>※ 입력시 유의사항</t>
    <phoneticPr fontId="2" type="noConversion"/>
  </si>
  <si>
    <t xml:space="preserve">   1) 설계업무가 직접 시행되지 않는 자연공원 등 현황보존지 면적(개소당 10,000㎡ 이상)</t>
    <phoneticPr fontId="2" type="noConversion"/>
  </si>
  <si>
    <t xml:space="preserve">   2) 보행자전용도로·자전거전용도로 등 특수도로를 제외한 일반도로의 연장</t>
    <phoneticPr fontId="2" type="noConversion"/>
  </si>
  <si>
    <t xml:space="preserve"> ☞ 기본구상(안)을 미수립하여 개략산정시 사업면적 1㎢당 7~10km 로 도로연장 추정 (추후정산)</t>
    <phoneticPr fontId="2" type="noConversion"/>
  </si>
  <si>
    <t xml:space="preserve">   3) 본 투입인원수 산정기준은 지방하천 이하 하천을 대상으로 하며, 국가하천은 추가과업으로 별도산정
</t>
    <phoneticPr fontId="2" type="noConversion"/>
  </si>
  <si>
    <t xml:space="preserve"> ☞ 하천설계는 하천정비기본계획 또는 소하천정비기본계획, 실시설계로 구분되어, 기본설계는 미시행
     </t>
    <phoneticPr fontId="2" type="noConversion"/>
  </si>
  <si>
    <t xml:space="preserve">   4) 시설연장은 사업지구 도로선형 및 지형특성을 감안하여 추정 산정후 정산</t>
    <phoneticPr fontId="2" type="noConversion"/>
  </si>
  <si>
    <t xml:space="preserve">   5) 구조물 개소는 단지토공 및 도로 설계를 위한 도로시설물 계획을 위해 입력하고, 구조물 설계는 추가과업으로 별도산정</t>
    <phoneticPr fontId="2" type="noConversion"/>
  </si>
  <si>
    <t xml:space="preserve">   6) 착수보고, 자재 및 공법심의, 설계 VE, 기술심의, 일상감사 등을 고려하여 기본설계 4회, (기본및)실시설계 5회 산정후 정산</t>
    <phoneticPr fontId="2" type="noConversion"/>
  </si>
  <si>
    <t xml:space="preserve">   7) 연약지반 면적은 연약지반 심도(약 8m 이상)를 고려하여 산정</t>
    <phoneticPr fontId="2" type="noConversion"/>
  </si>
  <si>
    <t>■ 보정계수</t>
  </si>
  <si>
    <t>단지유형</t>
  </si>
  <si>
    <t>주택단지</t>
  </si>
  <si>
    <t>산업단지</t>
  </si>
  <si>
    <t>적용</t>
  </si>
  <si>
    <t>보정계수</t>
  </si>
  <si>
    <t xml:space="preserve"> ※ 산업단지의 경우 산업/주거지구 유형 혼재시 면적을 기준으로 가중평균한 값 적용
</t>
    <phoneticPr fontId="2" type="noConversion"/>
  </si>
  <si>
    <t>지역특성</t>
  </si>
  <si>
    <t>지구외 시가지화 지역</t>
  </si>
  <si>
    <t>지구외 시가지화 이외 지역</t>
  </si>
  <si>
    <t xml:space="preserve"> ※ 지구외 지역특성 혼재시 지구계에 면한 해당구간 연장을 기준으로 가중평균한 값 적용 
</t>
  </si>
  <si>
    <t>지형특성</t>
  </si>
  <si>
    <t>산지</t>
  </si>
  <si>
    <t>구릉지</t>
  </si>
  <si>
    <t>평지</t>
  </si>
  <si>
    <t xml:space="preserve"> ☞ 일반적인 사업지구는 구릉지 1.0 적용</t>
  </si>
  <si>
    <t xml:space="preserve"> ※ 산지(표고차 200~400m) / 구릉지(100m 내외 기복이 완만한 지형)  </t>
    <phoneticPr fontId="2" type="noConversion"/>
  </si>
  <si>
    <t xml:space="preserve"> ※ 구릉지 : 흙깎기 토공량 대비 발파암 30% 이상일 경우 1.1 적용  /  평지 : 사업면적 대비 연약지반 50% 이상일 경우 1.0 적용</t>
    <phoneticPr fontId="2" type="noConversion"/>
  </si>
  <si>
    <t>지구특성</t>
  </si>
  <si>
    <t>보통</t>
  </si>
  <si>
    <t>복잡</t>
  </si>
  <si>
    <t>매우 복잡</t>
  </si>
  <si>
    <t>
ㅁ</t>
    <phoneticPr fontId="2" type="noConversion"/>
  </si>
  <si>
    <t xml:space="preserve">※ 기존 취락지 제척, 통과도로, 존치시설, 인허가 지연(미확정), 특수지역 (도서지역, 대북사업 등) 등 </t>
    <phoneticPr fontId="2" type="noConversion"/>
  </si>
  <si>
    <t xml:space="preserve">   설계 장애요인이 2~3건인 경우 1.1 적용, 4건 이상인 경우 1.2 적용
  </t>
  </si>
  <si>
    <t>※ 과업대상면적을 3단계 이상으로 연차 또는 단계 발주하여 설계의 유사성 및 반복성이 없을 경우 1.2 적용</t>
  </si>
  <si>
    <t>※ http://www.kenca.or.kr(한국엔지니어링 협회)/정보자료실/대가기준 자료실/당해년도 엔지니어링업체 임금실태공표(노임단가) 참조</t>
    <phoneticPr fontId="2" type="noConversion"/>
  </si>
  <si>
    <t>식</t>
    <phoneticPr fontId="2" type="noConversion"/>
  </si>
  <si>
    <t>예 산 내 역 서</t>
    <phoneticPr fontId="46" type="noConversion"/>
  </si>
  <si>
    <t>2) 인쇄비</t>
    <phoneticPr fontId="2" type="noConversion"/>
  </si>
  <si>
    <t>3. 제경비 (직접인건비110%)</t>
    <phoneticPr fontId="2" type="noConversion"/>
  </si>
  <si>
    <t>4. 기술료 (직접인건비+제경비)20%</t>
    <phoneticPr fontId="2" type="noConversion"/>
  </si>
  <si>
    <t>기본 및 실시설계 총 용역비</t>
    <phoneticPr fontId="2" type="noConversion"/>
  </si>
  <si>
    <t>직접인건비 산출내역서</t>
    <phoneticPr fontId="46" type="noConversion"/>
  </si>
  <si>
    <t>기본 및 실시설계 투입인원수 산출</t>
    <phoneticPr fontId="46" type="noConversion"/>
  </si>
  <si>
    <t>업무구분</t>
    <phoneticPr fontId="46" type="noConversion"/>
  </si>
  <si>
    <t>적용수량</t>
    <phoneticPr fontId="4" type="noConversion"/>
  </si>
  <si>
    <t>투입인원수(man-day)</t>
    <phoneticPr fontId="4" type="noConversion"/>
  </si>
  <si>
    <t>단위 업무별 용역비 (참고용)</t>
    <phoneticPr fontId="46" type="noConversion"/>
  </si>
  <si>
    <t>단위</t>
    <phoneticPr fontId="46" type="noConversion"/>
  </si>
  <si>
    <t>기술사</t>
    <phoneticPr fontId="46" type="noConversion"/>
  </si>
  <si>
    <t>특급</t>
    <phoneticPr fontId="46" type="noConversion"/>
  </si>
  <si>
    <t>고급</t>
    <phoneticPr fontId="46" type="noConversion"/>
  </si>
  <si>
    <t>중급</t>
    <phoneticPr fontId="46" type="noConversion"/>
  </si>
  <si>
    <t>초급</t>
    <phoneticPr fontId="46" type="noConversion"/>
  </si>
  <si>
    <t>단지유형</t>
    <phoneticPr fontId="46" type="noConversion"/>
  </si>
  <si>
    <t>지역특성</t>
    <phoneticPr fontId="46" type="noConversion"/>
  </si>
  <si>
    <t>지형특성</t>
    <phoneticPr fontId="46" type="noConversion"/>
  </si>
  <si>
    <t>지구특성</t>
    <phoneticPr fontId="46" type="noConversion"/>
  </si>
  <si>
    <t>적용</t>
    <phoneticPr fontId="4" type="noConversion"/>
  </si>
  <si>
    <t>소계</t>
    <phoneticPr fontId="46" type="noConversion"/>
  </si>
  <si>
    <t>구분</t>
    <phoneticPr fontId="46" type="noConversion"/>
  </si>
  <si>
    <t>직접인건비</t>
    <phoneticPr fontId="46" type="noConversion"/>
  </si>
  <si>
    <t>용역비(VAT제외)</t>
    <phoneticPr fontId="46" type="noConversion"/>
  </si>
  <si>
    <t>비고</t>
    <phoneticPr fontId="46" type="noConversion"/>
  </si>
  <si>
    <t>조
사</t>
    <phoneticPr fontId="46" type="noConversion"/>
  </si>
  <si>
    <t>식</t>
    <phoneticPr fontId="46" type="noConversion"/>
  </si>
  <si>
    <t>2. 관련계획 조사 및 검토</t>
    <phoneticPr fontId="46" type="noConversion"/>
  </si>
  <si>
    <t>50만㎡</t>
    <phoneticPr fontId="2" type="noConversion"/>
  </si>
  <si>
    <t>4. 수리·수문조사</t>
    <phoneticPr fontId="2" type="noConversion"/>
  </si>
  <si>
    <t>7. 지장물 및 구조물조사</t>
    <phoneticPr fontId="2" type="noConversion"/>
  </si>
  <si>
    <t>4. 연약지반처리 계획</t>
    <phoneticPr fontId="46" type="noConversion"/>
  </si>
  <si>
    <t>6. 오수처리 계획</t>
    <phoneticPr fontId="46" type="noConversion"/>
  </si>
  <si>
    <t>7. 상수공급 계획</t>
    <phoneticPr fontId="46" type="noConversion"/>
  </si>
  <si>
    <t>식</t>
    <phoneticPr fontId="46" type="noConversion"/>
  </si>
  <si>
    <t>11. 단계별 자문 및 방침자료작성</t>
    <phoneticPr fontId="46" type="noConversion"/>
  </si>
  <si>
    <t>회</t>
    <phoneticPr fontId="46" type="noConversion"/>
  </si>
  <si>
    <t>2. 연약지반처리 설계</t>
    <phoneticPr fontId="46" type="noConversion"/>
  </si>
  <si>
    <t>4. 우수공 설계</t>
    <phoneticPr fontId="46" type="noConversion"/>
  </si>
  <si>
    <t>5. 오수공 설계</t>
    <phoneticPr fontId="46" type="noConversion"/>
  </si>
  <si>
    <t>100m</t>
    <phoneticPr fontId="46" type="noConversion"/>
  </si>
  <si>
    <t xml:space="preserve">8. 부대시설 설계 </t>
    <phoneticPr fontId="46" type="noConversion"/>
  </si>
  <si>
    <t>㎞(하천연장)</t>
    <phoneticPr fontId="46" type="noConversion"/>
  </si>
  <si>
    <t>성
과
품
작
성</t>
    <phoneticPr fontId="46" type="noConversion"/>
  </si>
  <si>
    <t>1. 기본 및 실시설계보고서</t>
    <phoneticPr fontId="46" type="noConversion"/>
  </si>
  <si>
    <t>50만㎡</t>
    <phoneticPr fontId="46" type="noConversion"/>
  </si>
  <si>
    <t>2. 토질 및 지반조사보고서</t>
    <phoneticPr fontId="46" type="noConversion"/>
  </si>
  <si>
    <t>3. 구조 및 수리계산서</t>
    <phoneticPr fontId="46" type="noConversion"/>
  </si>
  <si>
    <t>4. 설계예산서</t>
    <phoneticPr fontId="2" type="noConversion"/>
  </si>
  <si>
    <t>5. 단가산출서</t>
    <phoneticPr fontId="2" type="noConversion"/>
  </si>
  <si>
    <t>6. 수량산출서</t>
    <phoneticPr fontId="46" type="noConversion"/>
  </si>
  <si>
    <t xml:space="preserve">7. 기본 및 실시설계도면 </t>
    <phoneticPr fontId="2" type="noConversion"/>
  </si>
  <si>
    <t>8. 공사시방서</t>
    <phoneticPr fontId="2" type="noConversion"/>
  </si>
  <si>
    <t>적용수량 산출근거</t>
    <phoneticPr fontId="2" type="noConversion"/>
  </si>
  <si>
    <t>구 분</t>
    <phoneticPr fontId="4" type="noConversion"/>
  </si>
  <si>
    <t>구 분</t>
    <phoneticPr fontId="2" type="noConversion"/>
  </si>
  <si>
    <t>■ 기본 및 실시설계 용역대가 비교 (참고용)</t>
    <phoneticPr fontId="2" type="noConversion"/>
  </si>
  <si>
    <t>①과업대상
  면적1</t>
    <phoneticPr fontId="2" type="noConversion"/>
  </si>
  <si>
    <t>사업면적</t>
    <phoneticPr fontId="2" type="noConversion"/>
  </si>
  <si>
    <t>실비정액가산 방식</t>
    <phoneticPr fontId="2" type="noConversion"/>
  </si>
  <si>
    <t>비율</t>
    <phoneticPr fontId="2" type="noConversion"/>
  </si>
  <si>
    <t>기본요율</t>
    <phoneticPr fontId="2" type="noConversion"/>
  </si>
  <si>
    <t>실시요율</t>
    <phoneticPr fontId="2" type="noConversion"/>
  </si>
  <si>
    <t>기본및실시요율</t>
    <phoneticPr fontId="2" type="noConversion"/>
  </si>
  <si>
    <t>면적보정</t>
    <phoneticPr fontId="2" type="noConversion"/>
  </si>
  <si>
    <t>500,000㎡ 미만 : 과업대상면적1 그대로 적용 / 500,000㎡ 이상 : 1+α*(과업대상면적1 - 1)</t>
    <phoneticPr fontId="46" type="noConversion"/>
  </si>
  <si>
    <t>조사단계 : α=0.7-(0.01*과업대상면적1)  
계획단계 :  α=0.8-(0.01*과업대상면적1)</t>
    <phoneticPr fontId="2" type="noConversion"/>
  </si>
  <si>
    <t>α</t>
    <phoneticPr fontId="46" type="noConversion"/>
  </si>
  <si>
    <t>■ 면적보정계수</t>
    <phoneticPr fontId="2" type="noConversion"/>
  </si>
  <si>
    <t>적용수량</t>
    <phoneticPr fontId="2" type="noConversion"/>
  </si>
  <si>
    <t>면적</t>
    <phoneticPr fontId="2" type="noConversion"/>
  </si>
  <si>
    <t>보정계수(α)</t>
    <phoneticPr fontId="2" type="noConversion"/>
  </si>
  <si>
    <t>비고</t>
    <phoneticPr fontId="2" type="noConversion"/>
  </si>
  <si>
    <t>■ 총괄인원투입수(참고용)</t>
    <phoneticPr fontId="2" type="noConversion"/>
  </si>
  <si>
    <t>②과업대상 면적2</t>
    <phoneticPr fontId="2" type="noConversion"/>
  </si>
  <si>
    <t>단 위</t>
    <phoneticPr fontId="4" type="noConversion"/>
  </si>
  <si>
    <t>수  량</t>
    <phoneticPr fontId="4" type="noConversion"/>
  </si>
  <si>
    <t>단   가</t>
    <phoneticPr fontId="4" type="noConversion"/>
  </si>
  <si>
    <t>금     액</t>
    <phoneticPr fontId="4" type="noConversion"/>
  </si>
  <si>
    <t>500,000㎡ 미만 : 과업대상면적2 그대로 적용 / 500,000㎡ 이상 : 1+α*(과업대상면적2 - 1)</t>
    <phoneticPr fontId="46" type="noConversion"/>
  </si>
  <si>
    <t>직
접
비</t>
    <phoneticPr fontId="4" type="noConversion"/>
  </si>
  <si>
    <t xml:space="preserve"> 1. 직접 인건비</t>
    <phoneticPr fontId="4" type="noConversion"/>
  </si>
  <si>
    <t>설계단계 : α=0.8-(0.01*과업대상면적2)  
성과품작성단계 :  α=0.7-(0.01*과업대상면적2)</t>
    <phoneticPr fontId="2" type="noConversion"/>
  </si>
  <si>
    <t xml:space="preserve">  (1) 기술사</t>
    <phoneticPr fontId="46" type="noConversion"/>
  </si>
  <si>
    <t xml:space="preserve">  (2) 특급기술자</t>
    <phoneticPr fontId="46" type="noConversion"/>
  </si>
  <si>
    <t xml:space="preserve">  (4) 중급기술자</t>
    <phoneticPr fontId="46" type="noConversion"/>
  </si>
  <si>
    <t>1㎢ 미만 : 1 / 1㎢ 이상 : 1 + (과업대상면적1-1)*0.05</t>
    <phoneticPr fontId="46" type="noConversion"/>
  </si>
  <si>
    <t xml:space="preserve"> 2. 직 접 경 비 </t>
    <phoneticPr fontId="4" type="noConversion"/>
  </si>
  <si>
    <t>2014년도</t>
  </si>
  <si>
    <t xml:space="preserve"> 3. 제 경 비 (직적인건비*110%)</t>
    <phoneticPr fontId="4" type="noConversion"/>
  </si>
  <si>
    <t>④연약지반 면적</t>
    <phoneticPr fontId="2" type="noConversion"/>
  </si>
  <si>
    <t xml:space="preserve">10,000㎡ 미만 : 연약지반면적 그대로 적용 / 10,000㎡ 이상 : 1+α*(연약지반면적 - 1)  
설계단계 : α=0.4-(0.001*연약지반면적)
</t>
    <phoneticPr fontId="46" type="noConversion"/>
  </si>
  <si>
    <t>단위공사비(원)</t>
    <phoneticPr fontId="2" type="noConversion"/>
  </si>
  <si>
    <t>설계단계 : α=0.4-(0.001*연약지반면적)</t>
    <phoneticPr fontId="2" type="noConversion"/>
  </si>
  <si>
    <t>용역비 총계</t>
    <phoneticPr fontId="4" type="noConversion"/>
  </si>
  <si>
    <t>설계단계 : α=0.5</t>
    <phoneticPr fontId="2" type="noConversion"/>
  </si>
  <si>
    <t>= 5.0 × (공사비)^0.0229</t>
    <phoneticPr fontId="2" type="noConversion"/>
  </si>
  <si>
    <t>⑥ 구조물
   연장</t>
    <phoneticPr fontId="2" type="noConversion"/>
  </si>
  <si>
    <t>환산 구조물 연장 산식 : (a*A+b*B),  옹벽 : a=1.0, A=연장 / 우수암거 : b=0.25, B=연장</t>
    <phoneticPr fontId="46" type="noConversion"/>
  </si>
  <si>
    <t>■ 단지조성공사 기본공종 및 추가공종(공사비 요율방식 적용시)</t>
    <phoneticPr fontId="2" type="noConversion"/>
  </si>
  <si>
    <t>&lt;기본공종&gt;</t>
    <phoneticPr fontId="2" type="noConversion"/>
  </si>
  <si>
    <t>⑦ 하천연장</t>
    <phoneticPr fontId="2" type="noConversion"/>
  </si>
  <si>
    <t>단지조성공사 단위공사비에</t>
    <phoneticPr fontId="2" type="noConversion"/>
  </si>
  <si>
    <t>1km 미만 : 하천연장 그대로 적용 / 1km 이상 : 1+α*(하천연장 - 1)</t>
    <phoneticPr fontId="46" type="noConversion"/>
  </si>
  <si>
    <t>포함된 과업범위내 공종</t>
    <phoneticPr fontId="2" type="noConversion"/>
  </si>
  <si>
    <t>설계단계 : α=0.7-(0.003*하천연장)</t>
    <phoneticPr fontId="2" type="noConversion"/>
  </si>
  <si>
    <t xml:space="preserve">환산 구조물개소 산식 : a*A+b*B+c*C, </t>
    <phoneticPr fontId="2" type="noConversion"/>
  </si>
  <si>
    <t>교량 : a=1.0 / 지하차도, 생태통로, 통로암거 : b=1.1 / 터널 : c=1.2 / A, B, C,…. : 해당 구조물 개소</t>
    <phoneticPr fontId="2" type="noConversion"/>
  </si>
  <si>
    <r>
      <t>직접경비 산출근거</t>
    </r>
    <r>
      <rPr>
        <u/>
        <sz val="16"/>
        <rFont val="HY헤드라인M"/>
        <family val="1"/>
        <charset val="129"/>
      </rPr>
      <t>(예시)</t>
    </r>
    <phoneticPr fontId="2" type="noConversion"/>
  </si>
  <si>
    <t>* 경인쇄기준요금(LH 2014년도 예산편성지침)</t>
    <phoneticPr fontId="2" type="noConversion"/>
  </si>
  <si>
    <r>
      <t xml:space="preserve"> </t>
    </r>
    <r>
      <rPr>
        <b/>
        <sz val="12"/>
        <rFont val="맑은 고딕"/>
        <family val="3"/>
        <charset val="129"/>
      </rPr>
      <t>■</t>
    </r>
    <r>
      <rPr>
        <b/>
        <sz val="12"/>
        <rFont val="맑은 고딕"/>
        <family val="3"/>
        <charset val="129"/>
        <scheme val="minor"/>
      </rPr>
      <t xml:space="preserve"> 관련근거</t>
    </r>
    <phoneticPr fontId="2" type="noConversion"/>
  </si>
  <si>
    <t xml:space="preserve">    o 용역대가 산정기준(토목설계) </t>
    <phoneticPr fontId="2" type="noConversion"/>
  </si>
  <si>
    <t xml:space="preserve">    o LH 예산지침(인쇄비), 여비규정</t>
    <phoneticPr fontId="2" type="noConversion"/>
  </si>
  <si>
    <t xml:space="preserve"> ■ 인쇄비 및 여비</t>
    <phoneticPr fontId="2" type="noConversion"/>
  </si>
  <si>
    <t>1. 보고서 인쇄비</t>
    <phoneticPr fontId="2" type="noConversion"/>
  </si>
  <si>
    <t>(1) 제판용 인화지(원판)를 제공하거나 기존 인화지를 재활용할때</t>
    <phoneticPr fontId="2" type="noConversion"/>
  </si>
  <si>
    <t xml:space="preserve"> 1.1 항목별 산출근거</t>
    <phoneticPr fontId="2" type="noConversion"/>
  </si>
  <si>
    <t>(2) 변환이나 수정할 필요없이 바로 출력하여 제판할 수 있는 디스켓을 제공할때</t>
    <phoneticPr fontId="2" type="noConversion"/>
  </si>
  <si>
    <t xml:space="preserve">  - 경인쇄, 조판생략감액 : LH 예산지침(인쇄비)</t>
    <phoneticPr fontId="2" type="noConversion"/>
  </si>
  <si>
    <t>(3) 글자 크기, 행간 조정, 페이지 재구성 등 변환이나 수정을 요하는 디스켓 제공할때</t>
  </si>
  <si>
    <t xml:space="preserve"> 1.2 인쇄비내역</t>
    <phoneticPr fontId="2" type="noConversion"/>
  </si>
  <si>
    <t>(단위 : 원)</t>
    <phoneticPr fontId="2" type="noConversion"/>
  </si>
  <si>
    <t>구    분</t>
    <phoneticPr fontId="2" type="noConversion"/>
  </si>
  <si>
    <t>부수</t>
    <phoneticPr fontId="2" type="noConversion"/>
  </si>
  <si>
    <t>면수</t>
  </si>
  <si>
    <t>단가(인쇄면당)</t>
    <phoneticPr fontId="2" type="noConversion"/>
  </si>
  <si>
    <t>금액</t>
    <phoneticPr fontId="2" type="noConversion"/>
  </si>
  <si>
    <t>소  계</t>
    <phoneticPr fontId="2" type="noConversion"/>
  </si>
  <si>
    <t>&lt;표지가격&gt;</t>
  </si>
  <si>
    <t xml:space="preserve"> 2.1 항목별 산출근거</t>
  </si>
  <si>
    <t>1. 표지는 백상지 80g/m2이상을 사용하여야 하며 단색인쇄의 경우에는 다음 가격에 의한다.</t>
  </si>
  <si>
    <t xml:space="preserve">   - 일비, 식비, 교통비 : LH 여비규정</t>
    <phoneticPr fontId="2" type="noConversion"/>
  </si>
  <si>
    <t>가. 8절 책자 : 8절 백상지 10포인트 5매 가격</t>
  </si>
  <si>
    <t>(원, 편도)</t>
  </si>
  <si>
    <t>나. 10절 책자 : 8절 백상지 10포인트 5매 가격</t>
  </si>
  <si>
    <t xml:space="preserve"> 2.2 경비내역</t>
    <phoneticPr fontId="2" type="noConversion"/>
  </si>
  <si>
    <t>다. 16절 책자 : 8절 백상지 10포인트 3매 가격</t>
  </si>
  <si>
    <t>라. 25절 책자 : 10절 백상지 10포인트 3매 가격</t>
  </si>
  <si>
    <t>구    분</t>
  </si>
  <si>
    <t>일비</t>
  </si>
  <si>
    <t>식비</t>
  </si>
  <si>
    <t>교통비</t>
  </si>
  <si>
    <t>횟수</t>
  </si>
  <si>
    <t>마. 32절 책자 : 16절 백상지 10포인트 3매 가격</t>
  </si>
  <si>
    <t>2. 기본 1도 이외의 추가 색도에 대하여는 1색도당 2.5매를 기본 50부까 지의 가격에 가산한다.</t>
  </si>
  <si>
    <t xml:space="preserve">기   술   사(2급 기준) </t>
    <phoneticPr fontId="2" type="noConversion"/>
  </si>
  <si>
    <t>3. 아트지, 레자크지등을 사용할 때는 추가 1색도로 보며, 코팅을 할 때 에는 추가 2색도로 본다.</t>
  </si>
  <si>
    <t>특급기술자(2급 기준)</t>
    <phoneticPr fontId="2" type="noConversion"/>
  </si>
  <si>
    <t>4. 중간크기 책자의 표지가격은 큰 절수의 기준요금으로 계산한다.</t>
  </si>
  <si>
    <t>고급기술자(3급 기준)</t>
    <phoneticPr fontId="2" type="noConversion"/>
  </si>
  <si>
    <t>5. 양장, 반양장등 특수표지로 제본할 때에는 실비를 별도 계상한다.</t>
  </si>
  <si>
    <t>중급기술자(4급 기준)</t>
    <phoneticPr fontId="2" type="noConversion"/>
  </si>
  <si>
    <t>초급기술자(4급 기준)</t>
    <phoneticPr fontId="2" type="noConversion"/>
  </si>
  <si>
    <t xml:space="preserve">* 국내여비지급표(LH 여비규정) </t>
    <phoneticPr fontId="2" type="noConversion"/>
  </si>
  <si>
    <t>http://133.1.7.31:8081/IKLC_LAWINFO/info_law_searchview.asp?lawid=10543150&amp;jonum=&amp;byulidx=&amp;ljo=l</t>
    <phoneticPr fontId="2" type="noConversion"/>
  </si>
  <si>
    <t>교 통 비</t>
  </si>
  <si>
    <t>일비
(1일당)</t>
    <phoneticPr fontId="2" type="noConversion"/>
  </si>
  <si>
    <t>숙박비
(1야당)</t>
    <phoneticPr fontId="2" type="noConversion"/>
  </si>
  <si>
    <t>식비
(1일당)</t>
    <phoneticPr fontId="2" type="noConversion"/>
  </si>
  <si>
    <t>철도 운임</t>
    <phoneticPr fontId="2" type="noConversion"/>
  </si>
  <si>
    <t>선박 운임</t>
    <phoneticPr fontId="2" type="noConversion"/>
  </si>
  <si>
    <t>항공 운임</t>
    <phoneticPr fontId="2" type="noConversion"/>
  </si>
  <si>
    <t>자동차 운임</t>
    <phoneticPr fontId="2" type="noConversion"/>
  </si>
  <si>
    <t>2급</t>
  </si>
  <si>
    <t>KTX 일반실</t>
    <phoneticPr fontId="2" type="noConversion"/>
  </si>
  <si>
    <t>특등</t>
  </si>
  <si>
    <t>일반석</t>
  </si>
  <si>
    <t>실비</t>
  </si>
  <si>
    <t>3급 이하</t>
    <phoneticPr fontId="2" type="noConversion"/>
  </si>
  <si>
    <t>2등정액</t>
  </si>
  <si>
    <t>실비</t>
    <phoneticPr fontId="2" type="noConversion"/>
  </si>
  <si>
    <r>
      <t>손해배상공제</t>
    </r>
    <r>
      <rPr>
        <sz val="16"/>
        <rFont val="HY헤드라인M"/>
        <family val="1"/>
        <charset val="129"/>
      </rPr>
      <t>(보험)</t>
    </r>
    <r>
      <rPr>
        <sz val="20"/>
        <rFont val="HY헤드라인M"/>
        <family val="1"/>
        <charset val="129"/>
      </rPr>
      <t>료 산출근거</t>
    </r>
    <r>
      <rPr>
        <sz val="16"/>
        <rFont val="HY헤드라인M"/>
        <family val="1"/>
        <charset val="129"/>
      </rPr>
      <t>(예시)</t>
    </r>
    <phoneticPr fontId="2" type="noConversion"/>
  </si>
  <si>
    <t>&lt;가입기간3년&gt;</t>
    <phoneticPr fontId="2" type="noConversion"/>
  </si>
  <si>
    <t xml:space="preserve"> ■ 관련근거</t>
    <phoneticPr fontId="2" type="noConversion"/>
  </si>
  <si>
    <t xml:space="preserve">  o 용역대가 산정기준(토목설계) </t>
    <phoneticPr fontId="2" type="noConversion"/>
  </si>
  <si>
    <t xml:space="preserve">  o 국토교통부 고시 설계 감리 등 용역손해배상보험 또는 공제업무 요령</t>
    <phoneticPr fontId="2" type="noConversion"/>
  </si>
  <si>
    <t xml:space="preserve">  o 손해배상공제(보험)료 =</t>
    <phoneticPr fontId="2" type="noConversion"/>
  </si>
  <si>
    <t>순용역금액(실시설계분) x 적용요율</t>
    <phoneticPr fontId="2" type="noConversion"/>
  </si>
  <si>
    <t xml:space="preserve">      - 순용역금액(실시설계분) = 손해배상공제료, 부가가치세 제외한 금액</t>
    <phoneticPr fontId="2" type="noConversion"/>
  </si>
  <si>
    <t>=</t>
  </si>
  <si>
    <t xml:space="preserve">     - 적용요율  = 기본요율(표준공사기간 3년) + 적용가산요율</t>
  </si>
  <si>
    <t xml:space="preserve">      - 적용가산요율 = 가산요율 x 표준공사기간초과일수 / 365</t>
  </si>
  <si>
    <t>용역금액</t>
  </si>
  <si>
    <t>요율(%)</t>
  </si>
  <si>
    <t>기본요율</t>
  </si>
  <si>
    <t>가산요율</t>
  </si>
  <si>
    <t>억원이하</t>
  </si>
  <si>
    <t>억원초과</t>
  </si>
  <si>
    <t xml:space="preserve">  o 손해배상공제(보험)료</t>
    <phoneticPr fontId="2" type="noConversion"/>
  </si>
  <si>
    <t>용역금액</t>
    <phoneticPr fontId="2" type="noConversion"/>
  </si>
  <si>
    <t>기본요율(%)</t>
  </si>
  <si>
    <t>가산요율(%)</t>
  </si>
  <si>
    <t>표준공사기간
초과일</t>
    <phoneticPr fontId="2" type="noConversion"/>
  </si>
  <si>
    <t>손해배상보험료</t>
    <phoneticPr fontId="2" type="noConversion"/>
  </si>
  <si>
    <t>구간별
공제료</t>
  </si>
  <si>
    <t>합계</t>
  </si>
  <si>
    <t>※ 용역금액 50억 초과시 구득요율로 함</t>
    <phoneticPr fontId="2" type="noConversion"/>
  </si>
  <si>
    <t xml:space="preserve">   손해배상공제료 산출 근거는 엔지니어링 공제조합에서 산정한 공제료 결과를 첨부하여 산정할 수 있음 
</t>
    <phoneticPr fontId="2" type="noConversion"/>
  </si>
  <si>
    <t xml:space="preserve">* 관련 사이트 : 엔지니어링 공제조합(http://www.efc.co.kr/) </t>
    <phoneticPr fontId="2" type="noConversion"/>
  </si>
  <si>
    <t xml:space="preserve">   - 교통비 : 서울 → 대전</t>
    <phoneticPr fontId="2" type="noConversion"/>
  </si>
  <si>
    <t>*산업단지조성공사 : 공용청사건설공사 공제요율 적용</t>
  </si>
  <si>
    <t xml:space="preserve"> o 엔지니어링 공제조합 요율 적용(공용청사건설공사 실시설계 공제요율 적용)</t>
    <phoneticPr fontId="2" type="noConversion"/>
  </si>
  <si>
    <t>Ⅰ. 기본 및 실시설계비</t>
    <phoneticPr fontId="2" type="noConversion"/>
  </si>
  <si>
    <t>Ⅱ. 손해배상공제료</t>
    <phoneticPr fontId="2" type="noConversion"/>
  </si>
  <si>
    <t>Ⅲ. 부가가치세 (10%)</t>
    <phoneticPr fontId="2" type="noConversion"/>
  </si>
  <si>
    <r>
      <t>소계(</t>
    </r>
    <r>
      <rPr>
        <b/>
        <sz val="10"/>
        <color theme="1"/>
        <rFont val="맑은 고딕"/>
        <family val="3"/>
        <charset val="129"/>
      </rPr>
      <t>Ⅰ+Ⅱ)</t>
    </r>
    <phoneticPr fontId="2" type="noConversion"/>
  </si>
  <si>
    <t>가.기본설계보고서</t>
    <phoneticPr fontId="2" type="noConversion"/>
  </si>
  <si>
    <t>합  계</t>
    <phoneticPr fontId="2" type="noConversion"/>
  </si>
  <si>
    <t>나.기본설계 기타보고서[구조 및 수리, 예산, 수량 및 단가, 공사비분석, 기술검토서 등]</t>
    <phoneticPr fontId="2" type="noConversion"/>
  </si>
  <si>
    <t>다.실시설계보고서</t>
    <phoneticPr fontId="2" type="noConversion"/>
  </si>
  <si>
    <t xml:space="preserve">     1) 종합보고서</t>
  </si>
  <si>
    <t xml:space="preserve">       본문 [경인쇄, 10절, 백상지, 50부, 200P]</t>
  </si>
  <si>
    <t xml:space="preserve">       표지 [경인쇄, 10절, 백상지, 50부, 5P]</t>
  </si>
  <si>
    <t xml:space="preserve">       칼라 [10절, 50부, 10P]</t>
  </si>
  <si>
    <t xml:space="preserve">    2) 요약보고서</t>
  </si>
  <si>
    <t xml:space="preserve">       본문 [경인쇄, 10절, 백상지, 50부, 50P]</t>
  </si>
  <si>
    <t xml:space="preserve">  라. 실시설계 기타보고서(구조 및 수리, 예산, 단가,일위대가, 수량 등)</t>
  </si>
  <si>
    <t xml:space="preserve">       본문 [경인쇄, 10절, 백상지, 100부, 200P]</t>
  </si>
  <si>
    <t xml:space="preserve">  본문(경인쇄, 10절, 백상지, 50부, 200P)</t>
    <phoneticPr fontId="2" type="noConversion"/>
  </si>
  <si>
    <t xml:space="preserve">  본문(경인쇄, 10절, 백상지, 50부, 200P)</t>
    <phoneticPr fontId="2" type="noConversion"/>
  </si>
  <si>
    <t xml:space="preserve">  표지(경인쇄, 10절, 백상지, 50부, 5P)</t>
    <phoneticPr fontId="2" type="noConversion"/>
  </si>
  <si>
    <t xml:space="preserve">  칼라(10절, 50부, 10P)</t>
    <phoneticPr fontId="2" type="noConversion"/>
  </si>
  <si>
    <t>제22호표 교육환경평가서 작성</t>
    <phoneticPr fontId="2" type="noConversion"/>
  </si>
  <si>
    <t>머. 교육환경평가서 작성</t>
    <phoneticPr fontId="2" type="noConversion"/>
  </si>
  <si>
    <t>제22호표</t>
    <phoneticPr fontId="2" type="noConversion"/>
  </si>
  <si>
    <t>(대전00 도시첨단산업단지 조사설계용역)</t>
    <phoneticPr fontId="4" type="noConversion"/>
  </si>
  <si>
    <t xml:space="preserve"> 대전00 도시첨단산업단지 조사설계용역</t>
    <phoneticPr fontId="4" type="noConversion"/>
  </si>
  <si>
    <t>대전광역시 유성구 00동 일원</t>
    <phoneticPr fontId="4" type="noConversion"/>
  </si>
  <si>
    <t xml:space="preserve">   - 교통비 : 서울 → 대전(KTX 일반석)     23,700 (원,편도)</t>
    <phoneticPr fontId="2" type="noConversion"/>
  </si>
  <si>
    <t>○ 대전00 도시첨단산업단지 산지전용예정지 현황</t>
    <phoneticPr fontId="4" type="noConversion"/>
  </si>
  <si>
    <t>대전시 유성구 00동 일원</t>
    <phoneticPr fontId="4" type="noConversion"/>
  </si>
  <si>
    <t xml:space="preserve"> - 교통비 : 서울→대전(KTX 일반석) </t>
    <phoneticPr fontId="4" type="noConversion"/>
  </si>
  <si>
    <t>대전시 유성구 00동 일원</t>
    <phoneticPr fontId="2" type="noConversion"/>
  </si>
  <si>
    <t>06월</t>
    <phoneticPr fontId="2" type="noConversion"/>
  </si>
  <si>
    <t>대전충남지역본부</t>
    <phoneticPr fontId="2" type="noConversion"/>
  </si>
  <si>
    <t>종별</t>
    <phoneticPr fontId="4" type="noConversion"/>
  </si>
  <si>
    <t>규격</t>
    <phoneticPr fontId="4" type="noConversion"/>
  </si>
  <si>
    <t>수량</t>
    <phoneticPr fontId="4" type="noConversion"/>
  </si>
  <si>
    <t>단위</t>
    <phoneticPr fontId="4" type="noConversion"/>
  </si>
  <si>
    <t>계</t>
    <phoneticPr fontId="4" type="noConversion"/>
  </si>
  <si>
    <t>노무비</t>
    <phoneticPr fontId="4" type="noConversion"/>
  </si>
  <si>
    <t>재료비</t>
    <phoneticPr fontId="4" type="noConversion"/>
  </si>
  <si>
    <t>경비</t>
    <phoneticPr fontId="4" type="noConversion"/>
  </si>
  <si>
    <t>비고</t>
    <phoneticPr fontId="4" type="noConversion"/>
  </si>
  <si>
    <t>1. 인 건 비</t>
    <phoneticPr fontId="4" type="noConversion"/>
  </si>
  <si>
    <t>가. 기초자료분석</t>
    <phoneticPr fontId="4" type="noConversion"/>
  </si>
  <si>
    <t>식</t>
    <phoneticPr fontId="4" type="noConversion"/>
  </si>
  <si>
    <t>제1호표</t>
    <phoneticPr fontId="4" type="noConversion"/>
  </si>
  <si>
    <t>나. 공공성분석</t>
    <phoneticPr fontId="4" type="noConversion"/>
  </si>
  <si>
    <t>제2호표</t>
    <phoneticPr fontId="4" type="noConversion"/>
  </si>
  <si>
    <t>다. 수익성분석</t>
    <phoneticPr fontId="4" type="noConversion"/>
  </si>
  <si>
    <t>라. 종합평가</t>
    <phoneticPr fontId="4" type="noConversion"/>
  </si>
  <si>
    <t>2. 경 비</t>
    <phoneticPr fontId="4" type="noConversion"/>
  </si>
  <si>
    <r>
      <t>가.</t>
    </r>
    <r>
      <rPr>
        <sz val="11"/>
        <color theme="1"/>
        <rFont val="맑은 고딕"/>
        <family val="2"/>
        <charset val="129"/>
        <scheme val="minor"/>
      </rPr>
      <t xml:space="preserve"> 국내여비</t>
    </r>
    <phoneticPr fontId="4" type="noConversion"/>
  </si>
  <si>
    <t>제5호표</t>
    <phoneticPr fontId="4" type="noConversion"/>
  </si>
  <si>
    <t>다. 인쇄비</t>
    <phoneticPr fontId="4" type="noConversion"/>
  </si>
  <si>
    <t>제6호표</t>
    <phoneticPr fontId="4" type="noConversion"/>
  </si>
  <si>
    <r>
      <t>라.</t>
    </r>
    <r>
      <rPr>
        <sz val="11"/>
        <color theme="1"/>
        <rFont val="맑은 고딕"/>
        <family val="2"/>
        <charset val="129"/>
        <scheme val="minor"/>
      </rPr>
      <t xml:space="preserve"> 교통통신비 및 연구재료비</t>
    </r>
    <phoneticPr fontId="4" type="noConversion"/>
  </si>
  <si>
    <r>
      <t>마.</t>
    </r>
    <r>
      <rPr>
        <sz val="11"/>
        <color theme="1"/>
        <rFont val="맑은 고딕"/>
        <family val="2"/>
        <charset val="129"/>
        <scheme val="minor"/>
      </rPr>
      <t xml:space="preserve"> 자문회의비</t>
    </r>
    <phoneticPr fontId="4" type="noConversion"/>
  </si>
  <si>
    <r>
      <t>3</t>
    </r>
    <r>
      <rPr>
        <sz val="11"/>
        <color theme="1"/>
        <rFont val="맑은 고딕"/>
        <family val="2"/>
        <charset val="129"/>
        <scheme val="minor"/>
      </rPr>
      <t>. 일반관리비</t>
    </r>
    <r>
      <rPr>
        <sz val="11"/>
        <color theme="1"/>
        <rFont val="맑은 고딕"/>
        <family val="2"/>
        <charset val="129"/>
        <scheme val="minor"/>
      </rPr>
      <t xml:space="preserve"> </t>
    </r>
    <phoneticPr fontId="4" type="noConversion"/>
  </si>
  <si>
    <r>
      <t>(인건비+경비)×5</t>
    </r>
    <r>
      <rPr>
        <sz val="11"/>
        <color theme="1"/>
        <rFont val="맑은 고딕"/>
        <family val="2"/>
        <charset val="129"/>
        <scheme val="minor"/>
      </rPr>
      <t>%</t>
    </r>
    <phoneticPr fontId="4" type="noConversion"/>
  </si>
  <si>
    <r>
      <t>소   계</t>
    </r>
    <r>
      <rPr>
        <sz val="11"/>
        <color theme="1"/>
        <rFont val="맑은 고딕"/>
        <family val="2"/>
        <charset val="129"/>
        <scheme val="minor"/>
      </rPr>
      <t>(1)</t>
    </r>
    <phoneticPr fontId="4" type="noConversion"/>
  </si>
  <si>
    <t>1+2+3</t>
    <phoneticPr fontId="4" type="noConversion"/>
  </si>
  <si>
    <r>
      <t>4.</t>
    </r>
    <r>
      <rPr>
        <sz val="11"/>
        <color theme="1"/>
        <rFont val="맑은 고딕"/>
        <family val="2"/>
        <charset val="129"/>
        <scheme val="minor"/>
      </rPr>
      <t xml:space="preserve"> 이윤</t>
    </r>
    <phoneticPr fontId="4" type="noConversion"/>
  </si>
  <si>
    <r>
      <t>(인건비+경비+일반관리비)×10</t>
    </r>
    <r>
      <rPr>
        <sz val="11"/>
        <color theme="1"/>
        <rFont val="맑은 고딕"/>
        <family val="2"/>
        <charset val="129"/>
        <scheme val="minor"/>
      </rPr>
      <t>%</t>
    </r>
    <phoneticPr fontId="4" type="noConversion"/>
  </si>
  <si>
    <t>소   계(2)</t>
    <phoneticPr fontId="4" type="noConversion"/>
  </si>
  <si>
    <t>10,000단위 이하 절사</t>
    <phoneticPr fontId="4" type="noConversion"/>
  </si>
  <si>
    <t>5. 부가가치세</t>
    <phoneticPr fontId="4" type="noConversion"/>
  </si>
  <si>
    <t>소계(2)×10%</t>
    <phoneticPr fontId="4" type="noConversion"/>
  </si>
  <si>
    <t>총    계</t>
    <phoneticPr fontId="4" type="noConversion"/>
  </si>
  <si>
    <t>노 무 비</t>
  </si>
  <si>
    <t>금  액(원)</t>
  </si>
  <si>
    <t>제1호표 기초자료 분석</t>
    <phoneticPr fontId="4" type="noConversion"/>
  </si>
  <si>
    <t xml:space="preserve"> 책임연구원</t>
  </si>
  <si>
    <r>
      <t xml:space="preserve"> 연</t>
    </r>
    <r>
      <rPr>
        <sz val="11"/>
        <color theme="1"/>
        <rFont val="맑은 고딕"/>
        <family val="2"/>
        <charset val="129"/>
        <scheme val="minor"/>
      </rPr>
      <t xml:space="preserve"> 구 원</t>
    </r>
  </si>
  <si>
    <t xml:space="preserve"> 연구보조원</t>
  </si>
  <si>
    <r>
      <t xml:space="preserve"> 보</t>
    </r>
    <r>
      <rPr>
        <sz val="11"/>
        <color theme="1"/>
        <rFont val="맑은 고딕"/>
        <family val="2"/>
        <charset val="129"/>
        <scheme val="minor"/>
      </rPr>
      <t xml:space="preserve"> 조 원</t>
    </r>
  </si>
  <si>
    <r>
      <t xml:space="preserve"> 소</t>
    </r>
    <r>
      <rPr>
        <sz val="11"/>
        <color theme="1"/>
        <rFont val="맑은 고딕"/>
        <family val="2"/>
        <charset val="129"/>
        <scheme val="minor"/>
      </rPr>
      <t xml:space="preserve">     계</t>
    </r>
  </si>
  <si>
    <t>제2호표 공공성 분석</t>
    <phoneticPr fontId="4" type="noConversion"/>
  </si>
  <si>
    <t>제3호표 수익성 분석</t>
    <phoneticPr fontId="4" type="noConversion"/>
  </si>
  <si>
    <t>제4호표 종합평가</t>
    <phoneticPr fontId="4" type="noConversion"/>
  </si>
  <si>
    <t>제5호표 국내여비</t>
    <phoneticPr fontId="4" type="noConversion"/>
  </si>
  <si>
    <r>
      <t xml:space="preserve">  </t>
    </r>
    <r>
      <rPr>
        <sz val="11"/>
        <color theme="1"/>
        <rFont val="맑은 고딕"/>
        <family val="2"/>
        <charset val="129"/>
        <scheme val="minor"/>
      </rPr>
      <t xml:space="preserve">- </t>
    </r>
    <r>
      <rPr>
        <sz val="11"/>
        <color theme="1"/>
        <rFont val="맑은 고딕"/>
        <family val="2"/>
        <charset val="129"/>
        <scheme val="minor"/>
      </rPr>
      <t>책임연구원</t>
    </r>
  </si>
  <si>
    <t>인·회</t>
  </si>
  <si>
    <t xml:space="preserve">  - 연 구 원</t>
  </si>
  <si>
    <t xml:space="preserve">  - 연구보조원</t>
  </si>
  <si>
    <t xml:space="preserve"> 소     계</t>
  </si>
  <si>
    <t>제6호표 인쇄비</t>
    <phoneticPr fontId="4" type="noConversion"/>
  </si>
  <si>
    <t>최종보고서</t>
    <phoneticPr fontId="4" type="noConversion"/>
  </si>
  <si>
    <t>부</t>
  </si>
  <si>
    <t>착수,중간보고서 및 기타</t>
    <phoneticPr fontId="4" type="noConversion"/>
  </si>
  <si>
    <t>제7호표 교통통신비 및 연구재료비</t>
    <phoneticPr fontId="4" type="noConversion"/>
  </si>
  <si>
    <t>시내교통비</t>
    <phoneticPr fontId="4" type="noConversion"/>
  </si>
  <si>
    <t>통신, 우편요금</t>
    <phoneticPr fontId="4" type="noConversion"/>
  </si>
  <si>
    <t>월·회</t>
    <phoneticPr fontId="4" type="noConversion"/>
  </si>
  <si>
    <t>연구재료비</t>
    <phoneticPr fontId="4" type="noConversion"/>
  </si>
  <si>
    <t>제8호표 자문회의비</t>
    <phoneticPr fontId="4" type="noConversion"/>
  </si>
  <si>
    <t>자문회의수당</t>
    <phoneticPr fontId="4" type="noConversion"/>
  </si>
  <si>
    <t>회의운영비</t>
    <phoneticPr fontId="4" type="noConversion"/>
  </si>
  <si>
    <t>소요작업량 = 기준면적소요작업량×면적보정계수(α)×난이도보정계수(β)</t>
    <phoneticPr fontId="46" type="noConversion"/>
  </si>
  <si>
    <t>1.</t>
    <phoneticPr fontId="46" type="noConversion"/>
  </si>
  <si>
    <t>사업지구 면적</t>
    <phoneticPr fontId="46" type="noConversion"/>
  </si>
  <si>
    <t>만㎡</t>
    <phoneticPr fontId="46" type="noConversion"/>
  </si>
  <si>
    <t>2.</t>
    <phoneticPr fontId="46" type="noConversion"/>
  </si>
  <si>
    <t xml:space="preserve">기준면적 소요작업량(면적 50만㎡ 기준)
</t>
    <phoneticPr fontId="46" type="noConversion"/>
  </si>
  <si>
    <t>업 무 내 용</t>
  </si>
  <si>
    <t>연 구 원 (인)</t>
    <phoneticPr fontId="46" type="noConversion"/>
  </si>
  <si>
    <t>책임연구원</t>
    <phoneticPr fontId="46" type="noConversion"/>
  </si>
  <si>
    <t>연구원</t>
    <phoneticPr fontId="46" type="noConversion"/>
  </si>
  <si>
    <t>연구보조원</t>
    <phoneticPr fontId="46" type="noConversion"/>
  </si>
  <si>
    <t>보조원</t>
    <phoneticPr fontId="46" type="noConversion"/>
  </si>
  <si>
    <t>1. 기초자료분석</t>
    <phoneticPr fontId="46" type="noConversion"/>
  </si>
  <si>
    <t>2. 공공성분석</t>
    <phoneticPr fontId="46" type="noConversion"/>
  </si>
  <si>
    <t>3. 수익성분석</t>
    <phoneticPr fontId="46" type="noConversion"/>
  </si>
  <si>
    <t>4. 종합평가</t>
    <phoneticPr fontId="46" type="noConversion"/>
  </si>
  <si>
    <t>3.</t>
    <phoneticPr fontId="46" type="noConversion"/>
  </si>
  <si>
    <t>면적 보정계수(α)</t>
    <phoneticPr fontId="46" type="noConversion"/>
  </si>
  <si>
    <t xml:space="preserve"> = (계획면적 / 기준면적)^0.3 =</t>
    <phoneticPr fontId="46" type="noConversion"/>
  </si>
  <si>
    <t>난이도 보정계수(β)</t>
    <phoneticPr fontId="46" type="noConversion"/>
  </si>
  <si>
    <t xml:space="preserve"> = </t>
    <phoneticPr fontId="46" type="noConversion"/>
  </si>
  <si>
    <t>(필요시 적용)</t>
    <phoneticPr fontId="4" type="noConversion"/>
  </si>
  <si>
    <t>구 분</t>
  </si>
  <si>
    <t>난이도의 정도</t>
  </si>
  <si>
    <t>난이도 보정계수(γ)</t>
  </si>
  <si>
    <t>타당성 분석</t>
  </si>
  <si>
    <t>리스크분석, 비용-수입분석, 손익분석, 투자수익분석, 추정현금흐름표작성 등 경제적 타당성 검토에 있어 난이도가 높을 경우</t>
  </si>
  <si>
    <t>1.2 - 1.5</t>
  </si>
  <si>
    <t>용역비 산정</t>
    <phoneticPr fontId="46" type="noConversion"/>
  </si>
  <si>
    <t>연구원 계</t>
    <phoneticPr fontId="46" type="noConversion"/>
  </si>
  <si>
    <t>금액 합계</t>
    <phoneticPr fontId="46" type="noConversion"/>
  </si>
  <si>
    <t>1호표</t>
    <phoneticPr fontId="4" type="noConversion"/>
  </si>
  <si>
    <t>2호표</t>
    <phoneticPr fontId="4" type="noConversion"/>
  </si>
  <si>
    <t>3호표</t>
    <phoneticPr fontId="4" type="noConversion"/>
  </si>
  <si>
    <t>4호표</t>
    <phoneticPr fontId="4" type="noConversion"/>
  </si>
  <si>
    <t>소수점 셋째자리에서 절사</t>
    <phoneticPr fontId="4" type="noConversion"/>
  </si>
  <si>
    <t>연구원 노임단가</t>
    <phoneticPr fontId="46" type="noConversion"/>
  </si>
  <si>
    <t>상여금(400%)</t>
    <phoneticPr fontId="46" type="noConversion"/>
  </si>
  <si>
    <t>4개월</t>
    <phoneticPr fontId="4" type="noConversion"/>
  </si>
  <si>
    <t>5. 인건비 총액</t>
    <phoneticPr fontId="46" type="noConversion"/>
  </si>
  <si>
    <t>6. 경비</t>
    <phoneticPr fontId="46" type="noConversion"/>
  </si>
  <si>
    <t>7. 일반관리비</t>
    <phoneticPr fontId="46" type="noConversion"/>
  </si>
  <si>
    <t>(노무비 + 경비)의 5% 이내</t>
    <phoneticPr fontId="46" type="noConversion"/>
  </si>
  <si>
    <t>5% 적용</t>
    <phoneticPr fontId="46" type="noConversion"/>
  </si>
  <si>
    <t>8. 이윤</t>
    <phoneticPr fontId="46" type="noConversion"/>
  </si>
  <si>
    <t>(노무비 + 경비 + 일반관리비)의 10% 이내</t>
    <phoneticPr fontId="46" type="noConversion"/>
  </si>
  <si>
    <t>10% 적용</t>
    <phoneticPr fontId="46" type="noConversion"/>
  </si>
  <si>
    <t xml:space="preserve"> 소계</t>
    <phoneticPr fontId="46" type="noConversion"/>
  </si>
  <si>
    <t>만원이하절사</t>
    <phoneticPr fontId="46" type="noConversion"/>
  </si>
  <si>
    <t>9. 부가세</t>
    <phoneticPr fontId="46" type="noConversion"/>
  </si>
  <si>
    <t>(직접경비+일반관리비+이윤) * 10%</t>
    <phoneticPr fontId="46" type="noConversion"/>
  </si>
  <si>
    <t>용역비 합계</t>
    <phoneticPr fontId="46" type="noConversion"/>
  </si>
  <si>
    <t xml:space="preserve">□ 산출근거 1 : 국내여비 </t>
    <phoneticPr fontId="4" type="noConversion"/>
  </si>
  <si>
    <t>구       분</t>
    <phoneticPr fontId="4" type="noConversion"/>
  </si>
  <si>
    <t>산출내역</t>
    <phoneticPr fontId="4" type="noConversion"/>
  </si>
  <si>
    <t>합    계</t>
    <phoneticPr fontId="4" type="noConversion"/>
  </si>
  <si>
    <t>* 공무원여비규정(2013.01.09개정, 제24298호) 기준 적용, 교통비는 여건에 따라 가감</t>
    <phoneticPr fontId="4" type="noConversion"/>
  </si>
  <si>
    <t>□ 산출근거 2 : 인쇄비</t>
    <phoneticPr fontId="4" type="noConversion"/>
  </si>
  <si>
    <t>내     역</t>
    <phoneticPr fontId="4" type="noConversion"/>
  </si>
  <si>
    <r>
      <t xml:space="preserve"> 1.</t>
    </r>
    <r>
      <rPr>
        <sz val="11"/>
        <color theme="1"/>
        <rFont val="맑은 고딕"/>
        <family val="2"/>
        <charset val="129"/>
        <scheme val="minor"/>
      </rPr>
      <t xml:space="preserve"> </t>
    </r>
    <r>
      <rPr>
        <sz val="11"/>
        <color theme="1"/>
        <rFont val="맑은 고딕"/>
        <family val="2"/>
        <charset val="129"/>
        <scheme val="minor"/>
      </rPr>
      <t>최종보고서</t>
    </r>
    <phoneticPr fontId="4" type="noConversion"/>
  </si>
  <si>
    <r>
      <t xml:space="preserve">  [경인쇄, 16절, 백상지, </t>
    </r>
    <r>
      <rPr>
        <sz val="11"/>
        <color theme="1"/>
        <rFont val="맑은 고딕"/>
        <family val="2"/>
        <charset val="129"/>
        <scheme val="minor"/>
      </rPr>
      <t>200P]</t>
    </r>
    <r>
      <rPr>
        <sz val="11"/>
        <color theme="1"/>
        <rFont val="맑은 고딕"/>
        <family val="2"/>
        <charset val="129"/>
        <scheme val="minor"/>
      </rPr>
      <t xml:space="preserve"> 30부</t>
    </r>
    <phoneticPr fontId="4" type="noConversion"/>
  </si>
  <si>
    <r>
      <t xml:space="preserve"> 2. 착수, 중간</t>
    </r>
    <r>
      <rPr>
        <sz val="11"/>
        <color theme="1"/>
        <rFont val="맑은 고딕"/>
        <family val="2"/>
        <charset val="129"/>
        <scheme val="minor"/>
      </rPr>
      <t>보고서</t>
    </r>
    <r>
      <rPr>
        <sz val="11"/>
        <color theme="1"/>
        <rFont val="맑은 고딕"/>
        <family val="2"/>
        <charset val="129"/>
        <scheme val="minor"/>
      </rPr>
      <t xml:space="preserve"> 및 기타</t>
    </r>
    <phoneticPr fontId="4" type="noConversion"/>
  </si>
  <si>
    <r>
      <t xml:space="preserve">  [경인쇄, 16절, 중질지, 1</t>
    </r>
    <r>
      <rPr>
        <sz val="11"/>
        <color theme="1"/>
        <rFont val="맑은 고딕"/>
        <family val="2"/>
        <charset val="129"/>
        <scheme val="minor"/>
      </rPr>
      <t>00P]</t>
    </r>
    <r>
      <rPr>
        <sz val="11"/>
        <color theme="1"/>
        <rFont val="맑은 고딕"/>
        <family val="2"/>
        <charset val="129"/>
        <scheme val="minor"/>
      </rPr>
      <t xml:space="preserve"> 50부</t>
    </r>
    <phoneticPr fontId="4" type="noConversion"/>
  </si>
  <si>
    <t>* LH 2013년 예산편성지침(도서인쇄비)</t>
    <phoneticPr fontId="4" type="noConversion"/>
  </si>
  <si>
    <t>□ 산출근거 3 : 교통통신비 및 연구재료비</t>
    <phoneticPr fontId="4" type="noConversion"/>
  </si>
  <si>
    <t>회</t>
    <phoneticPr fontId="4" type="noConversion"/>
  </si>
  <si>
    <t>월</t>
    <phoneticPr fontId="4" type="noConversion"/>
  </si>
  <si>
    <t xml:space="preserve">시내교통비 </t>
    <phoneticPr fontId="4" type="noConversion"/>
  </si>
  <si>
    <t>통신, 우편요금</t>
    <phoneticPr fontId="4" type="noConversion"/>
  </si>
  <si>
    <r>
      <t xml:space="preserve">* LH </t>
    </r>
    <r>
      <rPr>
        <sz val="11"/>
        <color theme="1"/>
        <rFont val="맑은 고딕"/>
        <family val="2"/>
        <charset val="129"/>
        <scheme val="minor"/>
      </rPr>
      <t>2</t>
    </r>
    <r>
      <rPr>
        <sz val="11"/>
        <color theme="1"/>
        <rFont val="맑은 고딕"/>
        <family val="2"/>
        <charset val="129"/>
        <scheme val="minor"/>
      </rPr>
      <t>013년 예산편성지침(</t>
    </r>
    <r>
      <rPr>
        <sz val="11"/>
        <color theme="1"/>
        <rFont val="맑은 고딕"/>
        <family val="2"/>
        <charset val="129"/>
        <scheme val="minor"/>
      </rPr>
      <t>시내교통비</t>
    </r>
    <r>
      <rPr>
        <sz val="11"/>
        <color theme="1"/>
        <rFont val="맑은 고딕"/>
        <family val="2"/>
        <charset val="129"/>
        <scheme val="minor"/>
      </rPr>
      <t>, 우편요금-등기및소포기준, 연구재료비-소모품비)</t>
    </r>
    <phoneticPr fontId="4" type="noConversion"/>
  </si>
  <si>
    <t>□ 산출근거 4 : 자문회의비</t>
    <phoneticPr fontId="4" type="noConversion"/>
  </si>
  <si>
    <t>회수</t>
    <phoneticPr fontId="4" type="noConversion"/>
  </si>
  <si>
    <t>회의 운영비</t>
    <phoneticPr fontId="4" type="noConversion"/>
  </si>
  <si>
    <t>인력투입근거 (월별투입량 산출)</t>
    <phoneticPr fontId="4" type="noConversion"/>
  </si>
  <si>
    <t>과업내용</t>
    <phoneticPr fontId="4" type="noConversion"/>
  </si>
  <si>
    <t>투입인원(인/월)</t>
    <phoneticPr fontId="4" type="noConversion"/>
  </si>
  <si>
    <t>1월</t>
    <phoneticPr fontId="4" type="noConversion"/>
  </si>
  <si>
    <t>2월</t>
    <phoneticPr fontId="4" type="noConversion"/>
  </si>
  <si>
    <t>3월</t>
  </si>
  <si>
    <t>4월</t>
  </si>
  <si>
    <t>총     계</t>
    <phoneticPr fontId="4" type="noConversion"/>
  </si>
  <si>
    <t>책임연구원</t>
    <phoneticPr fontId="4" type="noConversion"/>
  </si>
  <si>
    <t>연구원</t>
    <phoneticPr fontId="4" type="noConversion"/>
  </si>
  <si>
    <t>연구보조원</t>
    <phoneticPr fontId="4" type="noConversion"/>
  </si>
  <si>
    <t>보조원</t>
    <phoneticPr fontId="4" type="noConversion"/>
  </si>
  <si>
    <t>가. 기초자료 분석</t>
    <phoneticPr fontId="4" type="noConversion"/>
  </si>
  <si>
    <t>월별로 배분하여 산정한다.</t>
    <phoneticPr fontId="4" type="noConversion"/>
  </si>
  <si>
    <r>
      <t xml:space="preserve"> 책임연구원 (제1호 등급, 0박1일기준-일비20,000+식비25,000</t>
    </r>
    <r>
      <rPr>
        <sz val="11"/>
        <color theme="1"/>
        <rFont val="맑은 고딕"/>
        <family val="2"/>
        <charset val="129"/>
        <scheme val="minor"/>
      </rPr>
      <t>+서울-대전 KTX 왕복기준 47,400)</t>
    </r>
    <phoneticPr fontId="4" type="noConversion"/>
  </si>
  <si>
    <r>
      <t xml:space="preserve"> 연구원 (제2호 등급, 0박1일기준-일비20,000+식비20,000</t>
    </r>
    <r>
      <rPr>
        <sz val="11"/>
        <color theme="1"/>
        <rFont val="맑은 고딕"/>
        <family val="2"/>
        <charset val="129"/>
        <scheme val="minor"/>
      </rPr>
      <t>+서울-대전 KTX 왕복기준 47,400)</t>
    </r>
    <phoneticPr fontId="2" type="noConversion"/>
  </si>
  <si>
    <r>
      <t xml:space="preserve"> 연구보조원 (제2호 등급, 0박1일기준-일비20,000+식비20,000</t>
    </r>
    <r>
      <rPr>
        <sz val="11"/>
        <color theme="1"/>
        <rFont val="맑은 고딕"/>
        <family val="2"/>
        <charset val="129"/>
        <scheme val="minor"/>
      </rPr>
      <t>+서울-대전 KTX 왕복기준 47,400)</t>
    </r>
    <phoneticPr fontId="2" type="noConversion"/>
  </si>
  <si>
    <t>70%적용</t>
    <phoneticPr fontId="2" type="noConversion"/>
  </si>
  <si>
    <t xml:space="preserve"> □ 용역비 산정기준
  1. 용역대가 산정기준(단지계획부문)(기술기준처, 2012.07) 
  2. 용역대가 산정기준(조경계획 및 설계)(단지기술처, 2015.03) 
  3. 용역대가 산정기준(에너지사용계획)(도시환경사업처, 2013.05) 
  4. 농지산지전용협의 도서작성 업무처리지침(택지개발처, 2010.10)
  5. 용역대가 산정기준(토목설계)(단지기술기준처, 2014.11)
  6. 한국엔지니어링진흥협회 공표 엔지니어링사업별, 기술자등급별, 실지급임금현황 (2015.1월 기준)
  7. 2013년 사유림벌채지도(매목조사) 수수료 징수기준(산림조합, '13.09)
  8. 직접경비 항목의 보고서인쇄비는 LH 2014년 예산편성지침-도서인쇄비('13.10)
  9. 직접경비 항목의 여비는 LH 여비규정('14.01.01)</t>
    <phoneticPr fontId="4" type="noConversion"/>
  </si>
  <si>
    <t xml:space="preserve">2015년   7월    일 </t>
    <phoneticPr fontId="4" type="noConversion"/>
  </si>
  <si>
    <t>2015. 7</t>
    <phoneticPr fontId="4" type="noConversion"/>
  </si>
  <si>
    <t xml:space="preserve">  5. 지구단위계획</t>
    <phoneticPr fontId="2" type="noConversion"/>
  </si>
  <si>
    <t xml:space="preserve"> 6. 기본 및 실시설계</t>
    <phoneticPr fontId="2" type="noConversion"/>
  </si>
  <si>
    <t xml:space="preserve">  7. 수요 및 사업타당성조사</t>
    <phoneticPr fontId="2" type="noConversion"/>
  </si>
  <si>
    <t>수요 및 사업타당성조사 예산내역서</t>
    <phoneticPr fontId="4" type="noConversion"/>
  </si>
  <si>
    <t xml:space="preserve"> 용역명 : 대전00지구 수요 및 사업타당성 조사 </t>
    <phoneticPr fontId="4" type="noConversion"/>
  </si>
  <si>
    <t>일위대가표 (수요 및 사업타당성조사)</t>
    <phoneticPr fontId="2" type="noConversion"/>
  </si>
  <si>
    <t>수요 및 사업타당성 조사 대가산정</t>
    <phoneticPr fontId="46" type="noConversion"/>
  </si>
  <si>
    <t>낙찰률</t>
    <phoneticPr fontId="2" type="noConversion"/>
  </si>
  <si>
    <t>단가</t>
    <phoneticPr fontId="2" type="noConversion"/>
  </si>
  <si>
    <t>   임야 6필 × 69,695원(1/6000, 시설편입지 면적측정 단가, 구지역)</t>
    <phoneticPr fontId="4" type="noConversion"/>
  </si>
  <si>
    <t xml:space="preserve">  ⇒ 267,993원(10ha/0.5일 기준의 수수료) × 0.03 = </t>
    <phoneticPr fontId="4" type="noConversion"/>
  </si>
  <si>
    <r>
      <t>  ⇒ 25㎥ ÷ 33㎥</t>
    </r>
    <r>
      <rPr>
        <vertAlign val="superscript"/>
        <sz val="10"/>
        <rFont val="맑은 고딕"/>
        <family val="3"/>
        <charset val="129"/>
      </rPr>
      <t>4)</t>
    </r>
    <r>
      <rPr>
        <sz val="10"/>
        <rFont val="맑은 고딕"/>
        <family val="3"/>
        <charset val="129"/>
      </rPr>
      <t xml:space="preserve"> × 637,665원 = </t>
    </r>
    <phoneticPr fontId="4" type="noConversion"/>
  </si>
  <si>
    <t xml:space="preserve">  = (8040원+479,010원) = </t>
    <phoneticPr fontId="4" type="noConversion"/>
  </si>
  <si>
    <r>
      <t xml:space="preserve">■ 적용 노임단가 </t>
    </r>
    <r>
      <rPr>
        <b/>
        <sz val="10"/>
        <rFont val="맑은 고딕"/>
        <family val="3"/>
        <charset val="129"/>
      </rPr>
      <t>[2014년도 엔지니어링업체 임금실태조사결과(2015.01.27)] x 낙찰율적용</t>
    </r>
    <phoneticPr fontId="2" type="noConversion"/>
  </si>
  <si>
    <r>
      <t>*1인*2회/월*4</t>
    </r>
    <r>
      <rPr>
        <sz val="11"/>
        <color theme="1"/>
        <rFont val="맑은 고딕"/>
        <family val="2"/>
        <charset val="129"/>
        <scheme val="minor"/>
      </rPr>
      <t>월</t>
    </r>
    <r>
      <rPr>
        <sz val="11"/>
        <color theme="1"/>
        <rFont val="맑은 고딕"/>
        <family val="3"/>
        <charset val="129"/>
        <scheme val="minor"/>
      </rPr>
      <t xml:space="preserve"> * 낙찰율</t>
    </r>
    <phoneticPr fontId="4" type="noConversion"/>
  </si>
  <si>
    <r>
      <t>*2</t>
    </r>
    <r>
      <rPr>
        <sz val="11"/>
        <color theme="1"/>
        <rFont val="맑은 고딕"/>
        <family val="2"/>
        <charset val="129"/>
        <scheme val="minor"/>
      </rPr>
      <t>인*2회/월*4월 * 낙찰욜</t>
    </r>
    <phoneticPr fontId="4" type="noConversion"/>
  </si>
  <si>
    <r>
      <t>*2인*2</t>
    </r>
    <r>
      <rPr>
        <sz val="11"/>
        <color theme="1"/>
        <rFont val="맑은 고딕"/>
        <family val="2"/>
        <charset val="129"/>
        <scheme val="minor"/>
      </rPr>
      <t>회/월*4월 * 낙찰율</t>
    </r>
    <phoneticPr fontId="4" type="noConversion"/>
  </si>
  <si>
    <t>(7,810)원×30</t>
    <phoneticPr fontId="4" type="noConversion"/>
  </si>
  <si>
    <t>(7,752)원×50</t>
    <phoneticPr fontId="4" type="noConversion"/>
  </si>
  <si>
    <t>2015년 단가 * 낙찰율적용</t>
    <phoneticPr fontId="46" type="noConversion"/>
  </si>
  <si>
    <t>2015. 10</t>
    <phoneticPr fontId="4" type="noConversion"/>
  </si>
  <si>
    <t>검토확인</t>
    <phoneticPr fontId="4" type="noConversion"/>
  </si>
  <si>
    <t>(인)</t>
    <phoneticPr fontId="4" type="noConversion"/>
  </si>
  <si>
    <t>대전OO 도시첨단산업단지 조사설계용역</t>
    <phoneticPr fontId="4" type="noConversion"/>
  </si>
  <si>
    <t>도   급   내   역   서</t>
    <phoneticPr fontId="4" type="noConversion"/>
  </si>
  <si>
    <t xml:space="preserve"> </t>
    <phoneticPr fontId="4" type="noConversion"/>
  </si>
  <si>
    <t>계약금액  :</t>
    <phoneticPr fontId="4" type="noConversion"/>
  </si>
  <si>
    <t xml:space="preserve">                    주         소  :  경기도 안양시 동안구 흥안대로 427번길 38</t>
    <phoneticPr fontId="4" type="noConversion"/>
  </si>
  <si>
    <t xml:space="preserve">                    상         호  :  (주)    건                           화 </t>
    <phoneticPr fontId="4" type="noConversion"/>
  </si>
  <si>
    <t xml:space="preserve">                    대 표 이 사  :  최               진               상     (인)</t>
    <phoneticPr fontId="4" type="noConversion"/>
  </si>
  <si>
    <t>■ 업무분담내역</t>
    <phoneticPr fontId="195" type="noConversion"/>
  </si>
  <si>
    <t>구    분</t>
    <phoneticPr fontId="195" type="noConversion"/>
  </si>
  <si>
    <t>지분</t>
    <phoneticPr fontId="195" type="noConversion"/>
  </si>
  <si>
    <t>금  액</t>
    <phoneticPr fontId="195" type="noConversion"/>
  </si>
  <si>
    <t>비고</t>
    <phoneticPr fontId="195" type="noConversion"/>
  </si>
  <si>
    <t xml:space="preserve">                    주         소  :  충청남도 공주시 제민천 1길 3-1(봉황동)</t>
    <phoneticPr fontId="4" type="noConversion"/>
  </si>
  <si>
    <t>㈜건화</t>
    <phoneticPr fontId="195" type="noConversion"/>
  </si>
  <si>
    <t xml:space="preserve">                    상         호  :  (주)    기  산   엔  지  니  어  링</t>
    <phoneticPr fontId="4" type="noConversion"/>
  </si>
  <si>
    <t>㈜기산엔지니어링</t>
    <phoneticPr fontId="195" type="noConversion"/>
  </si>
  <si>
    <t xml:space="preserve">                    대 표 이 사  :  강               도               묵     (인)</t>
    <phoneticPr fontId="4" type="noConversion"/>
  </si>
  <si>
    <t>㈜유앤디엔지니어링</t>
    <phoneticPr fontId="195" type="noConversion"/>
  </si>
  <si>
    <t>합    계</t>
    <phoneticPr fontId="195" type="noConversion"/>
  </si>
  <si>
    <t xml:space="preserve">                    주         소  :  전라북도 전주시 덕진구 동부대로 705-1, 2층</t>
    <phoneticPr fontId="4" type="noConversion"/>
  </si>
  <si>
    <t xml:space="preserve">                    상         호  :  (주)   유앤디엔지니어링건축사사무소</t>
    <phoneticPr fontId="4" type="noConversion"/>
  </si>
  <si>
    <t xml:space="preserve">                    대 표 이 사  :  이               근               영     (인)</t>
    <phoneticPr fontId="4" type="noConversion"/>
  </si>
  <si>
    <t>도급내역서 (총괄)</t>
  </si>
  <si>
    <t>공       종</t>
  </si>
  <si>
    <t>총    액</t>
  </si>
  <si>
    <t>경    비</t>
  </si>
  <si>
    <t>Ⅰ.대전OO 도시첨단산업단지 조사설계용역</t>
    <phoneticPr fontId="2" type="noConversion"/>
  </si>
  <si>
    <t xml:space="preserve">        소  계 1</t>
    <phoneticPr fontId="2" type="noConversion"/>
  </si>
  <si>
    <t xml:space="preserve">     부가가치세</t>
  </si>
  <si>
    <t xml:space="preserve">       합  계 1</t>
    <phoneticPr fontId="2" type="noConversion"/>
  </si>
  <si>
    <t xml:space="preserve">        소  계 2</t>
    <phoneticPr fontId="2" type="noConversion"/>
  </si>
  <si>
    <t xml:space="preserve">       합  계 2</t>
    <phoneticPr fontId="2" type="noConversion"/>
  </si>
  <si>
    <t xml:space="preserve">       총  계</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</si>
</sst>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3">
    <numFmt numFmtId="5" formatCode="&quot;₩&quot;#,##0;\-&quot;₩&quot;#,##0"/>
    <numFmt numFmtId="42" formatCode="_-&quot;₩&quot;* #,##0_-;\-&quot;₩&quot;* #,##0_-;_-&quot;₩&quot;* &quot;-&quot;_-;_-@_-"/>
    <numFmt numFmtId="41" formatCode="_-* #,##0_-;\-* #,##0_-;_-* &quot;-&quot;_-;_-@_-"/>
    <numFmt numFmtId="43" formatCode="_-* #,##0.00_-;\-* #,##0.00_-;_-* &quot;-&quot;??_-;_-@_-"/>
    <numFmt numFmtId="24" formatCode="\$#,##0_);[Red]\(\$#,##0\)"/>
    <numFmt numFmtId="176" formatCode="_-* #,##0.00_-;\-* #,##0.00_-;_-* &quot;-&quot;_-;_-@_-"/>
    <numFmt numFmtId="177" formatCode="#,##0_ "/>
    <numFmt numFmtId="178" formatCode="#,##0_);[Red]\(#,##0\)"/>
    <numFmt numFmtId="179" formatCode="_-* #,##0.0_-;\-* #,##0.0_-;_-* &quot;-&quot;_-;_-@_-"/>
    <numFmt numFmtId="180" formatCode="0.00_ "/>
    <numFmt numFmtId="181" formatCode="0.0_ "/>
    <numFmt numFmtId="182" formatCode="_-* #,##0.000_-;\-* #,##0.000_-;_-* &quot;-&quot;_-;_-@_-"/>
    <numFmt numFmtId="183" formatCode="0.0_);[Red]\(0.0\)"/>
    <numFmt numFmtId="184" formatCode="0_);[Red]\(0\)"/>
    <numFmt numFmtId="185" formatCode="0.000_ "/>
    <numFmt numFmtId="186" formatCode="_-* #,##0.0000_-;\-* #,##0.0000_-;_-* &quot;-&quot;_-;_-@_-"/>
    <numFmt numFmtId="187" formatCode="0.000_);[Red]\(0.000\)"/>
    <numFmt numFmtId="188" formatCode="#,##0.000_ "/>
    <numFmt numFmtId="189" formatCode="#,##0.00_ "/>
    <numFmt numFmtId="190" formatCode="#,##0.0_ "/>
    <numFmt numFmtId="191" formatCode="0_ "/>
    <numFmt numFmtId="192" formatCode="_-* #,##0_-;\-* #,##0_-;_-* &quot;-&quot;??_-;_-@_-"/>
    <numFmt numFmtId="193" formatCode="0.000%"/>
    <numFmt numFmtId="194" formatCode="0.0"/>
    <numFmt numFmtId="195" formatCode="0.0;\-;\-"/>
    <numFmt numFmtId="196" formatCode="0.0;;"/>
    <numFmt numFmtId="197" formatCode="0.00_);[Red]\(0.00\)"/>
    <numFmt numFmtId="198" formatCode="0.0%"/>
    <numFmt numFmtId="199" formatCode="#,##0\ &quot;㎡&quot;"/>
    <numFmt numFmtId="200" formatCode="0\ &quot;km&quot;"/>
    <numFmt numFmtId="201" formatCode="#,##0\ &quot;m&quot;"/>
    <numFmt numFmtId="202" formatCode="#,##0\ &quot;개소&quot;"/>
    <numFmt numFmtId="203" formatCode="0\ &quot;㎢&quot;"/>
    <numFmt numFmtId="204" formatCode="0\ &quot;m&quot;"/>
    <numFmt numFmtId="205" formatCode="#,##0.00\ &quot;개소&quot;"/>
    <numFmt numFmtId="206" formatCode="_-* #,##0.0000_-;\-* #,##0.0000_-;_-* &quot;-&quot;????_-;_-@_-"/>
    <numFmt numFmtId="207" formatCode="0.00000%"/>
    <numFmt numFmtId="208" formatCode="mm&quot;월&quot;\ dd&quot;일&quot;"/>
    <numFmt numFmtId="209" formatCode="_-* #,##0.0_-;\-* #,##0.0_-;_-* &quot;-&quot;??_-;_-@_-"/>
    <numFmt numFmtId="210" formatCode="#.00"/>
    <numFmt numFmtId="211" formatCode="_ * #,##0_ ;_ * \-#,##0_ ;_ * &quot;-&quot;_ ;_ @_ "/>
    <numFmt numFmtId="212" formatCode="#,##0;&quot;-&quot;#,##0"/>
    <numFmt numFmtId="213" formatCode="0.000"/>
    <numFmt numFmtId="214" formatCode="_-&quot;₩&quot;* #,##0.00_-;\!\-&quot;₩&quot;* #,##0.00_-;_-&quot;₩&quot;* &quot;-&quot;??_-;_-@_-"/>
    <numFmt numFmtId="215" formatCode="%#.00"/>
    <numFmt numFmtId="216" formatCode="#,##0."/>
    <numFmt numFmtId="217" formatCode="_ &quot;SFr.&quot;* #,##0_ ;_ &quot;SFr.&quot;* \-#,##0_ ;_ &quot;SFr.&quot;* &quot;-&quot;_ ;_ @_ "/>
    <numFmt numFmtId="218" formatCode="_ &quot;₩&quot;* #,##0_ ;_ &quot;₩&quot;* \-#,##0_ ;_ &quot;₩&quot;* &quot;-&quot;_ ;_ @_ "/>
    <numFmt numFmtId="219" formatCode="* #,##0.0"/>
    <numFmt numFmtId="220" formatCode="#,##0.00000"/>
    <numFmt numFmtId="221" formatCode="_ * #,##0_ ;_ * &quot;₩&quot;\-#,##0_ ;_ * &quot;-&quot;??_ ;_ @_ "/>
    <numFmt numFmtId="222" formatCode="0.0%;[Red]&quot;△&quot;0.0%"/>
    <numFmt numFmtId="223" formatCode="0.00000000"/>
    <numFmt numFmtId="224" formatCode="_-* #,##0&quot;₩&quot;\ _D_M_-;&quot;₩&quot;\-* #,##0&quot;₩&quot;\ _D_M_-;_-* &quot;-&quot;&quot;₩&quot;\ _D_M_-;_-@_-"/>
    <numFmt numFmtId="225" formatCode="0.00;[Red]0.00"/>
    <numFmt numFmtId="226" formatCode="#,##0;\(#,##0\)"/>
    <numFmt numFmtId="227" formatCode="_ * #,##0_ ;_ * &quot;₩&quot;&quot;₩&quot;&quot;₩&quot;\-#,##0_ ;_ * &quot;-&quot;_ ;_ @_ "/>
    <numFmt numFmtId="228" formatCode="0.0000"/>
    <numFmt numFmtId="229" formatCode="\$#.00"/>
    <numFmt numFmtId="230" formatCode="\ 0.00"/>
    <numFmt numFmtId="231" formatCode="_ * #,##0.00_ ;_ * \-#,##0.00_ ;_ * &quot;-&quot;??_ ;_ @_ "/>
    <numFmt numFmtId="232" formatCode="\$#,##0.00;\(\$#,##0.00\)"/>
    <numFmt numFmtId="233" formatCode="m\o\n\th\ d\,\ yyyy"/>
    <numFmt numFmtId="234" formatCode="\$#,##0;\(\$#,##0\)"/>
    <numFmt numFmtId="235" formatCode="_-&quot;₩&quot;* #,##0_-;\!\-&quot;₩&quot;* #,##0_-;_-&quot;₩&quot;* &quot;-&quot;_-;_-@_-"/>
    <numFmt numFmtId="236" formatCode="0\ &quot;EA&quot;"/>
    <numFmt numFmtId="237" formatCode="\$#."/>
    <numFmt numFmtId="238" formatCode="_-[$€-2]* #,##0.00_-;\-[$€-2]* #,##0.00_-;_-[$€-2]* &quot;-&quot;??_-"/>
    <numFmt numFmtId="239" formatCode="#."/>
    <numFmt numFmtId="240" formatCode="_-* #,##0.00_-;\!\-* #,##0.00_-;_-* &quot;-&quot;??_-;_-@_-"/>
    <numFmt numFmtId="241" formatCode="###,###,"/>
    <numFmt numFmtId="242" formatCode="\!\$#,##0_);[Red]\!\(\!\$#,##0\!\)"/>
    <numFmt numFmtId="243" formatCode="_-* #,##0_-;\!\-* #,##0_-;_-* &quot;-&quot;_-;_-@_-"/>
    <numFmt numFmtId="244" formatCode="\!\$#,##0.00_);\!\(\!\$#,##0.00\!\)"/>
    <numFmt numFmtId="245" formatCode="\!\$#,##0.00_);[Red]\!\(\!\$#,##0.00\!\)"/>
    <numFmt numFmtId="246" formatCode="&quot;₩&quot;#,##0.00;[Red]\!\-&quot;₩&quot;#,##0.00"/>
    <numFmt numFmtId="247" formatCode="_-* #,##0.00\ &quot;F&quot;_-;\-* #,##0.00\ &quot;F&quot;_-;_-* &quot;-&quot;??\ &quot;F&quot;_-;_-@_-"/>
    <numFmt numFmtId="248" formatCode="&quot;US$&quot;#,##0_);\(&quot;US$&quot;#,##0\)"/>
    <numFmt numFmtId="249" formatCode="_ &quot;₩&quot;* #,##0.0000000_ ;_ &quot;₩&quot;* &quot;₩&quot;\-#,##0.0000000_ ;_ &quot;₩&quot;* &quot;-&quot;??_ ;_ @_ "/>
    <numFmt numFmtId="250" formatCode="&quot;₩&quot;#,##0.00;[Red]&quot;₩&quot;\-#,##0.00"/>
    <numFmt numFmtId="251" formatCode="#,##0;[Red]&quot;△&quot;#,##0"/>
    <numFmt numFmtId="252" formatCode="&quot;₩&quot;#,##0;[Red]&quot;₩&quot;\!\-&quot;₩&quot;#,##0"/>
    <numFmt numFmtId="253" formatCode="0\ &quot;t&quot;"/>
    <numFmt numFmtId="254" formatCode=";;;"/>
    <numFmt numFmtId="255" formatCode="&quot;₩&quot;#,##0;\!\-&quot;₩&quot;#,##0"/>
    <numFmt numFmtId="256" formatCode="&quot;₩&quot;#,##0;[Red]\!\-&quot;₩&quot;#,##0"/>
    <numFmt numFmtId="257" formatCode="&quot;₩&quot;#,##0.00;\!\-&quot;₩&quot;#,##0.00"/>
    <numFmt numFmtId="258" formatCode="&quot;₩&quot;#,##0;&quot;₩&quot;&quot;₩&quot;&quot;₩&quot;&quot;₩&quot;\-#,##0"/>
    <numFmt numFmtId="259" formatCode=";\ ;\ ;"/>
    <numFmt numFmtId="260" formatCode="#,##0;[Red]&quot;-&quot;#,##0"/>
    <numFmt numFmtId="261" formatCode="#,###&quot;원&quot;"/>
    <numFmt numFmtId="262" formatCode="_ * #,##0\ _F_B_ ;_ * #,##0\ _F_B_ ;_ * &quot;-&quot;\ _F_B_ ;_ @_ "/>
    <numFmt numFmtId="263" formatCode="0.00\ &quot;)&quot;"/>
    <numFmt numFmtId="264" formatCode="0.00\ &quot;)]&quot;"/>
    <numFmt numFmtId="265" formatCode="&quot;₩&quot;#,##0;[Red]&quot;₩&quot;&quot;₩&quot;&quot;₩&quot;&quot;₩&quot;\-#,##0"/>
    <numFmt numFmtId="266" formatCode="0.000\ &quot;²&quot;"/>
    <numFmt numFmtId="267" formatCode="&quot;(&quot;\ 0.00"/>
    <numFmt numFmtId="268" formatCode="&quot;[(&quot;\ 0.00"/>
    <numFmt numFmtId="269" formatCode="_-#,##0;\-#,##0;&quot;-&quot;_-;_-@_-"/>
    <numFmt numFmtId="270" formatCode="#,###,###.0"/>
    <numFmt numFmtId="271" formatCode="#,##0\ ;[Red]&quot;-&quot;#,##0\ "/>
    <numFmt numFmtId="272" formatCode="* #,##0\ ;[Red]* &quot;-&quot;#,##0\ "/>
    <numFmt numFmtId="273" formatCode="#,##0.####;[Red]&quot;-&quot;#,##0.####"/>
    <numFmt numFmtId="274" formatCode="#,##0.0###\ ;[Red]&quot;-&quot;#,##0.0###\ "/>
    <numFmt numFmtId="275" formatCode="_-* #,##0.00_-;&quot;₩&quot;&quot;₩&quot;\-* #,##0.00_-;_-* &quot;-&quot;??_-;_-@_-"/>
    <numFmt numFmtId="276" formatCode="_-&quot;$&quot;* #,##0_-;\-&quot;$&quot;* #,##0_-;_-&quot;$&quot;* &quot;-&quot;_-;_-@_-"/>
    <numFmt numFmtId="277" formatCode="&quot;₩&quot;#,##0.00;&quot;₩&quot;&quot;₩&quot;&quot;₩&quot;&quot;₩&quot;\-#,##0.00"/>
    <numFmt numFmtId="278" formatCode="0.00\ &quot;km&quot;"/>
    <numFmt numFmtId="279" formatCode="General&quot;년&quot;"/>
    <numFmt numFmtId="280" formatCode="#,##0\ &quot;회&quot;"/>
    <numFmt numFmtId="281" formatCode="#,##0_ \+"/>
    <numFmt numFmtId="282" formatCode="000,000\ &quot;까지&quot;"/>
    <numFmt numFmtId="283" formatCode="&quot;₩&quot;#,##0_);[Red]\(&quot;₩&quot;#,##0\)"/>
    <numFmt numFmtId="284" formatCode="#,##0.0_);[Red]\(#,##0.0\)"/>
    <numFmt numFmtId="285" formatCode="#,##0.00_);[Red]\(#,##0.00\)"/>
    <numFmt numFmtId="286" formatCode="_-* #,##0.00000_-;\-* #,##0.00000_-;_-* &quot;-&quot;??_-;_-@_-"/>
    <numFmt numFmtId="287" formatCode="&quot;(\&quot;#,#00\)"/>
    <numFmt numFmtId="288" formatCode="&quot;₩&quot;\!\$#\!\,##0_);[Red]&quot;₩&quot;\!\(&quot;₩&quot;\!\$#\!\,##0&quot;₩&quot;\!\)"/>
    <numFmt numFmtId="289" formatCode="0\!.0000000000000000"/>
    <numFmt numFmtId="290" formatCode="&quot;$&quot;#\!\,##0\!.00_);[Red]&quot;₩&quot;\!\(&quot;$&quot;#\!\,##0\!.00&quot;₩&quot;\!\)"/>
    <numFmt numFmtId="291" formatCode="_ &quot;?&quot;* #,##0_ ;_ &quot;?&quot;* \-#,##0_ ;_ &quot;?&quot;* &quot;-&quot;_ ;_ @_ "/>
    <numFmt numFmtId="292" formatCode="_ &quot;?&quot;* #,##0.00_ ;_ &quot;?&quot;* \-#,##0.00_ ;_ &quot;?&quot;* &quot;-&quot;??_ ;_ @_ "/>
    <numFmt numFmtId="293" formatCode="&quot;₩&quot;#,##0.00;[Red]&quot;₩&quot;&quot;₩&quot;\!\-#,##0.00"/>
    <numFmt numFmtId="294" formatCode="_ &quot;SFr.&quot;* #,##0_ ;_ &quot;SFr.&quot;* &quot;₩&quot;&quot;₩&quot;&quot;₩&quot;&quot;₩&quot;&quot;₩&quot;&quot;₩&quot;&quot;₩&quot;&quot;₩&quot;&quot;₩&quot;&quot;₩&quot;&quot;₩&quot;&quot;₩&quot;&quot;₩&quot;\-#,##0_ ;_ &quot;SFr.&quot;* &quot;-&quot;_ ;_ @_ "/>
    <numFmt numFmtId="295" formatCode="_(&quot;RM&quot;* #,##0.00_);_(&quot;RM&quot;* \(#,##0.00\);_(&quot;RM&quot;* &quot;-&quot;??_);_(@_)"/>
    <numFmt numFmtId="296" formatCode="0_);\(0\)"/>
    <numFmt numFmtId="297" formatCode="@\ &quot;주임&quot;"/>
    <numFmt numFmtId="298" formatCode="#,##0.000"/>
    <numFmt numFmtId="299" formatCode="[Red]#,##0.00"/>
    <numFmt numFmtId="300" formatCode="[Red]#,##0.000"/>
    <numFmt numFmtId="301" formatCode="_(* #,##0.00_);_(* \(#,##0.00\);_(* &quot;-&quot;??_);_(@_)"/>
    <numFmt numFmtId="302" formatCode="#\!\,##0;&quot;₩&quot;\!\-#\!\,##0\!.00"/>
    <numFmt numFmtId="303" formatCode="#,##0;\-#,##0.00"/>
    <numFmt numFmtId="304" formatCode="_ &quot;₩&quot;* #,##0.00_ ;_ &quot;₩&quot;* &quot;₩&quot;&quot;₩&quot;&quot;₩&quot;&quot;₩&quot;&quot;₩&quot;&quot;₩&quot;&quot;₩&quot;&quot;₩&quot;\-#,##0.00_ ;_ &quot;₩&quot;* &quot;-&quot;??_ ;_ @_ "/>
    <numFmt numFmtId="305" formatCode="&quot;$&quot;#,##0.00_);\(&quot;$&quot;#,##0.00\)"/>
    <numFmt numFmtId="306" formatCode="&quot;US$&quot;#,##0_);[Red]\(&quot;US$&quot;#,##0\)"/>
    <numFmt numFmtId="307" formatCode="#,##0.00;[Red]&quot;-&quot;#,##0.00"/>
    <numFmt numFmtId="308" formatCode="\&lt;#,##0\&gt;"/>
    <numFmt numFmtId="309" formatCode="_ &quot;₩&quot;* #,##0_ ;_ &quot;₩&quot;* \-#,##0_ ;_ &quot;₩&quot;* \-_ ;_ @_ "/>
    <numFmt numFmtId="310" formatCode="_ &quot;₩&quot;* #,##0.00_ ;_ &quot;₩&quot;* \-#,##0.00_ ;_ &quot;₩&quot;* &quot;-&quot;??_ ;_ @_ "/>
    <numFmt numFmtId="311" formatCode="_ &quot;₩&quot;* #,##0.00_ ;_ &quot;₩&quot;* \-#,##0.00_ ;_ &quot;₩&quot;* \-??_ ;_ @_ "/>
    <numFmt numFmtId="312" formatCode="&quot;₩&quot;#,##0;[Red]&quot;₩&quot;\-#,##0"/>
    <numFmt numFmtId="313" formatCode="_ * #,##0_ ;_ * \-#,##0_ ;_ * \-_ ;_ @_ "/>
    <numFmt numFmtId="314" formatCode="_ * #,##0.00_ ;_ * \-#,##0.00_ ;_ * \-??_ ;_ @_ "/>
    <numFmt numFmtId="315" formatCode="mm&quot;월&quot;dd&quot;일&quot;"/>
    <numFmt numFmtId="316" formatCode="_ &quot;₩&quot;* #,##0.00_ ;_ &quot;₩&quot;* &quot;₩&quot;&quot;₩&quot;&quot;₩&quot;&quot;₩&quot;\-#,##0.00_ ;_ &quot;₩&quot;* &quot;-&quot;??_ ;_ @_ "/>
    <numFmt numFmtId="317" formatCode="&quot;₩&quot;#,##0.00;&quot;₩&quot;\-#,##0.00"/>
    <numFmt numFmtId="318" formatCode="General_)"/>
    <numFmt numFmtId="319" formatCode="&quot;Fr.&quot;\ #,##0;[Red]&quot;Fr.&quot;\ \-#,##0"/>
    <numFmt numFmtId="320" formatCode="&quot;Fr.&quot;\ #,##0.00;[Red]&quot;Fr.&quot;\ \-#,##0.00"/>
    <numFmt numFmtId="321" formatCode="0.0_)"/>
    <numFmt numFmtId="322" formatCode="_ * #,##0.000000_ ;_ * &quot;₩&quot;\-#,##0.000000_ ;_ * &quot;-&quot;??_ ;_ @_ "/>
    <numFmt numFmtId="323" formatCode="#,##0.0"/>
  </numFmts>
  <fonts count="239">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sz val="11"/>
      <name val="돋움"/>
      <family val="3"/>
      <charset val="129"/>
    </font>
    <font>
      <sz val="8"/>
      <name val="돋움"/>
      <family val="3"/>
      <charset val="129"/>
    </font>
    <font>
      <sz val="20"/>
      <name val="맑은 고딕"/>
      <family val="3"/>
      <charset val="129"/>
    </font>
    <font>
      <sz val="11"/>
      <name val="바탕체"/>
      <family val="1"/>
      <charset val="129"/>
    </font>
    <font>
      <sz val="30"/>
      <name val="맑은 고딕"/>
      <family val="3"/>
      <charset val="129"/>
    </font>
    <font>
      <b/>
      <sz val="26"/>
      <name val="휴먼세명조"/>
      <family val="1"/>
      <charset val="129"/>
    </font>
    <font>
      <sz val="20"/>
      <name val="HY헤드라인M"/>
      <family val="1"/>
      <charset val="129"/>
    </font>
    <font>
      <b/>
      <sz val="20"/>
      <name val="돋움"/>
      <family val="3"/>
      <charset val="129"/>
    </font>
    <font>
      <sz val="11"/>
      <name val="HY헤드라인M"/>
      <family val="1"/>
      <charset val="129"/>
    </font>
    <font>
      <sz val="12"/>
      <name val="HY헤드라인M"/>
      <family val="1"/>
      <charset val="129"/>
    </font>
    <font>
      <sz val="12"/>
      <name val="돋움"/>
      <family val="3"/>
      <charset val="129"/>
    </font>
    <font>
      <sz val="10"/>
      <color theme="1"/>
      <name val="맑은 고딕"/>
      <family val="3"/>
      <charset val="129"/>
      <scheme val="minor"/>
    </font>
    <font>
      <b/>
      <sz val="10"/>
      <color theme="1"/>
      <name val="맑은 고딕"/>
      <family val="3"/>
      <charset val="129"/>
      <scheme val="minor"/>
    </font>
    <font>
      <sz val="11"/>
      <name val="맑은 고딕"/>
      <family val="3"/>
      <charset val="129"/>
      <scheme val="minor"/>
    </font>
    <font>
      <b/>
      <sz val="10"/>
      <name val="맑은 고딕"/>
      <family val="3"/>
      <charset val="129"/>
      <scheme val="minor"/>
    </font>
    <font>
      <sz val="10"/>
      <name val="맑은 고딕"/>
      <family val="3"/>
      <charset val="129"/>
      <scheme val="minor"/>
    </font>
    <font>
      <b/>
      <sz val="10"/>
      <color rgb="FFFF0000"/>
      <name val="맑은 고딕"/>
      <family val="3"/>
      <charset val="129"/>
      <scheme val="minor"/>
    </font>
    <font>
      <u/>
      <sz val="20"/>
      <name val="HY헤드라인M"/>
      <family val="1"/>
      <charset val="129"/>
    </font>
    <font>
      <sz val="11"/>
      <name val="맑은 고딕"/>
      <family val="3"/>
      <charset val="129"/>
    </font>
    <font>
      <b/>
      <sz val="10"/>
      <name val="맑은 고딕"/>
      <family val="3"/>
      <charset val="129"/>
    </font>
    <font>
      <sz val="10"/>
      <name val="맑은 고딕"/>
      <family val="3"/>
      <charset val="129"/>
    </font>
    <font>
      <sz val="9"/>
      <name val="맑은 고딕"/>
      <family val="3"/>
      <charset val="129"/>
    </font>
    <font>
      <sz val="13"/>
      <name val="Times New Roman"/>
      <family val="1"/>
    </font>
    <font>
      <sz val="14"/>
      <name val="돋움체"/>
      <family val="3"/>
      <charset val="129"/>
    </font>
    <font>
      <b/>
      <u/>
      <sz val="10"/>
      <name val="맑은 고딕"/>
      <family val="3"/>
      <charset val="129"/>
      <scheme val="minor"/>
    </font>
    <font>
      <b/>
      <sz val="12"/>
      <name val="맑은 고딕"/>
      <family val="3"/>
      <charset val="129"/>
    </font>
    <font>
      <b/>
      <sz val="11"/>
      <name val="맑은 고딕"/>
      <family val="3"/>
      <charset val="129"/>
    </font>
    <font>
      <sz val="24"/>
      <name val="HY헤드라인M"/>
      <family val="1"/>
      <charset val="129"/>
    </font>
    <font>
      <sz val="11"/>
      <name val="Arial"/>
      <family val="2"/>
    </font>
    <font>
      <sz val="20"/>
      <color indexed="8"/>
      <name val="HY헤드라인M"/>
      <family val="1"/>
      <charset val="129"/>
    </font>
    <font>
      <b/>
      <sz val="10"/>
      <color indexed="8"/>
      <name val="맑은 고딕"/>
      <family val="3"/>
      <charset val="129"/>
      <scheme val="minor"/>
    </font>
    <font>
      <sz val="10"/>
      <color indexed="8"/>
      <name val="맑은 고딕"/>
      <family val="3"/>
      <charset val="129"/>
      <scheme val="minor"/>
    </font>
    <font>
      <u/>
      <sz val="11"/>
      <color indexed="12"/>
      <name val="돋움"/>
      <family val="3"/>
      <charset val="129"/>
    </font>
    <font>
      <b/>
      <sz val="9"/>
      <color indexed="81"/>
      <name val="굴림"/>
      <family val="3"/>
      <charset val="129"/>
    </font>
    <font>
      <vertAlign val="superscript"/>
      <sz val="10"/>
      <name val="맑은 고딕"/>
      <family val="3"/>
      <charset val="129"/>
    </font>
    <font>
      <u/>
      <sz val="10"/>
      <name val="맑은 고딕"/>
      <family val="3"/>
      <charset val="129"/>
    </font>
    <font>
      <sz val="11"/>
      <name val="Times New Roman"/>
      <family val="1"/>
    </font>
    <font>
      <sz val="12"/>
      <name val="맑은 고딕"/>
      <family val="3"/>
      <charset val="129"/>
    </font>
    <font>
      <sz val="12"/>
      <name val="맑은 고딕"/>
      <family val="3"/>
      <charset val="129"/>
      <scheme val="minor"/>
    </font>
    <font>
      <b/>
      <sz val="12"/>
      <name val="맑은 고딕"/>
      <family val="3"/>
      <charset val="129"/>
      <scheme val="minor"/>
    </font>
    <font>
      <b/>
      <sz val="10"/>
      <color indexed="81"/>
      <name val="Tahoma"/>
      <family val="2"/>
    </font>
    <font>
      <b/>
      <sz val="10"/>
      <color indexed="81"/>
      <name val="돋움"/>
      <family val="3"/>
      <charset val="129"/>
    </font>
    <font>
      <sz val="40"/>
      <name val="HY헤드라인M"/>
      <family val="1"/>
      <charset val="129"/>
    </font>
    <font>
      <sz val="8"/>
      <name val="맑은 고딕"/>
      <family val="3"/>
      <charset val="129"/>
    </font>
    <font>
      <b/>
      <sz val="11"/>
      <name val="맑은 고딕"/>
      <family val="3"/>
      <charset val="129"/>
      <scheme val="minor"/>
    </font>
    <font>
      <b/>
      <sz val="11"/>
      <color rgb="FF3F3F3F"/>
      <name val="맑은 고딕"/>
      <family val="2"/>
      <charset val="129"/>
      <scheme val="minor"/>
    </font>
    <font>
      <b/>
      <sz val="11"/>
      <color theme="1"/>
      <name val="맑은 고딕"/>
      <family val="3"/>
      <charset val="129"/>
      <scheme val="minor"/>
    </font>
    <font>
      <sz val="11"/>
      <name val="맑은 고딕"/>
      <family val="2"/>
      <charset val="129"/>
      <scheme val="minor"/>
    </font>
    <font>
      <sz val="10"/>
      <color theme="1"/>
      <name val="맑은 고딕"/>
      <family val="2"/>
      <charset val="129"/>
      <scheme val="minor"/>
    </font>
    <font>
      <u/>
      <sz val="20"/>
      <color indexed="8"/>
      <name val="HY헤드라인M"/>
      <family val="1"/>
      <charset val="129"/>
    </font>
    <font>
      <b/>
      <sz val="10"/>
      <name val="돋움"/>
      <family val="3"/>
      <charset val="129"/>
    </font>
    <font>
      <sz val="10"/>
      <name val="돋움"/>
      <family val="3"/>
      <charset val="129"/>
    </font>
    <font>
      <b/>
      <sz val="10"/>
      <color rgb="FFFF0000"/>
      <name val="돋움"/>
      <family val="3"/>
      <charset val="129"/>
    </font>
    <font>
      <sz val="10"/>
      <color rgb="FFFF0000"/>
      <name val="맑은 고딕"/>
      <family val="2"/>
      <charset val="129"/>
      <scheme val="minor"/>
    </font>
    <font>
      <sz val="11"/>
      <name val="굴림체"/>
      <family val="3"/>
      <charset val="129"/>
    </font>
    <font>
      <sz val="10"/>
      <name val="맑은 고딕"/>
      <family val="3"/>
      <charset val="129"/>
      <scheme val="major"/>
    </font>
    <font>
      <sz val="10"/>
      <name val="굴림체"/>
      <family val="3"/>
      <charset val="129"/>
    </font>
    <font>
      <sz val="12"/>
      <name val="바탕체"/>
      <family val="1"/>
      <charset val="129"/>
    </font>
    <font>
      <sz val="10"/>
      <name val="Arial"/>
      <family val="2"/>
    </font>
    <font>
      <sz val="10"/>
      <name val="Times New Roman"/>
      <family val="1"/>
    </font>
    <font>
      <sz val="10"/>
      <name val="MS Sans Serif"/>
      <family val="2"/>
    </font>
    <font>
      <sz val="10"/>
      <name val="Helv"/>
      <family val="2"/>
    </font>
    <font>
      <sz val="10"/>
      <color indexed="8"/>
      <name val="Arial"/>
      <family val="2"/>
    </font>
    <font>
      <sz val="1"/>
      <color indexed="8"/>
      <name val="Courier"/>
      <family val="3"/>
    </font>
    <font>
      <sz val="12"/>
      <name val="Times New Roman"/>
      <family val="1"/>
    </font>
    <font>
      <b/>
      <sz val="1"/>
      <color indexed="8"/>
      <name val="Courier"/>
      <family val="3"/>
    </font>
    <font>
      <sz val="12"/>
      <name val="견명조"/>
      <family val="1"/>
      <charset val="129"/>
    </font>
    <font>
      <sz val="12"/>
      <name val="ⓒoUAAA¨u"/>
      <family val="1"/>
      <charset val="129"/>
    </font>
    <font>
      <sz val="10"/>
      <name val="돋움체"/>
      <family val="3"/>
      <charset val="129"/>
    </font>
    <font>
      <sz val="12"/>
      <name val="¹ÙÅÁÃ¼"/>
      <family val="1"/>
      <charset val="129"/>
    </font>
    <font>
      <sz val="11"/>
      <name val="μ¸¿o"/>
      <family val="3"/>
      <charset val="129"/>
    </font>
    <font>
      <sz val="12"/>
      <name val="¹UAAA¼"/>
      <family val="3"/>
      <charset val="129"/>
    </font>
    <font>
      <sz val="12"/>
      <name val="System"/>
      <family val="2"/>
      <charset val="129"/>
    </font>
    <font>
      <b/>
      <sz val="10"/>
      <name val="Helv"/>
      <family val="2"/>
    </font>
    <font>
      <sz val="12"/>
      <name val="굴림체"/>
      <family val="3"/>
      <charset val="129"/>
    </font>
    <font>
      <sz val="10"/>
      <name val="MS Serif"/>
      <family val="1"/>
    </font>
    <font>
      <sz val="12"/>
      <name val="Arial"/>
      <family val="2"/>
    </font>
    <font>
      <sz val="9"/>
      <name val="Arial"/>
      <family val="2"/>
    </font>
    <font>
      <sz val="10"/>
      <color indexed="16"/>
      <name val="MS Serif"/>
      <family val="1"/>
    </font>
    <font>
      <u/>
      <sz val="8.5"/>
      <color indexed="36"/>
      <name val="바탕체"/>
      <family val="1"/>
      <charset val="129"/>
    </font>
    <font>
      <sz val="8"/>
      <name val="Arial"/>
      <family val="2"/>
    </font>
    <font>
      <b/>
      <sz val="12"/>
      <name val="Helv"/>
      <family val="2"/>
    </font>
    <font>
      <b/>
      <sz val="12"/>
      <name val="Arial"/>
      <family val="2"/>
    </font>
    <font>
      <b/>
      <sz val="18"/>
      <name val="Arial"/>
      <family val="2"/>
    </font>
    <font>
      <u/>
      <sz val="8.5"/>
      <color indexed="12"/>
      <name val="바탕체"/>
      <family val="1"/>
      <charset val="129"/>
    </font>
    <font>
      <b/>
      <sz val="11"/>
      <name val="Helv"/>
      <family val="2"/>
    </font>
    <font>
      <sz val="7"/>
      <name val="Small Fonts"/>
      <family val="2"/>
    </font>
    <font>
      <sz val="10"/>
      <color indexed="8"/>
      <name val="MS Sans Serif"/>
      <family val="2"/>
    </font>
    <font>
      <sz val="8"/>
      <name val="Helv"/>
      <family val="2"/>
    </font>
    <font>
      <b/>
      <sz val="8"/>
      <color indexed="8"/>
      <name val="Helv"/>
      <family val="2"/>
    </font>
    <font>
      <sz val="9"/>
      <name val="바탕체"/>
      <family val="1"/>
      <charset val="129"/>
    </font>
    <font>
      <b/>
      <u/>
      <sz val="13"/>
      <name val="굴림체"/>
      <family val="3"/>
      <charset val="129"/>
    </font>
    <font>
      <sz val="8"/>
      <name val="바탕체"/>
      <family val="1"/>
      <charset val="129"/>
    </font>
    <font>
      <sz val="10"/>
      <name val="Geneva"/>
      <family val="2"/>
    </font>
    <font>
      <i/>
      <outline/>
      <shadow/>
      <u/>
      <sz val="1"/>
      <color indexed="24"/>
      <name val="Courier"/>
      <family val="3"/>
    </font>
    <font>
      <sz val="10"/>
      <name val="바탕체"/>
      <family val="1"/>
      <charset val="129"/>
    </font>
    <font>
      <sz val="10"/>
      <name val="바탕"/>
      <family val="1"/>
      <charset val="129"/>
    </font>
    <font>
      <sz val="11"/>
      <color theme="0"/>
      <name val="맑은 고딕"/>
      <family val="3"/>
      <charset val="129"/>
      <scheme val="minor"/>
    </font>
    <font>
      <sz val="12"/>
      <name val="명조"/>
      <family val="3"/>
      <charset val="129"/>
    </font>
    <font>
      <sz val="9"/>
      <name val="돋움체"/>
      <family val="3"/>
      <charset val="129"/>
    </font>
    <font>
      <u/>
      <sz val="12"/>
      <color indexed="36"/>
      <name val="바탕체"/>
      <family val="1"/>
      <charset val="129"/>
    </font>
    <font>
      <sz val="12"/>
      <name val="뼻뮝"/>
      <family val="3"/>
      <charset val="129"/>
    </font>
    <font>
      <sz val="8"/>
      <name val="돋움체"/>
      <family val="3"/>
      <charset val="129"/>
    </font>
    <font>
      <b/>
      <sz val="12"/>
      <color indexed="16"/>
      <name val="굴림체"/>
      <family val="3"/>
      <charset val="129"/>
    </font>
    <font>
      <sz val="11"/>
      <color indexed="8"/>
      <name val="맑은 고딕"/>
      <family val="3"/>
      <charset val="129"/>
    </font>
    <font>
      <sz val="10"/>
      <name val="명조"/>
      <family val="3"/>
      <charset val="129"/>
    </font>
    <font>
      <sz val="9"/>
      <name val="돋움"/>
      <family val="3"/>
      <charset val="129"/>
    </font>
    <font>
      <sz val="10"/>
      <color indexed="12"/>
      <name val="굴림체"/>
      <family val="3"/>
      <charset val="129"/>
    </font>
    <font>
      <sz val="12"/>
      <color indexed="24"/>
      <name val="바탕체"/>
      <family val="1"/>
      <charset val="129"/>
    </font>
    <font>
      <b/>
      <sz val="16"/>
      <name val="돋움체"/>
      <family val="3"/>
      <charset val="129"/>
    </font>
    <font>
      <sz val="1"/>
      <color indexed="0"/>
      <name val="Courier"/>
      <family val="3"/>
    </font>
    <font>
      <sz val="11"/>
      <name val="돋움체"/>
      <family val="3"/>
      <charset val="129"/>
    </font>
    <font>
      <sz val="11"/>
      <color theme="1"/>
      <name val="맑은 고딕"/>
      <family val="3"/>
      <charset val="129"/>
      <scheme val="minor"/>
    </font>
    <font>
      <sz val="10"/>
      <name val="가는으뜸체"/>
      <family val="1"/>
      <charset val="129"/>
    </font>
    <font>
      <sz val="12"/>
      <color theme="1"/>
      <name val="맑은 고딕"/>
      <family val="3"/>
      <charset val="129"/>
      <scheme val="minor"/>
    </font>
    <font>
      <b/>
      <sz val="11"/>
      <color theme="1"/>
      <name val="맑은 고딕"/>
      <family val="3"/>
      <charset val="129"/>
    </font>
    <font>
      <b/>
      <sz val="16"/>
      <color theme="1"/>
      <name val="맑은 고딕"/>
      <family val="3"/>
      <charset val="129"/>
    </font>
    <font>
      <sz val="11"/>
      <color rgb="FF000000"/>
      <name val="휴먼명조"/>
      <family val="3"/>
      <charset val="129"/>
    </font>
    <font>
      <sz val="9"/>
      <color theme="1"/>
      <name val="맑은 고딕"/>
      <family val="2"/>
      <charset val="129"/>
      <scheme val="minor"/>
    </font>
    <font>
      <sz val="11"/>
      <name val="나눔고딕"/>
      <family val="3"/>
      <charset val="129"/>
    </font>
    <font>
      <b/>
      <sz val="8"/>
      <name val="맑은 고딕"/>
      <family val="3"/>
      <charset val="129"/>
    </font>
    <font>
      <sz val="10"/>
      <color rgb="FFFF0000"/>
      <name val="맑은 고딕"/>
      <family val="3"/>
      <charset val="129"/>
      <scheme val="minor"/>
    </font>
    <font>
      <sz val="11"/>
      <color indexed="60"/>
      <name val="맑은 고딕"/>
      <family val="3"/>
      <charset val="129"/>
    </font>
    <font>
      <sz val="11"/>
      <color indexed="20"/>
      <name val="맑은 고딕"/>
      <family val="3"/>
      <charset val="129"/>
    </font>
    <font>
      <b/>
      <sz val="11"/>
      <color indexed="63"/>
      <name val="맑은 고딕"/>
      <family val="3"/>
      <charset val="129"/>
    </font>
    <font>
      <sz val="10"/>
      <color theme="1"/>
      <name val="맑은 고딕"/>
      <family val="3"/>
      <charset val="129"/>
    </font>
    <font>
      <b/>
      <u/>
      <sz val="20"/>
      <name val="HY헤드라인M"/>
      <family val="1"/>
      <charset val="129"/>
    </font>
    <font>
      <sz val="14"/>
      <name val="HY헤드라인M"/>
      <family val="1"/>
      <charset val="129"/>
    </font>
    <font>
      <b/>
      <sz val="20"/>
      <name val="맑은 고딕"/>
      <family val="3"/>
      <charset val="129"/>
    </font>
    <font>
      <b/>
      <sz val="20"/>
      <color indexed="10"/>
      <name val="맑은 고딕"/>
      <family val="3"/>
      <charset val="129"/>
    </font>
    <font>
      <b/>
      <sz val="11"/>
      <color indexed="8"/>
      <name val="맑은 고딕"/>
      <family val="3"/>
      <charset val="129"/>
    </font>
    <font>
      <b/>
      <sz val="10"/>
      <color rgb="FFFFFF00"/>
      <name val="맑은 고딕"/>
      <family val="3"/>
      <charset val="129"/>
      <scheme val="minor"/>
    </font>
    <font>
      <sz val="11"/>
      <color indexed="62"/>
      <name val="맑은 고딕"/>
      <family val="3"/>
      <charset val="129"/>
    </font>
    <font>
      <b/>
      <vertAlign val="superscript"/>
      <sz val="11"/>
      <color indexed="8"/>
      <name val="맑은 고딕"/>
      <family val="3"/>
      <charset val="129"/>
    </font>
    <font>
      <sz val="9"/>
      <color rgb="FF3F3F76"/>
      <name val="맑은 고딕"/>
      <family val="3"/>
      <charset val="129"/>
      <scheme val="minor"/>
    </font>
    <font>
      <b/>
      <vertAlign val="superscript"/>
      <sz val="11"/>
      <color rgb="FFFF0000"/>
      <name val="맑은 고딕"/>
      <family val="3"/>
      <charset val="129"/>
    </font>
    <font>
      <b/>
      <sz val="11"/>
      <color indexed="62"/>
      <name val="맑은 고딕"/>
      <family val="3"/>
      <charset val="129"/>
    </font>
    <font>
      <b/>
      <sz val="10"/>
      <color indexed="8"/>
      <name val="맑은 고딕"/>
      <family val="3"/>
      <charset val="129"/>
    </font>
    <font>
      <sz val="10"/>
      <color indexed="8"/>
      <name val="맑은 고딕"/>
      <family val="3"/>
      <charset val="129"/>
    </font>
    <font>
      <sz val="8"/>
      <color indexed="8"/>
      <name val="맑은 고딕"/>
      <family val="3"/>
      <charset val="129"/>
    </font>
    <font>
      <sz val="9"/>
      <color theme="1"/>
      <name val="맑은 고딕"/>
      <family val="3"/>
      <charset val="129"/>
      <scheme val="minor"/>
    </font>
    <font>
      <sz val="8"/>
      <color rgb="FFFF0000"/>
      <name val="맑은 고딕"/>
      <family val="3"/>
      <charset val="129"/>
    </font>
    <font>
      <sz val="9"/>
      <color indexed="8"/>
      <name val="맑은 고딕"/>
      <family val="3"/>
      <charset val="129"/>
    </font>
    <font>
      <sz val="8"/>
      <color theme="1"/>
      <name val="맑은 고딕"/>
      <family val="3"/>
      <charset val="129"/>
      <scheme val="minor"/>
    </font>
    <font>
      <u/>
      <sz val="8"/>
      <color indexed="62"/>
      <name val="맑은 고딕"/>
      <family val="3"/>
      <charset val="129"/>
    </font>
    <font>
      <b/>
      <sz val="10"/>
      <color theme="1"/>
      <name val="맑은 고딕"/>
      <family val="2"/>
      <charset val="129"/>
      <scheme val="minor"/>
    </font>
    <font>
      <b/>
      <sz val="20"/>
      <color indexed="8"/>
      <name val="HY헤드라인M"/>
      <family val="1"/>
      <charset val="129"/>
    </font>
    <font>
      <b/>
      <sz val="20"/>
      <color indexed="8"/>
      <name val="맑은 고딕"/>
      <family val="3"/>
      <charset val="129"/>
    </font>
    <font>
      <sz val="11"/>
      <color indexed="8"/>
      <name val="맑은 고딕"/>
      <family val="3"/>
      <charset val="129"/>
      <scheme val="minor"/>
    </font>
    <font>
      <b/>
      <sz val="11"/>
      <color indexed="8"/>
      <name val="맑은 고딕"/>
      <family val="3"/>
      <charset val="129"/>
      <scheme val="minor"/>
    </font>
    <font>
      <b/>
      <sz val="11"/>
      <color indexed="10"/>
      <name val="맑은 고딕"/>
      <family val="3"/>
      <charset val="129"/>
      <scheme val="minor"/>
    </font>
    <font>
      <sz val="11"/>
      <color rgb="FFFF0000"/>
      <name val="맑은 고딕"/>
      <family val="3"/>
      <charset val="129"/>
      <scheme val="minor"/>
    </font>
    <font>
      <b/>
      <sz val="10"/>
      <color theme="1"/>
      <name val="맑은 고딕"/>
      <family val="3"/>
      <charset val="129"/>
      <scheme val="major"/>
    </font>
    <font>
      <sz val="10"/>
      <color theme="1"/>
      <name val="맑은 고딕"/>
      <family val="3"/>
      <charset val="129"/>
      <scheme val="major"/>
    </font>
    <font>
      <sz val="11"/>
      <color rgb="FF000000"/>
      <name val="맑은 고딕"/>
      <family val="3"/>
      <charset val="129"/>
      <scheme val="minor"/>
    </font>
    <font>
      <sz val="10"/>
      <color rgb="FF000000"/>
      <name val="-윤고딕110"/>
      <family val="1"/>
      <charset val="129"/>
    </font>
    <font>
      <sz val="10"/>
      <color rgb="FF000000"/>
      <name val="바탕"/>
      <family val="1"/>
      <charset val="129"/>
    </font>
    <font>
      <u/>
      <sz val="16"/>
      <name val="HY헤드라인M"/>
      <family val="1"/>
      <charset val="129"/>
    </font>
    <font>
      <b/>
      <sz val="14"/>
      <name val="맑은 고딕"/>
      <family val="3"/>
      <charset val="129"/>
      <scheme val="minor"/>
    </font>
    <font>
      <sz val="20"/>
      <name val="맑은 고딕"/>
      <family val="3"/>
      <charset val="129"/>
      <scheme val="minor"/>
    </font>
    <font>
      <b/>
      <sz val="15"/>
      <name val="맑은 고딕"/>
      <family val="3"/>
      <charset val="129"/>
      <scheme val="minor"/>
    </font>
    <font>
      <sz val="15"/>
      <name val="맑은 고딕"/>
      <family val="3"/>
      <charset val="129"/>
      <scheme val="minor"/>
    </font>
    <font>
      <sz val="11"/>
      <name val="맑은 고딕"/>
      <family val="3"/>
      <charset val="129"/>
      <scheme val="major"/>
    </font>
    <font>
      <sz val="11"/>
      <color theme="1"/>
      <name val="맑은 고딕"/>
      <family val="3"/>
      <charset val="129"/>
      <scheme val="major"/>
    </font>
    <font>
      <sz val="11"/>
      <color theme="1"/>
      <name val="맑은 고딕"/>
      <family val="3"/>
      <charset val="129"/>
    </font>
    <font>
      <sz val="11"/>
      <color rgb="FF000000"/>
      <name val="맑은 고딕"/>
      <family val="3"/>
      <charset val="129"/>
      <scheme val="major"/>
    </font>
    <font>
      <sz val="16"/>
      <name val="HY헤드라인M"/>
      <family val="1"/>
      <charset val="129"/>
    </font>
    <font>
      <u/>
      <sz val="8"/>
      <color indexed="12"/>
      <name val="맑은 고딕"/>
      <family val="3"/>
      <charset val="129"/>
    </font>
    <font>
      <b/>
      <sz val="10"/>
      <color theme="1"/>
      <name val="맑은 고딕"/>
      <family val="3"/>
      <charset val="129"/>
    </font>
    <font>
      <b/>
      <sz val="9"/>
      <color indexed="81"/>
      <name val="Tahoma"/>
      <family val="2"/>
    </font>
    <font>
      <sz val="9"/>
      <color indexed="81"/>
      <name val="Tahoma"/>
      <family val="2"/>
    </font>
    <font>
      <sz val="9"/>
      <color indexed="81"/>
      <name val="돋움"/>
      <family val="3"/>
      <charset val="129"/>
    </font>
    <font>
      <b/>
      <u/>
      <sz val="20"/>
      <name val="돋움"/>
      <family val="3"/>
      <charset val="129"/>
    </font>
    <font>
      <b/>
      <sz val="11"/>
      <name val="돋움"/>
      <family val="3"/>
      <charset val="129"/>
    </font>
    <font>
      <b/>
      <sz val="14"/>
      <name val="돋움"/>
      <family val="3"/>
      <charset val="129"/>
    </font>
    <font>
      <b/>
      <sz val="12"/>
      <name val="돋움"/>
      <family val="3"/>
      <charset val="129"/>
    </font>
    <font>
      <b/>
      <sz val="11"/>
      <color rgb="FFFF0000"/>
      <name val="돋움"/>
      <family val="3"/>
      <charset val="129"/>
    </font>
    <font>
      <sz val="11"/>
      <color rgb="FFFF0000"/>
      <name val="돋움"/>
      <family val="3"/>
      <charset val="129"/>
    </font>
    <font>
      <sz val="20"/>
      <color theme="1"/>
      <name val="HY울릉도M"/>
      <family val="1"/>
      <charset val="129"/>
    </font>
    <font>
      <sz val="10"/>
      <color rgb="FF000000"/>
      <name val="맑은 고딕"/>
      <family val="3"/>
      <charset val="129"/>
      <scheme val="minor"/>
    </font>
    <font>
      <b/>
      <sz val="10"/>
      <color rgb="FF000000"/>
      <name val="맑은 고딕"/>
      <family val="3"/>
      <charset val="129"/>
      <scheme val="minor"/>
    </font>
    <font>
      <sz val="11"/>
      <color indexed="12"/>
      <name val="돋움"/>
      <family val="3"/>
      <charset val="129"/>
    </font>
    <font>
      <u/>
      <sz val="22"/>
      <name val="돋움"/>
      <family val="3"/>
      <charset val="129"/>
    </font>
    <font>
      <b/>
      <sz val="16"/>
      <name val="돋움"/>
      <family val="3"/>
      <charset val="129"/>
    </font>
    <font>
      <sz val="10"/>
      <color indexed="10"/>
      <name val="돋움"/>
      <family val="3"/>
      <charset val="129"/>
    </font>
    <font>
      <b/>
      <sz val="20"/>
      <name val="HY헤드라인M"/>
      <family val="1"/>
      <charset val="129"/>
    </font>
    <font>
      <b/>
      <sz val="25"/>
      <name val="돋움"/>
      <family val="3"/>
      <charset val="129"/>
    </font>
    <font>
      <sz val="25"/>
      <name val="돋움"/>
      <family val="3"/>
      <charset val="129"/>
    </font>
    <font>
      <b/>
      <sz val="18"/>
      <name val="돋움"/>
      <family val="3"/>
      <charset val="129"/>
    </font>
    <font>
      <b/>
      <sz val="11"/>
      <color indexed="8"/>
      <name val="돋움"/>
      <family val="3"/>
      <charset val="129"/>
    </font>
    <font>
      <sz val="9"/>
      <color indexed="8"/>
      <name val="돋움"/>
      <family val="3"/>
      <charset val="129"/>
    </font>
    <font>
      <b/>
      <sz val="12"/>
      <color indexed="8"/>
      <name val="돋움"/>
      <family val="3"/>
      <charset val="129"/>
    </font>
    <font>
      <sz val="8"/>
      <name val="바탕"/>
      <family val="1"/>
      <charset val="129"/>
    </font>
    <font>
      <sz val="12"/>
      <color indexed="8"/>
      <name val="돋움"/>
      <family val="3"/>
      <charset val="129"/>
    </font>
    <font>
      <b/>
      <sz val="20"/>
      <name val="굴림체"/>
      <family val="3"/>
      <charset val="129"/>
    </font>
    <font>
      <sz val="13"/>
      <name val="굴림체"/>
      <family val="3"/>
      <charset val="129"/>
    </font>
    <font>
      <b/>
      <sz val="13"/>
      <name val="굴림체"/>
      <family val="3"/>
      <charset val="129"/>
    </font>
    <font>
      <sz val="14"/>
      <name val="굴림체"/>
      <family val="3"/>
      <charset val="129"/>
    </font>
    <font>
      <sz val="12"/>
      <name val="돋움체"/>
      <family val="3"/>
      <charset val="129"/>
    </font>
    <font>
      <i/>
      <sz val="12"/>
      <name val="굴림체"/>
      <family val="3"/>
      <charset val="129"/>
    </font>
    <font>
      <u/>
      <sz val="10"/>
      <color indexed="14"/>
      <name val="MS Sans Serif"/>
      <family val="2"/>
    </font>
    <font>
      <sz val="12"/>
      <name val="¹????¼"/>
      <family val="1"/>
      <charset val="129"/>
    </font>
    <font>
      <sz val="10"/>
      <color indexed="8"/>
      <name val="Helv"/>
      <family val="2"/>
    </font>
    <font>
      <b/>
      <sz val="12"/>
      <name val="바탕체"/>
      <family val="1"/>
      <charset val="129"/>
    </font>
    <font>
      <b/>
      <u/>
      <sz val="16"/>
      <name val="돋움"/>
      <family val="3"/>
      <charset val="129"/>
    </font>
    <font>
      <sz val="10"/>
      <name val="한양중고딕"/>
      <family val="1"/>
      <charset val="129"/>
    </font>
    <font>
      <sz val="12"/>
      <name val="宋体"/>
      <family val="3"/>
      <charset val="129"/>
    </font>
    <font>
      <b/>
      <sz val="10"/>
      <name val="바탕체"/>
      <family val="1"/>
      <charset val="129"/>
    </font>
    <font>
      <b/>
      <sz val="18"/>
      <name val="바탕체"/>
      <family val="1"/>
      <charset val="129"/>
    </font>
    <font>
      <sz val="9"/>
      <color indexed="8"/>
      <name val="Arial"/>
      <family val="2"/>
    </font>
    <font>
      <u/>
      <sz val="11"/>
      <color indexed="36"/>
      <name val="돋움"/>
      <family val="3"/>
      <charset val="129"/>
    </font>
    <font>
      <sz val="10"/>
      <name val="궁서(English)"/>
      <family val="3"/>
      <charset val="129"/>
    </font>
    <font>
      <sz val="12"/>
      <name val="견고딕"/>
      <family val="1"/>
      <charset val="129"/>
    </font>
    <font>
      <sz val="12"/>
      <color indexed="8"/>
      <name val="新細明體"/>
      <family val="1"/>
      <charset val="255"/>
    </font>
    <font>
      <sz val="11"/>
      <name val="굴림"/>
      <family val="3"/>
      <charset val="129"/>
    </font>
    <font>
      <b/>
      <sz val="15"/>
      <color indexed="62"/>
      <name val="맑은 고딕"/>
      <family val="3"/>
      <charset val="129"/>
    </font>
    <font>
      <sz val="17"/>
      <name val="바탕체"/>
      <family val="1"/>
      <charset val="129"/>
    </font>
    <font>
      <sz val="10"/>
      <name val="굴림"/>
      <family val="3"/>
      <charset val="129"/>
    </font>
    <font>
      <sz val="11"/>
      <color theme="1"/>
      <name val="돋움"/>
      <family val="3"/>
      <charset val="129"/>
    </font>
    <font>
      <sz val="11"/>
      <name val="ＤＦ細丸ゴシック体"/>
      <family val="3"/>
      <charset val="128"/>
    </font>
    <font>
      <sz val="9"/>
      <name val="굴림체"/>
      <family val="3"/>
      <charset val="129"/>
    </font>
    <font>
      <sz val="10"/>
      <name val="μ¸¿oA¼"/>
      <family val="3"/>
      <charset val="129"/>
    </font>
    <font>
      <sz val="8"/>
      <name val="¹UAAA¼"/>
      <family val="3"/>
      <charset val="129"/>
    </font>
    <font>
      <sz val="10"/>
      <name val="±¼¸²Ã¼"/>
      <family val="3"/>
      <charset val="129"/>
    </font>
    <font>
      <u/>
      <sz val="7.5"/>
      <color indexed="12"/>
      <name val="±¼¸²A¼"/>
      <family val="3"/>
      <charset val="129"/>
    </font>
    <font>
      <b/>
      <i/>
      <sz val="11"/>
      <name val="Times New Roman"/>
      <family val="1"/>
    </font>
    <font>
      <b/>
      <sz val="10"/>
      <name val="Arial"/>
      <family val="2"/>
    </font>
    <font>
      <b/>
      <i/>
      <sz val="10"/>
      <name val="Times New Roman"/>
      <family val="1"/>
    </font>
    <font>
      <sz val="10"/>
      <name val="Univers (WN)"/>
      <family val="2"/>
    </font>
    <font>
      <b/>
      <i/>
      <sz val="12"/>
      <name val="Times New Roman"/>
      <family val="1"/>
    </font>
    <font>
      <sz val="12"/>
      <name val="Helv"/>
      <family val="2"/>
    </font>
    <font>
      <sz val="12"/>
      <color indexed="8"/>
      <name val="Times New Roman"/>
      <family val="1"/>
    </font>
    <font>
      <sz val="24"/>
      <name val="Courier New"/>
      <family val="3"/>
    </font>
    <font>
      <b/>
      <i/>
      <sz val="9"/>
      <name val="Times New Roman"/>
      <family val="1"/>
    </font>
    <font>
      <sz val="18"/>
      <color indexed="12"/>
      <name val="MS Sans Serif"/>
      <family val="2"/>
    </font>
    <font>
      <u/>
      <sz val="10"/>
      <color indexed="36"/>
      <name val="Arial"/>
      <family val="2"/>
    </font>
  </fonts>
  <fills count="4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indexed="26"/>
        <bgColor indexed="64"/>
      </patternFill>
    </fill>
    <fill>
      <patternFill patternType="solid">
        <fgColor indexed="41"/>
        <bgColor indexed="64"/>
      </patternFill>
    </fill>
    <fill>
      <patternFill patternType="solid">
        <fgColor indexed="13"/>
        <bgColor indexed="64"/>
      </patternFill>
    </fill>
    <fill>
      <patternFill patternType="solid">
        <fgColor rgb="FFE5E5E5"/>
        <bgColor indexed="64"/>
      </patternFill>
    </fill>
    <fill>
      <patternFill patternType="solid">
        <fgColor rgb="FFF2F2F2"/>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indexed="44"/>
        <bgColor indexed="64"/>
      </patternFill>
    </fill>
    <fill>
      <patternFill patternType="solid">
        <fgColor indexed="5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8"/>
      </patternFill>
    </fill>
    <fill>
      <patternFill patternType="gray0625">
        <fgColor indexed="11"/>
        <bgColor indexed="15"/>
      </patternFill>
    </fill>
    <fill>
      <patternFill patternType="solid">
        <fgColor indexed="58"/>
        <bgColor indexed="64"/>
      </patternFill>
    </fill>
    <fill>
      <patternFill patternType="solid">
        <fgColor indexed="43"/>
      </patternFill>
    </fill>
    <fill>
      <patternFill patternType="solid">
        <fgColor indexed="45"/>
      </patternFill>
    </fill>
    <fill>
      <patternFill patternType="solid">
        <fgColor indexed="22"/>
      </patternFill>
    </fill>
    <fill>
      <patternFill patternType="solid">
        <fgColor rgb="FFFCD5B4"/>
        <bgColor indexed="64"/>
      </patternFill>
    </fill>
    <fill>
      <patternFill patternType="solid">
        <fgColor rgb="FFC5D9F1"/>
        <bgColor indexed="64"/>
      </patternFill>
    </fill>
    <fill>
      <patternFill patternType="solid">
        <fgColor rgb="FFEAEAEA"/>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indexed="42"/>
        <bgColor indexed="64"/>
      </patternFill>
    </fill>
    <fill>
      <patternFill patternType="solid">
        <fgColor indexed="50"/>
        <bgColor indexed="64"/>
      </patternFill>
    </fill>
    <fill>
      <patternFill patternType="solid">
        <fgColor indexed="10"/>
        <bgColor indexed="64"/>
      </patternFill>
    </fill>
    <fill>
      <patternFill patternType="solid">
        <fgColor indexed="55"/>
        <bgColor indexed="64"/>
      </patternFill>
    </fill>
    <fill>
      <patternFill patternType="solid">
        <fgColor indexed="26"/>
      </patternFill>
    </fill>
  </fills>
  <borders count="2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diagonal/>
    </border>
    <border>
      <left style="medium">
        <color indexed="64"/>
      </left>
      <right style="thin">
        <color indexed="64"/>
      </right>
      <top style="thin">
        <color indexed="64"/>
      </top>
      <bottom/>
      <diagonal/>
    </border>
    <border>
      <left/>
      <right style="thin">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medium">
        <color indexed="64"/>
      </left>
      <right style="thin">
        <color indexed="8"/>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style="thin">
        <color indexed="8"/>
      </left>
      <right style="medium">
        <color indexed="64"/>
      </right>
      <top style="medium">
        <color indexed="64"/>
      </top>
      <bottom style="medium">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rgb="FF000000"/>
      </left>
      <right/>
      <top style="medium">
        <color rgb="FF000000"/>
      </top>
      <bottom/>
      <diagonal/>
    </border>
    <border>
      <left/>
      <right style="thin">
        <color rgb="FF000000"/>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rgb="FF000000"/>
      </right>
      <top style="thin">
        <color rgb="FF000000"/>
      </top>
      <bottom style="thin">
        <color rgb="FF000000"/>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diagonal/>
    </border>
    <border>
      <left style="thin">
        <color rgb="FF000000"/>
      </left>
      <right style="thin">
        <color rgb="FF000000"/>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hair">
        <color indexed="64"/>
      </bottom>
      <diagonal/>
    </border>
    <border>
      <left/>
      <right/>
      <top style="double">
        <color indexed="64"/>
      </top>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right/>
      <top style="thin">
        <color indexed="64"/>
      </top>
      <bottom style="double">
        <color indexed="64"/>
      </bottom>
      <diagonal/>
    </border>
    <border>
      <left/>
      <right/>
      <top/>
      <bottom style="medium">
        <color indexed="9"/>
      </bottom>
      <diagonal/>
    </border>
    <border>
      <left style="thin">
        <color rgb="FF000000"/>
      </left>
      <right style="medium">
        <color rgb="FF000000"/>
      </right>
      <top/>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diagonal/>
    </border>
    <border>
      <left style="medium">
        <color indexed="64"/>
      </left>
      <right style="medium">
        <color indexed="64"/>
      </right>
      <top style="thin">
        <color indexed="64"/>
      </top>
      <bottom/>
      <diagonal/>
    </border>
    <border>
      <left/>
      <right/>
      <top style="double">
        <color indexed="64"/>
      </top>
      <bottom style="thin">
        <color indexed="64"/>
      </bottom>
      <diagonal/>
    </border>
    <border>
      <left/>
      <right/>
      <top/>
      <bottom style="thin">
        <color rgb="FF00000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style="thin">
        <color rgb="FF000000"/>
      </top>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double">
        <color indexed="64"/>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bottom style="thick">
        <color indexed="48"/>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double">
        <color indexed="64"/>
      </top>
      <bottom style="double">
        <color indexed="64"/>
      </bottom>
      <diagonal/>
    </border>
    <border>
      <left/>
      <right/>
      <top style="thin">
        <color auto="1"/>
      </top>
      <bottom style="thin">
        <color auto="1"/>
      </bottom>
      <diagonal/>
    </border>
  </borders>
  <cellStyleXfs count="2633">
    <xf numFmtId="0" fontId="0" fillId="0" borderId="0">
      <alignment vertical="center"/>
    </xf>
    <xf numFmtId="41" fontId="1" fillId="0" borderId="0" applyFont="0" applyFill="0" applyBorder="0" applyAlignment="0" applyProtection="0">
      <alignment vertical="center"/>
    </xf>
    <xf numFmtId="0" fontId="3" fillId="0" borderId="0"/>
    <xf numFmtId="0" fontId="3" fillId="0" borderId="0">
      <alignment vertical="center"/>
    </xf>
    <xf numFmtId="41" fontId="3"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5" fillId="0" borderId="0" applyNumberFormat="0" applyFill="0" applyBorder="0" applyAlignment="0" applyProtection="0">
      <alignment vertical="top"/>
      <protection locked="0"/>
    </xf>
    <xf numFmtId="0" fontId="3" fillId="0" borderId="0">
      <alignment vertical="center"/>
    </xf>
    <xf numFmtId="0" fontId="3" fillId="0" borderId="0"/>
    <xf numFmtId="0" fontId="48" fillId="13" borderId="93" applyNumberFormat="0" applyAlignment="0" applyProtection="0">
      <alignment vertical="center"/>
    </xf>
    <xf numFmtId="0" fontId="3" fillId="0" borderId="0"/>
    <xf numFmtId="41" fontId="3" fillId="0" borderId="0" applyFont="0" applyFill="0" applyBorder="0" applyAlignment="0" applyProtection="0"/>
    <xf numFmtId="0" fontId="3" fillId="0" borderId="0"/>
    <xf numFmtId="38" fontId="60" fillId="0" borderId="11">
      <alignment horizontal="right"/>
    </xf>
    <xf numFmtId="189" fontId="3" fillId="0" borderId="8">
      <alignment vertical="center"/>
    </xf>
    <xf numFmtId="0" fontId="60" fillId="0" borderId="0"/>
    <xf numFmtId="0" fontId="60" fillId="0" borderId="0"/>
    <xf numFmtId="0" fontId="61" fillId="0" borderId="0"/>
    <xf numFmtId="0" fontId="61" fillId="0" borderId="0" applyNumberFormat="0" applyFill="0" applyBorder="0" applyAlignment="0" applyProtection="0"/>
    <xf numFmtId="0" fontId="60" fillId="0" borderId="0"/>
    <xf numFmtId="0" fontId="61" fillId="0" borderId="0"/>
    <xf numFmtId="0" fontId="61" fillId="0" borderId="0"/>
    <xf numFmtId="0" fontId="61" fillId="0" borderId="0"/>
    <xf numFmtId="0" fontId="61" fillId="0" borderId="0"/>
    <xf numFmtId="0" fontId="60" fillId="0" borderId="0"/>
    <xf numFmtId="0" fontId="61" fillId="0" borderId="0"/>
    <xf numFmtId="0" fontId="60" fillId="0" borderId="0"/>
    <xf numFmtId="0" fontId="62" fillId="0" borderId="0"/>
    <xf numFmtId="0" fontId="61" fillId="0" borderId="0"/>
    <xf numFmtId="0" fontId="63" fillId="0" borderId="0"/>
    <xf numFmtId="0" fontId="63" fillId="0" borderId="0"/>
    <xf numFmtId="0" fontId="60" fillId="0" borderId="0"/>
    <xf numFmtId="0" fontId="62" fillId="0" borderId="0"/>
    <xf numFmtId="0" fontId="60" fillId="0" borderId="0"/>
    <xf numFmtId="0" fontId="61" fillId="0" borderId="0"/>
    <xf numFmtId="0" fontId="3" fillId="0" borderId="0"/>
    <xf numFmtId="0" fontId="3" fillId="0" borderId="0"/>
    <xf numFmtId="0" fontId="3" fillId="0" borderId="0"/>
    <xf numFmtId="0" fontId="62" fillId="0" borderId="0"/>
    <xf numFmtId="0" fontId="61" fillId="0" borderId="0"/>
    <xf numFmtId="0" fontId="63" fillId="0" borderId="0"/>
    <xf numFmtId="0" fontId="63" fillId="0" borderId="0"/>
    <xf numFmtId="0" fontId="61" fillId="0" borderId="0"/>
    <xf numFmtId="0" fontId="64" fillId="0" borderId="0"/>
    <xf numFmtId="0" fontId="60" fillId="0" borderId="0"/>
    <xf numFmtId="0" fontId="60" fillId="0" borderId="0"/>
    <xf numFmtId="0" fontId="3" fillId="0" borderId="0"/>
    <xf numFmtId="0" fontId="3" fillId="0" borderId="0"/>
    <xf numFmtId="0" fontId="3" fillId="0" borderId="0"/>
    <xf numFmtId="0" fontId="62" fillId="0" borderId="0"/>
    <xf numFmtId="0" fontId="61" fillId="0" borderId="0"/>
    <xf numFmtId="0" fontId="64" fillId="0" borderId="0"/>
    <xf numFmtId="0" fontId="61" fillId="0" borderId="0"/>
    <xf numFmtId="0" fontId="61" fillId="0" borderId="0"/>
    <xf numFmtId="0" fontId="64" fillId="0" borderId="0"/>
    <xf numFmtId="0" fontId="64" fillId="0" borderId="0"/>
    <xf numFmtId="0" fontId="63" fillId="0" borderId="0"/>
    <xf numFmtId="0" fontId="61" fillId="0" borderId="0"/>
    <xf numFmtId="0" fontId="65" fillId="0" borderId="0"/>
    <xf numFmtId="0" fontId="61"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60" fillId="0" borderId="0"/>
    <xf numFmtId="0" fontId="60" fillId="0" borderId="0"/>
    <xf numFmtId="0" fontId="60" fillId="0" borderId="0"/>
    <xf numFmtId="0" fontId="61" fillId="0" borderId="0"/>
    <xf numFmtId="0" fontId="60" fillId="0" borderId="0"/>
    <xf numFmtId="0" fontId="60" fillId="0" borderId="0"/>
    <xf numFmtId="0" fontId="61" fillId="0" borderId="0"/>
    <xf numFmtId="0" fontId="63" fillId="0" borderId="0"/>
    <xf numFmtId="0" fontId="62" fillId="0" borderId="0"/>
    <xf numFmtId="0" fontId="64" fillId="0" borderId="0"/>
    <xf numFmtId="0" fontId="64" fillId="0" borderId="0"/>
    <xf numFmtId="0" fontId="61" fillId="0" borderId="0"/>
    <xf numFmtId="0" fontId="61" fillId="0" borderId="0"/>
    <xf numFmtId="0" fontId="61" fillId="0" borderId="0"/>
    <xf numFmtId="0" fontId="61" fillId="0" borderId="0"/>
    <xf numFmtId="0" fontId="61" fillId="0" borderId="0"/>
    <xf numFmtId="0" fontId="63"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1" fillId="0" borderId="0"/>
    <xf numFmtId="0" fontId="63" fillId="0" borderId="0"/>
    <xf numFmtId="0" fontId="62" fillId="0" borderId="0"/>
    <xf numFmtId="0" fontId="63" fillId="0" borderId="0"/>
    <xf numFmtId="0" fontId="61" fillId="0" borderId="0"/>
    <xf numFmtId="0" fontId="61" fillId="0" borderId="0"/>
    <xf numFmtId="0" fontId="61" fillId="0" borderId="0"/>
    <xf numFmtId="0" fontId="63" fillId="0" borderId="0"/>
    <xf numFmtId="0" fontId="63" fillId="0" borderId="0"/>
    <xf numFmtId="0" fontId="61" fillId="0" borderId="0"/>
    <xf numFmtId="0" fontId="63" fillId="0" borderId="0"/>
    <xf numFmtId="0" fontId="61" fillId="0" borderId="0"/>
    <xf numFmtId="0" fontId="63" fillId="0" borderId="0"/>
    <xf numFmtId="0" fontId="61" fillId="0" borderId="0"/>
    <xf numFmtId="0" fontId="63" fillId="0" borderId="0"/>
    <xf numFmtId="0" fontId="61" fillId="0" borderId="0"/>
    <xf numFmtId="0" fontId="62" fillId="0" borderId="0"/>
    <xf numFmtId="0" fontId="61" fillId="0" borderId="0"/>
    <xf numFmtId="0" fontId="61" fillId="0" borderId="0"/>
    <xf numFmtId="0" fontId="63" fillId="0" borderId="0"/>
    <xf numFmtId="0" fontId="3" fillId="0" borderId="0"/>
    <xf numFmtId="0" fontId="3" fillId="0" borderId="0"/>
    <xf numFmtId="0" fontId="3" fillId="0" borderId="0"/>
    <xf numFmtId="0" fontId="3" fillId="0" borderId="0"/>
    <xf numFmtId="0" fontId="60" fillId="0" borderId="0"/>
    <xf numFmtId="0" fontId="60" fillId="0" borderId="0"/>
    <xf numFmtId="0" fontId="60" fillId="0" borderId="0"/>
    <xf numFmtId="0" fontId="60" fillId="0" borderId="0"/>
    <xf numFmtId="0" fontId="61" fillId="0" borderId="0"/>
    <xf numFmtId="0" fontId="60" fillId="0" borderId="0"/>
    <xf numFmtId="0" fontId="60" fillId="0" borderId="0"/>
    <xf numFmtId="0" fontId="60" fillId="0" borderId="0"/>
    <xf numFmtId="0" fontId="60" fillId="0" borderId="0"/>
    <xf numFmtId="0" fontId="59" fillId="0" borderId="0"/>
    <xf numFmtId="0" fontId="61" fillId="0" borderId="0"/>
    <xf numFmtId="0" fontId="61" fillId="0" borderId="0"/>
    <xf numFmtId="0" fontId="60" fillId="0" borderId="0"/>
    <xf numFmtId="176" fontId="3" fillId="0" borderId="0">
      <protection locked="0"/>
    </xf>
    <xf numFmtId="0" fontId="66" fillId="0" borderId="0">
      <protection locked="0"/>
    </xf>
    <xf numFmtId="0" fontId="61" fillId="0" borderId="0" applyFont="0" applyFill="0" applyBorder="0" applyAlignment="0" applyProtection="0"/>
    <xf numFmtId="0" fontId="61" fillId="0" borderId="0" applyFont="0" applyFill="0" applyBorder="0" applyAlignment="0" applyProtection="0"/>
    <xf numFmtId="0" fontId="67" fillId="0" borderId="0"/>
    <xf numFmtId="208" fontId="3" fillId="0" borderId="0" applyFont="0" applyFill="0" applyBorder="0" applyProtection="0">
      <alignment vertical="center"/>
    </xf>
    <xf numFmtId="209" fontId="3" fillId="0" borderId="0">
      <alignment vertical="center"/>
    </xf>
    <xf numFmtId="176" fontId="3" fillId="0" borderId="0">
      <protection locked="0"/>
    </xf>
    <xf numFmtId="210" fontId="66" fillId="0" borderId="0">
      <protection locked="0"/>
    </xf>
    <xf numFmtId="176" fontId="3" fillId="0" borderId="0">
      <protection locked="0"/>
    </xf>
    <xf numFmtId="0" fontId="68" fillId="0" borderId="0">
      <protection locked="0"/>
    </xf>
    <xf numFmtId="0" fontId="68" fillId="0" borderId="0">
      <protection locked="0"/>
    </xf>
    <xf numFmtId="211" fontId="6" fillId="0" borderId="8">
      <alignment vertical="center"/>
    </xf>
    <xf numFmtId="212" fontId="60" fillId="0" borderId="0">
      <alignment vertical="center"/>
    </xf>
    <xf numFmtId="41" fontId="60" fillId="0" borderId="0">
      <alignment horizontal="center" vertical="center"/>
    </xf>
    <xf numFmtId="213" fontId="69" fillId="0" borderId="0">
      <alignment horizontal="center" vertical="center"/>
    </xf>
    <xf numFmtId="188" fontId="3" fillId="0" borderId="7" applyBorder="0">
      <alignment vertical="center" wrapText="1"/>
    </xf>
    <xf numFmtId="176" fontId="3" fillId="0" borderId="0">
      <protection locked="0"/>
    </xf>
    <xf numFmtId="0" fontId="66" fillId="0" borderId="0">
      <protection locked="0"/>
    </xf>
    <xf numFmtId="9" fontId="60" fillId="0" borderId="0">
      <protection locked="0"/>
    </xf>
    <xf numFmtId="214" fontId="3" fillId="0" borderId="8">
      <alignment vertical="center"/>
    </xf>
    <xf numFmtId="214" fontId="3" fillId="0" borderId="8">
      <alignment vertical="center"/>
    </xf>
    <xf numFmtId="0" fontId="71" fillId="0" borderId="0" applyNumberFormat="0" applyFont="0" applyBorder="0" applyAlignment="0">
      <alignment vertical="center"/>
    </xf>
    <xf numFmtId="0" fontId="3" fillId="0" borderId="0">
      <protection locked="0"/>
    </xf>
    <xf numFmtId="0" fontId="73" fillId="0" borderId="0" applyFont="0" applyFill="0" applyBorder="0" applyAlignment="0" applyProtection="0"/>
    <xf numFmtId="37" fontId="74" fillId="0" borderId="0" applyFont="0" applyFill="0" applyBorder="0" applyAlignment="0" applyProtection="0"/>
    <xf numFmtId="0" fontId="73" fillId="0" borderId="0" applyFont="0" applyFill="0" applyBorder="0" applyAlignment="0" applyProtection="0"/>
    <xf numFmtId="37" fontId="74" fillId="0" borderId="0" applyFont="0" applyFill="0" applyBorder="0" applyAlignment="0" applyProtection="0"/>
    <xf numFmtId="176" fontId="3" fillId="0" borderId="0">
      <protection locked="0"/>
    </xf>
    <xf numFmtId="215" fontId="66" fillId="0" borderId="0">
      <protection locked="0"/>
    </xf>
    <xf numFmtId="0" fontId="63" fillId="0" borderId="0"/>
    <xf numFmtId="0" fontId="73" fillId="0" borderId="0" applyFont="0" applyFill="0" applyBorder="0" applyAlignment="0" applyProtection="0"/>
    <xf numFmtId="37" fontId="74" fillId="0" borderId="0" applyFont="0" applyFill="0" applyBorder="0" applyAlignment="0" applyProtection="0"/>
    <xf numFmtId="0" fontId="73" fillId="0" borderId="0" applyFont="0" applyFill="0" applyBorder="0" applyAlignment="0" applyProtection="0"/>
    <xf numFmtId="37" fontId="74" fillId="0" borderId="0" applyFont="0" applyFill="0" applyBorder="0" applyAlignment="0" applyProtection="0"/>
    <xf numFmtId="4" fontId="66" fillId="0" borderId="0">
      <protection locked="0"/>
    </xf>
    <xf numFmtId="216" fontId="66" fillId="0" borderId="0">
      <protection locked="0"/>
    </xf>
    <xf numFmtId="176" fontId="3" fillId="0" borderId="0">
      <protection locked="0"/>
    </xf>
    <xf numFmtId="176" fontId="3" fillId="0" borderId="0">
      <protection locked="0"/>
    </xf>
    <xf numFmtId="0" fontId="75" fillId="0" borderId="0"/>
    <xf numFmtId="217" fontId="60" fillId="0" borderId="0" applyFill="0" applyBorder="0" applyAlignment="0"/>
    <xf numFmtId="218" fontId="3" fillId="0" borderId="0" applyFill="0" applyBorder="0" applyAlignment="0"/>
    <xf numFmtId="219" fontId="3" fillId="0" borderId="0" applyFill="0" applyBorder="0" applyAlignment="0"/>
    <xf numFmtId="220" fontId="3" fillId="0" borderId="0" applyFill="0" applyBorder="0" applyAlignment="0"/>
    <xf numFmtId="221" fontId="3" fillId="0" borderId="0" applyFill="0" applyBorder="0" applyAlignment="0"/>
    <xf numFmtId="222" fontId="3" fillId="0" borderId="0" applyFill="0" applyBorder="0" applyAlignment="0"/>
    <xf numFmtId="223" fontId="3" fillId="0" borderId="0" applyFill="0" applyBorder="0" applyAlignment="0"/>
    <xf numFmtId="224" fontId="3" fillId="0" borderId="0" applyFill="0" applyBorder="0" applyAlignment="0"/>
    <xf numFmtId="0" fontId="76" fillId="0" borderId="0"/>
    <xf numFmtId="0" fontId="66" fillId="0" borderId="142">
      <protection locked="0"/>
    </xf>
    <xf numFmtId="176" fontId="3" fillId="0" borderId="142">
      <protection locked="0"/>
    </xf>
    <xf numFmtId="4" fontId="66" fillId="0" borderId="0">
      <protection locked="0"/>
    </xf>
    <xf numFmtId="0" fontId="63" fillId="0" borderId="0" applyFont="0" applyFill="0" applyBorder="0" applyAlignment="0" applyProtection="0"/>
    <xf numFmtId="222" fontId="3" fillId="0" borderId="0" applyFont="0" applyFill="0" applyBorder="0" applyAlignment="0" applyProtection="0"/>
    <xf numFmtId="225" fontId="60" fillId="0" borderId="0">
      <protection locked="0"/>
    </xf>
    <xf numFmtId="225" fontId="60" fillId="0" borderId="0">
      <protection locked="0"/>
    </xf>
    <xf numFmtId="225" fontId="60" fillId="0" borderId="0">
      <protection locked="0"/>
    </xf>
    <xf numFmtId="226" fontId="62" fillId="0" borderId="0"/>
    <xf numFmtId="3" fontId="61" fillId="0" borderId="0" applyFont="0" applyFill="0" applyBorder="0" applyAlignment="0" applyProtection="0"/>
    <xf numFmtId="227" fontId="77" fillId="0" borderId="0" applyFont="0" applyFill="0" applyBorder="0" applyAlignment="0" applyProtection="0"/>
    <xf numFmtId="0" fontId="78" fillId="0" borderId="0" applyNumberFormat="0" applyAlignment="0">
      <alignment horizontal="left"/>
    </xf>
    <xf numFmtId="228" fontId="3" fillId="0" borderId="0">
      <protection locked="0"/>
    </xf>
    <xf numFmtId="0" fontId="63" fillId="0" borderId="0" applyFont="0" applyFill="0" applyBorder="0" applyAlignment="0" applyProtection="0"/>
    <xf numFmtId="224" fontId="3" fillId="0" borderId="0" applyFont="0" applyFill="0" applyBorder="0" applyAlignment="0" applyProtection="0"/>
    <xf numFmtId="225" fontId="60" fillId="0" borderId="0">
      <protection locked="0"/>
    </xf>
    <xf numFmtId="225" fontId="60" fillId="0" borderId="0">
      <protection locked="0"/>
    </xf>
    <xf numFmtId="225" fontId="60" fillId="0" borderId="0">
      <protection locked="0"/>
    </xf>
    <xf numFmtId="229" fontId="66" fillId="0" borderId="0">
      <protection locked="0"/>
    </xf>
    <xf numFmtId="230" fontId="3" fillId="0" borderId="0" applyFont="0" applyFill="0" applyBorder="0" applyAlignment="0" applyProtection="0"/>
    <xf numFmtId="231" fontId="3" fillId="0" borderId="0" applyFont="0" applyFill="0" applyBorder="0" applyAlignment="0" applyProtection="0"/>
    <xf numFmtId="232" fontId="62" fillId="0" borderId="0"/>
    <xf numFmtId="0" fontId="79" fillId="0" borderId="0" applyProtection="0"/>
    <xf numFmtId="233" fontId="66" fillId="0" borderId="0">
      <protection locked="0"/>
    </xf>
    <xf numFmtId="14" fontId="65" fillId="0" borderId="0" applyFill="0" applyBorder="0" applyAlignment="0"/>
    <xf numFmtId="41" fontId="61" fillId="0" borderId="0" applyFont="0" applyFill="0" applyBorder="0" applyAlignment="0" applyProtection="0"/>
    <xf numFmtId="43" fontId="61" fillId="0" borderId="0" applyFont="0" applyFill="0" applyBorder="0" applyAlignment="0" applyProtection="0"/>
    <xf numFmtId="234" fontId="62" fillId="0" borderId="0"/>
    <xf numFmtId="235" fontId="3" fillId="0" borderId="8">
      <alignment vertical="center"/>
    </xf>
    <xf numFmtId="236" fontId="80" fillId="0" borderId="0" applyFill="0" applyBorder="0">
      <alignment horizontal="centerContinuous"/>
    </xf>
    <xf numFmtId="176" fontId="3" fillId="0" borderId="0">
      <protection locked="0"/>
    </xf>
    <xf numFmtId="176" fontId="3" fillId="0" borderId="0">
      <protection locked="0"/>
    </xf>
    <xf numFmtId="229" fontId="66" fillId="0" borderId="0">
      <protection locked="0"/>
    </xf>
    <xf numFmtId="237" fontId="66" fillId="0" borderId="0">
      <protection locked="0"/>
    </xf>
    <xf numFmtId="222" fontId="3" fillId="0" borderId="0" applyFill="0" applyBorder="0" applyAlignment="0"/>
    <xf numFmtId="224" fontId="3" fillId="0" borderId="0" applyFill="0" applyBorder="0" applyAlignment="0"/>
    <xf numFmtId="222" fontId="3" fillId="0" borderId="0" applyFill="0" applyBorder="0" applyAlignment="0"/>
    <xf numFmtId="223" fontId="3" fillId="0" borderId="0" applyFill="0" applyBorder="0" applyAlignment="0"/>
    <xf numFmtId="224" fontId="3" fillId="0" borderId="0" applyFill="0" applyBorder="0" applyAlignment="0"/>
    <xf numFmtId="0" fontId="81" fillId="0" borderId="0" applyNumberFormat="0" applyAlignment="0">
      <alignment horizontal="left"/>
    </xf>
    <xf numFmtId="238" fontId="3" fillId="0" borderId="0" applyFont="0" applyFill="0" applyBorder="0" applyAlignment="0" applyProtection="0"/>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0" fontId="66" fillId="0" borderId="0">
      <protection locked="0"/>
    </xf>
    <xf numFmtId="2" fontId="79" fillId="0" borderId="0" applyProtection="0"/>
    <xf numFmtId="210" fontId="66" fillId="0" borderId="0">
      <protection locked="0"/>
    </xf>
    <xf numFmtId="0" fontId="82" fillId="0" borderId="0" applyNumberFormat="0" applyFill="0" applyBorder="0" applyAlignment="0" applyProtection="0">
      <alignment vertical="top"/>
      <protection locked="0"/>
    </xf>
    <xf numFmtId="38" fontId="83" fillId="3" borderId="0" applyNumberFormat="0" applyBorder="0" applyAlignment="0" applyProtection="0"/>
    <xf numFmtId="38" fontId="83" fillId="2" borderId="0" applyNumberFormat="0" applyBorder="0" applyAlignment="0" applyProtection="0"/>
    <xf numFmtId="0" fontId="84" fillId="0" borderId="0">
      <alignment horizontal="left"/>
    </xf>
    <xf numFmtId="0" fontId="85" fillId="0" borderId="143" applyNumberFormat="0" applyAlignment="0" applyProtection="0">
      <alignment horizontal="left" vertical="center"/>
    </xf>
    <xf numFmtId="0" fontId="85" fillId="0" borderId="6">
      <alignment horizontal="left" vertical="center"/>
    </xf>
    <xf numFmtId="0" fontId="86" fillId="0" borderId="0" applyNumberFormat="0" applyFill="0" applyBorder="0" applyAlignment="0" applyProtection="0"/>
    <xf numFmtId="0" fontId="85" fillId="0" borderId="0" applyNumberFormat="0" applyFill="0" applyBorder="0" applyAlignment="0" applyProtection="0"/>
    <xf numFmtId="0" fontId="86" fillId="0" borderId="0" applyProtection="0"/>
    <xf numFmtId="239" fontId="68" fillId="0" borderId="0">
      <protection locked="0"/>
    </xf>
    <xf numFmtId="0" fontId="85" fillId="0" borderId="0" applyProtection="0"/>
    <xf numFmtId="239" fontId="68" fillId="0" borderId="0">
      <protection locked="0"/>
    </xf>
    <xf numFmtId="0" fontId="61" fillId="24" borderId="144"/>
    <xf numFmtId="0" fontId="87" fillId="0" borderId="0" applyNumberFormat="0" applyFill="0" applyBorder="0" applyAlignment="0" applyProtection="0">
      <alignment vertical="top"/>
      <protection locked="0"/>
    </xf>
    <xf numFmtId="10" fontId="83" fillId="9" borderId="8" applyNumberFormat="0" applyBorder="0" applyAlignment="0" applyProtection="0"/>
    <xf numFmtId="10" fontId="83" fillId="2" borderId="8" applyNumberFormat="0" applyBorder="0" applyAlignment="0" applyProtection="0"/>
    <xf numFmtId="240" fontId="3" fillId="0" borderId="8">
      <alignment vertical="center"/>
    </xf>
    <xf numFmtId="241" fontId="3" fillId="0" borderId="0" applyFont="0" applyFill="0" applyBorder="0" applyAlignment="0" applyProtection="0"/>
    <xf numFmtId="177" fontId="3" fillId="0" borderId="0" applyFont="0" applyFill="0" applyBorder="0" applyAlignment="0" applyProtection="0"/>
    <xf numFmtId="242" fontId="3" fillId="0" borderId="8">
      <alignment vertical="center"/>
    </xf>
    <xf numFmtId="242" fontId="3" fillId="0" borderId="8">
      <alignment vertical="center"/>
    </xf>
    <xf numFmtId="0" fontId="3" fillId="0" borderId="145">
      <protection locked="0"/>
    </xf>
    <xf numFmtId="0" fontId="62" fillId="0" borderId="0" applyNumberFormat="0" applyFont="0" applyFill="0" applyBorder="0" applyProtection="0">
      <alignment horizontal="left" vertical="center"/>
    </xf>
    <xf numFmtId="222" fontId="3" fillId="0" borderId="0" applyFill="0" applyBorder="0" applyAlignment="0"/>
    <xf numFmtId="224" fontId="3" fillId="0" borderId="0" applyFill="0" applyBorder="0" applyAlignment="0"/>
    <xf numFmtId="222" fontId="3" fillId="0" borderId="0" applyFill="0" applyBorder="0" applyAlignment="0"/>
    <xf numFmtId="223" fontId="3" fillId="0" borderId="0" applyFill="0" applyBorder="0" applyAlignment="0"/>
    <xf numFmtId="224" fontId="3" fillId="0" borderId="0" applyFill="0" applyBorder="0" applyAlignment="0"/>
    <xf numFmtId="243" fontId="3" fillId="0" borderId="8">
      <alignment horizontal="right" vertical="center"/>
    </xf>
    <xf numFmtId="244" fontId="3" fillId="0" borderId="8">
      <alignment horizontal="right" vertical="center"/>
    </xf>
    <xf numFmtId="244" fontId="3" fillId="0" borderId="8">
      <alignment horizontal="right" vertical="center"/>
    </xf>
    <xf numFmtId="243" fontId="3" fillId="0" borderId="8">
      <alignment horizontal="right" vertical="center"/>
    </xf>
    <xf numFmtId="245" fontId="3" fillId="0" borderId="8">
      <alignment vertical="center"/>
    </xf>
    <xf numFmtId="246" fontId="3" fillId="0" borderId="8">
      <alignment vertical="center"/>
    </xf>
    <xf numFmtId="0" fontId="88" fillId="0" borderId="145"/>
    <xf numFmtId="37" fontId="89" fillId="0" borderId="0"/>
    <xf numFmtId="247" fontId="59" fillId="0" borderId="0"/>
    <xf numFmtId="248" fontId="57" fillId="0" borderId="0"/>
    <xf numFmtId="0" fontId="60" fillId="0" borderId="0"/>
    <xf numFmtId="0" fontId="61" fillId="0" borderId="0" applyFont="0" applyFill="0" applyBorder="0" applyAlignment="0" applyProtection="0"/>
    <xf numFmtId="0" fontId="61" fillId="0" borderId="0" applyFont="0" applyFill="0" applyBorder="0" applyAlignment="0" applyProtection="0"/>
    <xf numFmtId="213" fontId="3" fillId="0" borderId="0">
      <protection locked="0"/>
    </xf>
    <xf numFmtId="221" fontId="3" fillId="0" borderId="0" applyFont="0" applyFill="0" applyBorder="0" applyAlignment="0" applyProtection="0"/>
    <xf numFmtId="207" fontId="3" fillId="0" borderId="0" applyFont="0" applyFill="0" applyBorder="0" applyAlignment="0" applyProtection="0"/>
    <xf numFmtId="10" fontId="61" fillId="0" borderId="0" applyFont="0" applyFill="0" applyBorder="0" applyAlignment="0" applyProtection="0"/>
    <xf numFmtId="225" fontId="60" fillId="0" borderId="0">
      <protection locked="0"/>
    </xf>
    <xf numFmtId="225" fontId="60" fillId="0" borderId="0">
      <protection locked="0"/>
    </xf>
    <xf numFmtId="225" fontId="60" fillId="0" borderId="0">
      <protection locked="0"/>
    </xf>
    <xf numFmtId="215" fontId="66" fillId="0" borderId="0">
      <protection locked="0"/>
    </xf>
    <xf numFmtId="249" fontId="3" fillId="0" borderId="0" applyFont="0" applyFill="0" applyBorder="0" applyAlignment="0" applyProtection="0"/>
    <xf numFmtId="222" fontId="3" fillId="0" borderId="0" applyFill="0" applyBorder="0" applyAlignment="0"/>
    <xf numFmtId="224" fontId="3" fillId="0" borderId="0" applyFill="0" applyBorder="0" applyAlignment="0"/>
    <xf numFmtId="222" fontId="3" fillId="0" borderId="0" applyFill="0" applyBorder="0" applyAlignment="0"/>
    <xf numFmtId="223" fontId="3" fillId="0" borderId="0" applyFill="0" applyBorder="0" applyAlignment="0"/>
    <xf numFmtId="224" fontId="3" fillId="0" borderId="0" applyFill="0" applyBorder="0" applyAlignment="0"/>
    <xf numFmtId="9" fontId="90" fillId="0" borderId="0" applyFont="0" applyFill="0" applyProtection="0"/>
    <xf numFmtId="30" fontId="91" fillId="0" borderId="0" applyNumberFormat="0" applyFill="0" applyBorder="0" applyAlignment="0" applyProtection="0">
      <alignment horizontal="left"/>
    </xf>
    <xf numFmtId="250" fontId="3" fillId="0" borderId="0" applyNumberFormat="0" applyFill="0" applyBorder="0" applyAlignment="0" applyProtection="0">
      <alignment horizontal="left"/>
    </xf>
    <xf numFmtId="0" fontId="90" fillId="0" borderId="0"/>
    <xf numFmtId="0" fontId="61" fillId="25" borderId="0"/>
    <xf numFmtId="0" fontId="88" fillId="0" borderId="0"/>
    <xf numFmtId="40" fontId="92" fillId="0" borderId="0" applyBorder="0">
      <alignment horizontal="right"/>
    </xf>
    <xf numFmtId="49" fontId="65" fillId="0" borderId="0" applyFill="0" applyBorder="0" applyAlignment="0"/>
    <xf numFmtId="249" fontId="3" fillId="0" borderId="0" applyFill="0" applyBorder="0" applyAlignment="0"/>
    <xf numFmtId="251" fontId="3" fillId="0" borderId="0" applyFill="0" applyBorder="0" applyAlignment="0"/>
    <xf numFmtId="49" fontId="93" fillId="0" borderId="0" applyBorder="0">
      <alignment horizontal="right"/>
    </xf>
    <xf numFmtId="0" fontId="94" fillId="0" borderId="0" applyFill="0" applyBorder="0" applyProtection="0">
      <alignment horizontal="centerContinuous" vertical="center"/>
    </xf>
    <xf numFmtId="0" fontId="77" fillId="2" borderId="0" applyFill="0" applyBorder="0" applyProtection="0">
      <alignment horizontal="center" vertical="center"/>
    </xf>
    <xf numFmtId="252" fontId="3" fillId="0" borderId="8">
      <alignment vertical="center"/>
    </xf>
    <xf numFmtId="253" fontId="80" fillId="0" borderId="0" applyFill="0" applyBorder="0">
      <alignment horizontal="centerContinuous"/>
    </xf>
    <xf numFmtId="0" fontId="79" fillId="0" borderId="146" applyProtection="0"/>
    <xf numFmtId="239" fontId="66" fillId="0" borderId="146">
      <protection locked="0"/>
    </xf>
    <xf numFmtId="0" fontId="95" fillId="0" borderId="126">
      <alignment horizontal="left"/>
    </xf>
    <xf numFmtId="0" fontId="61" fillId="0" borderId="0" applyFont="0" applyFill="0" applyBorder="0" applyAlignment="0" applyProtection="0"/>
    <xf numFmtId="0" fontId="61" fillId="0" borderId="0" applyFont="0" applyFill="0" applyBorder="0" applyAlignment="0" applyProtection="0"/>
    <xf numFmtId="0" fontId="96" fillId="0" borderId="0" applyNumberFormat="0" applyFont="0" applyFill="0" applyBorder="0" applyProtection="0">
      <alignment horizontal="center" vertical="center" wrapText="1"/>
    </xf>
    <xf numFmtId="0" fontId="97" fillId="0" borderId="0">
      <protection locked="0"/>
    </xf>
    <xf numFmtId="49" fontId="98" fillId="0" borderId="8">
      <alignment horizontal="center" vertical="center"/>
    </xf>
    <xf numFmtId="254" fontId="99" fillId="0" borderId="0" applyFont="0" applyFill="0" applyBorder="0" applyAlignment="0" applyProtection="0">
      <alignment horizontal="right"/>
    </xf>
    <xf numFmtId="0" fontId="100" fillId="23" borderId="0" applyNumberFormat="0" applyBorder="0" applyAlignment="0" applyProtection="0">
      <alignment vertical="center"/>
    </xf>
    <xf numFmtId="255" fontId="3" fillId="0" borderId="8">
      <alignment vertical="center"/>
    </xf>
    <xf numFmtId="256" fontId="3" fillId="0" borderId="8">
      <alignment vertical="center"/>
    </xf>
    <xf numFmtId="256" fontId="3" fillId="0" borderId="8">
      <alignment vertical="center"/>
    </xf>
    <xf numFmtId="255" fontId="3" fillId="0" borderId="8">
      <alignment vertical="center"/>
    </xf>
    <xf numFmtId="257" fontId="3" fillId="0" borderId="8">
      <alignment vertical="center"/>
    </xf>
    <xf numFmtId="258" fontId="60" fillId="0" borderId="0">
      <protection locked="0"/>
    </xf>
    <xf numFmtId="0" fontId="68" fillId="0" borderId="0">
      <protection locked="0"/>
    </xf>
    <xf numFmtId="0" fontId="68" fillId="0" borderId="0">
      <protection locked="0"/>
    </xf>
    <xf numFmtId="0" fontId="101" fillId="0" borderId="0"/>
    <xf numFmtId="0" fontId="3" fillId="0" borderId="0">
      <protection locked="0"/>
    </xf>
    <xf numFmtId="0" fontId="66" fillId="0" borderId="0">
      <protection locked="0"/>
    </xf>
    <xf numFmtId="3" fontId="63" fillId="0" borderId="136">
      <alignment horizontal="center"/>
    </xf>
    <xf numFmtId="177" fontId="102" fillId="0" borderId="10" applyFont="0" applyFill="0" applyBorder="0" applyAlignment="0" applyProtection="0">
      <alignment horizontal="center" vertical="center"/>
    </xf>
    <xf numFmtId="0" fontId="66" fillId="0" borderId="0">
      <protection locked="0"/>
    </xf>
    <xf numFmtId="0" fontId="103" fillId="0" borderId="0" applyNumberFormat="0" applyFill="0" applyBorder="0" applyAlignment="0" applyProtection="0">
      <alignment vertical="top"/>
      <protection locked="0"/>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176" fontId="3" fillId="0" borderId="0">
      <protection locked="0"/>
    </xf>
    <xf numFmtId="9" fontId="57" fillId="2" borderId="0" applyFill="0" applyBorder="0" applyProtection="0">
      <alignment horizontal="right"/>
    </xf>
    <xf numFmtId="10" fontId="57" fillId="0" borderId="0" applyFill="0" applyBorder="0" applyProtection="0">
      <alignment horizontal="right"/>
    </xf>
    <xf numFmtId="9" fontId="3" fillId="0" borderId="0" applyFont="0" applyFill="0" applyBorder="0" applyAlignment="0" applyProtection="0">
      <alignment vertical="center"/>
    </xf>
    <xf numFmtId="0" fontId="60" fillId="0" borderId="147"/>
    <xf numFmtId="0" fontId="104" fillId="0" borderId="0"/>
    <xf numFmtId="0" fontId="93" fillId="0" borderId="0" applyNumberFormat="0" applyFont="0" applyFill="0" applyBorder="0" applyProtection="0">
      <alignment horizontal="centerContinuous" vertical="center"/>
    </xf>
    <xf numFmtId="0" fontId="93" fillId="0" borderId="0" applyNumberFormat="0" applyFont="0" applyFill="0" applyBorder="0" applyProtection="0">
      <alignment horizontal="centerContinuous" vertical="center"/>
    </xf>
    <xf numFmtId="191" fontId="93" fillId="0" borderId="0" applyNumberFormat="0" applyFont="0" applyFill="0" applyBorder="0" applyProtection="0">
      <alignment horizontal="centerContinuous" vertical="center"/>
    </xf>
    <xf numFmtId="0" fontId="105" fillId="0" borderId="0">
      <alignment vertical="center"/>
    </xf>
    <xf numFmtId="259" fontId="98" fillId="0" borderId="0" applyFont="0" applyFill="0" applyBorder="0" applyAlignment="0" applyProtection="0"/>
    <xf numFmtId="1" fontId="93" fillId="0" borderId="0" applyFont="0" applyFill="0" applyBorder="0" applyProtection="0">
      <alignment horizontal="centerContinuous" vertical="center"/>
    </xf>
    <xf numFmtId="260" fontId="106" fillId="0" borderId="0">
      <alignment vertical="center"/>
    </xf>
    <xf numFmtId="0" fontId="93" fillId="0" borderId="0" applyFont="0" applyFill="0" applyBorder="0" applyProtection="0">
      <alignment horizontal="centerContinuous" vertical="center"/>
    </xf>
    <xf numFmtId="213" fontId="93" fillId="0" borderId="0" applyFont="0" applyFill="0" applyBorder="0" applyProtection="0">
      <alignment horizontal="centerContinuous" vertical="center"/>
    </xf>
    <xf numFmtId="41" fontId="107" fillId="0" borderId="0" applyFont="0" applyFill="0" applyBorder="0" applyAlignment="0" applyProtection="0">
      <alignment vertical="center"/>
    </xf>
    <xf numFmtId="261" fontId="3" fillId="0" borderId="0" applyFont="0" applyFill="0" applyBorder="0" applyAlignment="0" applyProtection="0"/>
    <xf numFmtId="261" fontId="3" fillId="0" borderId="0" applyFont="0" applyFill="0" applyBorder="0" applyAlignment="0" applyProtection="0"/>
    <xf numFmtId="261" fontId="3" fillId="0" borderId="0" applyFont="0" applyFill="0" applyBorder="0" applyAlignment="0" applyProtection="0"/>
    <xf numFmtId="262" fontId="3"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alignment vertical="center"/>
    </xf>
    <xf numFmtId="0" fontId="61" fillId="0" borderId="0"/>
    <xf numFmtId="0" fontId="62" fillId="0" borderId="0"/>
    <xf numFmtId="0" fontId="62" fillId="0" borderId="0"/>
    <xf numFmtId="0" fontId="62" fillId="0" borderId="0"/>
    <xf numFmtId="0" fontId="62" fillId="0" borderId="0"/>
    <xf numFmtId="0" fontId="62" fillId="0" borderId="0"/>
    <xf numFmtId="0" fontId="62" fillId="0" borderId="0"/>
    <xf numFmtId="0" fontId="108" fillId="0" borderId="141"/>
    <xf numFmtId="0" fontId="98" fillId="0" borderId="16">
      <alignment vertical="center"/>
    </xf>
    <xf numFmtId="214" fontId="3" fillId="0" borderId="8" applyBorder="0">
      <alignment vertical="center"/>
    </xf>
    <xf numFmtId="243" fontId="3" fillId="0" borderId="8" applyBorder="0">
      <alignment horizontal="left" vertical="center"/>
    </xf>
    <xf numFmtId="263" fontId="109" fillId="0" borderId="0" applyFill="0" applyBorder="0">
      <alignment horizontal="centerContinuous"/>
    </xf>
    <xf numFmtId="264" fontId="109" fillId="0" borderId="0" applyFill="0" applyBorder="0">
      <alignment horizontal="centerContinuous"/>
    </xf>
    <xf numFmtId="0" fontId="110" fillId="0" borderId="0">
      <alignment vertical="center"/>
    </xf>
    <xf numFmtId="0" fontId="93" fillId="0" borderId="0" applyNumberFormat="0" applyFont="0" applyFill="0" applyBorder="0" applyProtection="0">
      <alignment vertical="center"/>
    </xf>
    <xf numFmtId="4" fontId="66" fillId="0" borderId="0">
      <protection locked="0"/>
    </xf>
    <xf numFmtId="265" fontId="60" fillId="0" borderId="0">
      <protection locked="0"/>
    </xf>
    <xf numFmtId="3" fontId="111" fillId="0" borderId="0" applyFont="0" applyFill="0" applyBorder="0" applyAlignment="0" applyProtection="0"/>
    <xf numFmtId="266" fontId="80" fillId="0" borderId="0" applyFill="0" applyBorder="0">
      <alignment horizontal="centerContinuous"/>
    </xf>
    <xf numFmtId="0" fontId="60" fillId="0" borderId="8">
      <alignment horizontal="distributed" vertical="center"/>
    </xf>
    <xf numFmtId="0" fontId="60" fillId="0" borderId="21">
      <alignment horizontal="distributed" vertical="top"/>
    </xf>
    <xf numFmtId="0" fontId="60" fillId="0" borderId="10">
      <alignment horizontal="distributed"/>
    </xf>
    <xf numFmtId="211" fontId="112" fillId="0" borderId="0">
      <alignment vertical="center"/>
    </xf>
    <xf numFmtId="267" fontId="109" fillId="0" borderId="0" applyFill="0" applyBorder="0">
      <alignment horizontal="centerContinuous"/>
    </xf>
    <xf numFmtId="268" fontId="109" fillId="0" borderId="0" applyFill="0" applyBorder="0">
      <alignment horizontal="centerContinuous"/>
    </xf>
    <xf numFmtId="0" fontId="60" fillId="0" borderId="0"/>
    <xf numFmtId="41" fontId="67" fillId="0" borderId="0" applyFont="0" applyFill="0" applyBorder="0" applyAlignment="0" applyProtection="0"/>
    <xf numFmtId="43" fontId="67" fillId="0" borderId="0" applyFont="0" applyFill="0" applyBorder="0" applyAlignment="0" applyProtection="0"/>
    <xf numFmtId="269" fontId="99" fillId="0" borderId="0" applyFont="0" applyFill="0" applyBorder="0" applyAlignment="0" applyProtection="0"/>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60" fontId="59" fillId="0" borderId="0" applyFont="0" applyFill="0" applyBorder="0" applyAlignment="0" applyProtection="0">
      <alignment horizontal="centerContinuous" vertical="center"/>
    </xf>
    <xf numFmtId="176" fontId="3" fillId="0" borderId="0">
      <protection locked="0"/>
    </xf>
    <xf numFmtId="41" fontId="3" fillId="0" borderId="0" applyFont="0" applyFill="0" applyBorder="0" applyAlignment="0" applyProtection="0"/>
    <xf numFmtId="270" fontId="105" fillId="2" borderId="0" applyFill="0" applyBorder="0" applyProtection="0">
      <alignment horizontal="right"/>
    </xf>
    <xf numFmtId="271" fontId="59" fillId="0" borderId="0" applyFont="0" applyFill="0" applyBorder="0" applyAlignment="0" applyProtection="0">
      <alignment textRotation="255"/>
    </xf>
    <xf numFmtId="272" fontId="59" fillId="0" borderId="0" applyFont="0" applyFill="0" applyBorder="0" applyAlignment="0" applyProtection="0">
      <alignment textRotation="255"/>
    </xf>
    <xf numFmtId="182" fontId="114" fillId="0" borderId="8">
      <alignment vertical="center"/>
    </xf>
    <xf numFmtId="273" fontId="59" fillId="0" borderId="0" applyFont="0" applyFill="0" applyBorder="0" applyAlignment="0" applyProtection="0">
      <alignment textRotation="255"/>
    </xf>
    <xf numFmtId="274" fontId="59" fillId="0" borderId="0" applyFont="0" applyFill="0" applyBorder="0" applyAlignment="0" applyProtection="0">
      <alignment textRotation="255"/>
    </xf>
    <xf numFmtId="0" fontId="60" fillId="0" borderId="0" applyFont="0" applyFill="0" applyBorder="0" applyAlignment="0" applyProtection="0"/>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176" fontId="3" fillId="0" borderId="0">
      <protection locked="0"/>
    </xf>
    <xf numFmtId="42" fontId="3" fillId="0" borderId="0" applyFont="0" applyFill="0" applyBorder="0" applyAlignment="0" applyProtection="0"/>
    <xf numFmtId="275" fontId="60" fillId="0" borderId="0">
      <protection locked="0"/>
    </xf>
    <xf numFmtId="0" fontId="3" fillId="0" borderId="0"/>
    <xf numFmtId="176" fontId="3" fillId="0" borderId="0">
      <protection locked="0"/>
    </xf>
    <xf numFmtId="0" fontId="3" fillId="0" borderId="0"/>
    <xf numFmtId="0" fontId="3" fillId="0" borderId="0"/>
    <xf numFmtId="176" fontId="3" fillId="0" borderId="0">
      <protection locked="0"/>
    </xf>
    <xf numFmtId="176" fontId="3"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0" fontId="115" fillId="0" borderId="0">
      <alignment vertical="center"/>
    </xf>
    <xf numFmtId="0" fontId="116" fillId="0" borderId="0"/>
    <xf numFmtId="0" fontId="115" fillId="0" borderId="0">
      <alignment vertical="center"/>
    </xf>
    <xf numFmtId="0" fontId="3" fillId="0" borderId="0">
      <alignment vertical="center"/>
    </xf>
    <xf numFmtId="0" fontId="107" fillId="0" borderId="0">
      <alignment vertical="center"/>
    </xf>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5" fontId="3" fillId="0" borderId="0" applyBorder="0"/>
    <xf numFmtId="0" fontId="66" fillId="0" borderId="142">
      <protection locked="0"/>
    </xf>
    <xf numFmtId="276" fontId="67" fillId="0" borderId="0" applyFont="0" applyFill="0" applyBorder="0" applyAlignment="0" applyProtection="0"/>
    <xf numFmtId="0" fontId="67" fillId="0" borderId="0" applyFont="0" applyFill="0" applyBorder="0" applyAlignment="0" applyProtection="0"/>
    <xf numFmtId="0" fontId="60" fillId="0" borderId="0">
      <protection locked="0"/>
    </xf>
    <xf numFmtId="277" fontId="60" fillId="0" borderId="0">
      <protection locked="0"/>
    </xf>
    <xf numFmtId="0" fontId="125" fillId="26" borderId="0" applyNumberFormat="0" applyBorder="0" applyAlignment="0" applyProtection="0">
      <alignment vertical="center"/>
    </xf>
    <xf numFmtId="9" fontId="107" fillId="0" borderId="0" applyFont="0" applyFill="0" applyBorder="0" applyAlignment="0" applyProtection="0">
      <alignment vertical="center"/>
    </xf>
    <xf numFmtId="0" fontId="126" fillId="27" borderId="0" applyNumberFormat="0" applyBorder="0" applyAlignment="0" applyProtection="0">
      <alignment vertical="center"/>
    </xf>
    <xf numFmtId="9" fontId="3" fillId="0" borderId="0" applyFont="0" applyFill="0" applyBorder="0" applyAlignment="0" applyProtection="0">
      <alignment vertical="center"/>
    </xf>
    <xf numFmtId="0" fontId="127" fillId="28" borderId="149" applyNumberFormat="0" applyAlignment="0" applyProtection="0">
      <alignment vertical="center"/>
    </xf>
    <xf numFmtId="0" fontId="3" fillId="0" borderId="0">
      <alignment vertical="center"/>
    </xf>
    <xf numFmtId="41" fontId="3" fillId="0" borderId="0" applyFont="0" applyFill="0" applyBorder="0" applyAlignment="0" applyProtection="0">
      <alignment vertical="center"/>
    </xf>
    <xf numFmtId="9" fontId="107" fillId="0" borderId="0" applyFont="0" applyFill="0" applyBorder="0" applyAlignment="0" applyProtection="0">
      <alignment vertical="center"/>
    </xf>
    <xf numFmtId="0" fontId="1" fillId="0" borderId="0">
      <alignment vertical="center"/>
    </xf>
    <xf numFmtId="0" fontId="3" fillId="0" borderId="0">
      <alignment vertical="center"/>
    </xf>
    <xf numFmtId="41" fontId="3" fillId="0" borderId="0" applyFont="0" applyFill="0" applyBorder="0" applyAlignment="0" applyProtection="0">
      <alignment vertical="center"/>
    </xf>
    <xf numFmtId="9" fontId="107" fillId="0" borderId="0" applyFont="0" applyFill="0" applyBorder="0" applyAlignment="0" applyProtection="0">
      <alignment vertical="center"/>
    </xf>
    <xf numFmtId="0" fontId="1" fillId="0" borderId="0">
      <alignment vertical="center"/>
    </xf>
    <xf numFmtId="0" fontId="1" fillId="0" borderId="0">
      <alignment vertical="center"/>
    </xf>
    <xf numFmtId="41" fontId="3" fillId="0" borderId="0" applyFont="0" applyFill="0" applyBorder="0" applyAlignment="0" applyProtection="0">
      <alignment vertical="center"/>
    </xf>
    <xf numFmtId="0" fontId="1" fillId="0" borderId="0">
      <alignment vertical="center"/>
    </xf>
    <xf numFmtId="9" fontId="107" fillId="0" borderId="0" applyFont="0" applyFill="0" applyBorder="0" applyAlignment="0" applyProtection="0">
      <alignment vertical="center"/>
    </xf>
    <xf numFmtId="0" fontId="3" fillId="0" borderId="0">
      <alignment vertical="center"/>
    </xf>
    <xf numFmtId="41" fontId="3" fillId="0" borderId="0" applyFont="0" applyFill="0" applyBorder="0" applyAlignment="0" applyProtection="0">
      <alignment vertical="center"/>
    </xf>
    <xf numFmtId="0" fontId="1" fillId="0" borderId="0">
      <alignment vertical="center"/>
    </xf>
    <xf numFmtId="9" fontId="107" fillId="0" borderId="0" applyFont="0" applyFill="0" applyBorder="0" applyAlignment="0" applyProtection="0">
      <alignment vertical="center"/>
    </xf>
    <xf numFmtId="0" fontId="3" fillId="0" borderId="0">
      <alignment vertical="center"/>
    </xf>
    <xf numFmtId="41" fontId="3" fillId="0" borderId="0" applyFont="0" applyFill="0" applyBorder="0" applyAlignment="0" applyProtection="0">
      <alignment vertical="center"/>
    </xf>
    <xf numFmtId="9" fontId="107" fillId="0" borderId="0" applyFont="0" applyFill="0" applyBorder="0" applyAlignment="0" applyProtection="0">
      <alignment vertical="center"/>
    </xf>
    <xf numFmtId="0" fontId="3" fillId="0" borderId="0">
      <alignment vertical="center"/>
    </xf>
    <xf numFmtId="41" fontId="3" fillId="0" borderId="0" applyFont="0" applyFill="0" applyBorder="0" applyAlignment="0" applyProtection="0">
      <alignment vertical="center"/>
    </xf>
    <xf numFmtId="9" fontId="107" fillId="0" borderId="0" applyFont="0" applyFill="0" applyBorder="0" applyAlignment="0" applyProtection="0">
      <alignment vertical="center"/>
    </xf>
    <xf numFmtId="0" fontId="1" fillId="0" borderId="0">
      <alignment vertical="center"/>
    </xf>
    <xf numFmtId="0" fontId="3" fillId="0" borderId="0">
      <alignment vertical="center"/>
    </xf>
    <xf numFmtId="41" fontId="3" fillId="0" borderId="0" applyFont="0" applyFill="0" applyBorder="0" applyAlignment="0" applyProtection="0">
      <alignment vertical="center"/>
    </xf>
    <xf numFmtId="9" fontId="107" fillId="0" borderId="0" applyFont="0" applyFill="0" applyBorder="0" applyAlignment="0" applyProtection="0">
      <alignment vertical="center"/>
    </xf>
    <xf numFmtId="38" fontId="60" fillId="0" borderId="163">
      <alignment horizontal="right"/>
    </xf>
    <xf numFmtId="189" fontId="3" fillId="0" borderId="150">
      <alignment vertical="center"/>
    </xf>
    <xf numFmtId="211" fontId="6" fillId="0" borderId="150">
      <alignment vertical="center"/>
    </xf>
    <xf numFmtId="188" fontId="3" fillId="0" borderId="154" applyBorder="0">
      <alignment vertical="center" wrapText="1"/>
    </xf>
    <xf numFmtId="214" fontId="3" fillId="0" borderId="150">
      <alignment vertical="center"/>
    </xf>
    <xf numFmtId="214" fontId="3" fillId="0" borderId="150">
      <alignment vertical="center"/>
    </xf>
    <xf numFmtId="235" fontId="3" fillId="0" borderId="150">
      <alignment vertical="center"/>
    </xf>
    <xf numFmtId="0" fontId="85" fillId="0" borderId="166">
      <alignment horizontal="left" vertical="center"/>
    </xf>
    <xf numFmtId="10" fontId="83" fillId="9" borderId="150" applyNumberFormat="0" applyBorder="0" applyAlignment="0" applyProtection="0"/>
    <xf numFmtId="10" fontId="83" fillId="2" borderId="150" applyNumberFormat="0" applyBorder="0" applyAlignment="0" applyProtection="0"/>
    <xf numFmtId="240" fontId="3" fillId="0" borderId="150">
      <alignment vertical="center"/>
    </xf>
    <xf numFmtId="242" fontId="3" fillId="0" borderId="150">
      <alignment vertical="center"/>
    </xf>
    <xf numFmtId="242" fontId="3" fillId="0" borderId="150">
      <alignment vertical="center"/>
    </xf>
    <xf numFmtId="243" fontId="3" fillId="0" borderId="150">
      <alignment horizontal="right" vertical="center"/>
    </xf>
    <xf numFmtId="244" fontId="3" fillId="0" borderId="150">
      <alignment horizontal="right" vertical="center"/>
    </xf>
    <xf numFmtId="244" fontId="3" fillId="0" borderId="150">
      <alignment horizontal="right" vertical="center"/>
    </xf>
    <xf numFmtId="243" fontId="3" fillId="0" borderId="150">
      <alignment horizontal="right" vertical="center"/>
    </xf>
    <xf numFmtId="245" fontId="3" fillId="0" borderId="150">
      <alignment vertical="center"/>
    </xf>
    <xf numFmtId="246" fontId="3" fillId="0" borderId="150">
      <alignment vertical="center"/>
    </xf>
    <xf numFmtId="252" fontId="3" fillId="0" borderId="150">
      <alignment vertical="center"/>
    </xf>
    <xf numFmtId="49" fontId="98" fillId="0" borderId="150">
      <alignment horizontal="center" vertical="center"/>
    </xf>
    <xf numFmtId="255" fontId="3" fillId="0" borderId="150">
      <alignment vertical="center"/>
    </xf>
    <xf numFmtId="256" fontId="3" fillId="0" borderId="150">
      <alignment vertical="center"/>
    </xf>
    <xf numFmtId="256" fontId="3" fillId="0" borderId="150">
      <alignment vertical="center"/>
    </xf>
    <xf numFmtId="255" fontId="3" fillId="0" borderId="150">
      <alignment vertical="center"/>
    </xf>
    <xf numFmtId="257" fontId="3" fillId="0" borderId="150">
      <alignment vertical="center"/>
    </xf>
    <xf numFmtId="177" fontId="102" fillId="0" borderId="167" applyFont="0" applyFill="0" applyBorder="0" applyAlignment="0" applyProtection="0">
      <alignment horizontal="center" vertical="center"/>
    </xf>
    <xf numFmtId="214" fontId="3" fillId="0" borderId="150" applyBorder="0">
      <alignment vertical="center"/>
    </xf>
    <xf numFmtId="243" fontId="3" fillId="0" borderId="150" applyBorder="0">
      <alignment horizontal="left" vertical="center"/>
    </xf>
    <xf numFmtId="0" fontId="60" fillId="0" borderId="150">
      <alignment horizontal="distributed" vertical="center"/>
    </xf>
    <xf numFmtId="0" fontId="60" fillId="0" borderId="167">
      <alignment horizontal="distributed"/>
    </xf>
    <xf numFmtId="182" fontId="114" fillId="0" borderId="150">
      <alignment vertical="center"/>
    </xf>
    <xf numFmtId="252" fontId="3" fillId="0" borderId="150">
      <alignment vertical="center"/>
    </xf>
    <xf numFmtId="0" fontId="127" fillId="28" borderId="177" applyNumberFormat="0" applyAlignment="0" applyProtection="0">
      <alignment vertical="center"/>
    </xf>
    <xf numFmtId="0" fontId="3" fillId="0" borderId="0"/>
    <xf numFmtId="0" fontId="3" fillId="0" borderId="0">
      <alignment vertical="center"/>
    </xf>
    <xf numFmtId="41" fontId="3" fillId="0" borderId="0" applyFont="0" applyFill="0" applyBorder="0" applyAlignment="0" applyProtection="0"/>
    <xf numFmtId="9" fontId="3" fillId="0" borderId="0" applyFont="0" applyFill="0" applyBorder="0" applyAlignment="0" applyProtection="0"/>
    <xf numFmtId="0" fontId="3" fillId="0" borderId="0"/>
    <xf numFmtId="0" fontId="63" fillId="0" borderId="187">
      <alignment horizontal="center"/>
    </xf>
    <xf numFmtId="3" fontId="201" fillId="0" borderId="178"/>
    <xf numFmtId="288" fontId="63" fillId="0" borderId="0" applyFont="0" applyFill="0" applyBorder="0" applyAlignment="0" applyProtection="0"/>
    <xf numFmtId="24" fontId="63" fillId="0" borderId="0" applyFont="0" applyFill="0" applyBorder="0" applyAlignment="0" applyProtection="0"/>
    <xf numFmtId="24" fontId="63" fillId="0" borderId="0" applyFont="0" applyFill="0" applyBorder="0" applyAlignment="0" applyProtection="0"/>
    <xf numFmtId="288" fontId="63" fillId="0" borderId="0" applyFont="0" applyFill="0" applyBorder="0" applyAlignment="0" applyProtection="0"/>
    <xf numFmtId="289" fontId="3" fillId="0" borderId="0" applyNumberFormat="0" applyFont="0" applyFill="0" applyBorder="0" applyAlignment="0" applyProtection="0"/>
    <xf numFmtId="290" fontId="3" fillId="0" borderId="0" applyNumberFormat="0" applyFont="0" applyFill="0" applyBorder="0" applyAlignment="0" applyProtection="0"/>
    <xf numFmtId="24" fontId="63" fillId="0" borderId="0" applyFont="0" applyFill="0" applyBorder="0" applyAlignment="0" applyProtection="0"/>
    <xf numFmtId="289" fontId="3" fillId="0" borderId="0" applyNumberFormat="0" applyFont="0" applyFill="0" applyBorder="0" applyAlignment="0" applyProtection="0"/>
    <xf numFmtId="290" fontId="3" fillId="0" borderId="0" applyNumberFormat="0" applyFont="0" applyFill="0" applyBorder="0" applyAlignment="0" applyProtection="0"/>
    <xf numFmtId="194" fontId="3" fillId="0" borderId="0" applyFont="0" applyFill="0" applyBorder="0" applyAlignment="0" applyProtection="0">
      <alignment vertical="center"/>
    </xf>
    <xf numFmtId="194" fontId="3" fillId="0" borderId="0" applyFont="0" applyFill="0" applyBorder="0" applyAlignment="0" applyProtection="0">
      <alignment vertical="center"/>
    </xf>
    <xf numFmtId="0" fontId="77" fillId="0" borderId="0">
      <alignment vertical="center"/>
    </xf>
    <xf numFmtId="40" fontId="60" fillId="0" borderId="35"/>
    <xf numFmtId="0" fontId="202" fillId="0" borderId="0">
      <alignment vertical="center"/>
    </xf>
    <xf numFmtId="0" fontId="77" fillId="0" borderId="0">
      <alignment vertical="center"/>
    </xf>
    <xf numFmtId="38" fontId="60" fillId="0" borderId="163">
      <alignment horizontal="right"/>
    </xf>
    <xf numFmtId="189" fontId="3" fillId="0" borderId="178">
      <alignment vertical="center"/>
    </xf>
    <xf numFmtId="189" fontId="3" fillId="0" borderId="178">
      <alignment vertical="center"/>
    </xf>
    <xf numFmtId="0" fontId="61" fillId="0" borderId="0" applyFont="0" applyFill="0" applyBorder="0" applyAlignment="0" applyProtection="0"/>
    <xf numFmtId="0" fontId="203" fillId="0" borderId="0" applyNumberFormat="0" applyFill="0" applyBorder="0" applyAlignment="0" applyProtection="0"/>
    <xf numFmtId="291" fontId="204" fillId="0" borderId="0" applyFont="0" applyFill="0" applyBorder="0" applyAlignment="0" applyProtection="0"/>
    <xf numFmtId="292" fontId="204" fillId="0" borderId="0" applyFont="0" applyFill="0" applyBorder="0" applyAlignment="0" applyProtection="0"/>
    <xf numFmtId="0" fontId="204" fillId="0" borderId="0"/>
    <xf numFmtId="211" fontId="204" fillId="0" borderId="0" applyFont="0" applyFill="0" applyBorder="0" applyAlignment="0" applyProtection="0"/>
    <xf numFmtId="231" fontId="204" fillId="0" borderId="0" applyFont="0" applyFill="0" applyBorder="0" applyAlignment="0" applyProtection="0"/>
    <xf numFmtId="0" fontId="61" fillId="0" borderId="0"/>
    <xf numFmtId="0" fontId="60"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0" fillId="0" borderId="0"/>
    <xf numFmtId="0" fontId="60" fillId="0" borderId="0"/>
    <xf numFmtId="0" fontId="61" fillId="0" borderId="0"/>
    <xf numFmtId="0" fontId="60" fillId="0" borderId="0"/>
    <xf numFmtId="0" fontId="60" fillId="0" borderId="0"/>
    <xf numFmtId="0" fontId="60" fillId="0" borderId="0"/>
    <xf numFmtId="0" fontId="60" fillId="0" borderId="0"/>
    <xf numFmtId="0" fontId="3" fillId="0" borderId="0"/>
    <xf numFmtId="0" fontId="61" fillId="0" borderId="0"/>
    <xf numFmtId="0" fontId="3" fillId="0" borderId="0"/>
    <xf numFmtId="0" fontId="60" fillId="0" borderId="0"/>
    <xf numFmtId="0" fontId="60" fillId="0" borderId="0"/>
    <xf numFmtId="0" fontId="61" fillId="0" borderId="0"/>
    <xf numFmtId="0" fontId="64" fillId="0" borderId="0"/>
    <xf numFmtId="0" fontId="64" fillId="0" borderId="0"/>
    <xf numFmtId="0" fontId="64" fillId="0" borderId="0"/>
    <xf numFmtId="0" fontId="59" fillId="0" borderId="0" applyFont="0" applyFill="0" applyBorder="0" applyAlignment="0" applyProtection="0"/>
    <xf numFmtId="0" fontId="61" fillId="0" borderId="0"/>
    <xf numFmtId="0" fontId="60" fillId="0" borderId="0"/>
    <xf numFmtId="0" fontId="60"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61" fillId="0" borderId="0"/>
    <xf numFmtId="0" fontId="61" fillId="0" borderId="0"/>
    <xf numFmtId="0" fontId="61" fillId="0" borderId="0"/>
    <xf numFmtId="0" fontId="61" fillId="0" borderId="0"/>
    <xf numFmtId="0" fontId="3" fillId="0" borderId="0"/>
    <xf numFmtId="0" fontId="3" fillId="0" borderId="0"/>
    <xf numFmtId="0" fontId="64" fillId="0" borderId="0"/>
    <xf numFmtId="0" fontId="64" fillId="0" borderId="0"/>
    <xf numFmtId="0" fontId="64" fillId="0" borderId="0"/>
    <xf numFmtId="0" fontId="60" fillId="0" borderId="0"/>
    <xf numFmtId="0" fontId="60" fillId="0" borderId="0"/>
    <xf numFmtId="0" fontId="60" fillId="0" borderId="0"/>
    <xf numFmtId="0" fontId="60" fillId="0" borderId="0"/>
    <xf numFmtId="0" fontId="61" fillId="0" borderId="0"/>
    <xf numFmtId="0" fontId="60" fillId="0" borderId="0"/>
    <xf numFmtId="0" fontId="60" fillId="0" borderId="0"/>
    <xf numFmtId="0" fontId="60"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4" fillId="0" borderId="0"/>
    <xf numFmtId="0" fontId="61" fillId="0" borderId="0"/>
    <xf numFmtId="0" fontId="3" fillId="0" borderId="0"/>
    <xf numFmtId="0" fontId="3" fillId="0" borderId="0"/>
    <xf numFmtId="0" fontId="61" fillId="0" borderId="0"/>
    <xf numFmtId="0" fontId="60" fillId="0" borderId="0"/>
    <xf numFmtId="0" fontId="61" fillId="0" borderId="0"/>
    <xf numFmtId="0" fontId="61" fillId="0" borderId="0"/>
    <xf numFmtId="0" fontId="60" fillId="0" borderId="0"/>
    <xf numFmtId="0" fontId="60" fillId="0" borderId="0"/>
    <xf numFmtId="0" fontId="59" fillId="0" borderId="0" applyFont="0" applyFill="0" applyBorder="0" applyAlignment="0" applyProtection="0"/>
    <xf numFmtId="0" fontId="60" fillId="0" borderId="0"/>
    <xf numFmtId="0" fontId="60" fillId="0" borderId="0"/>
    <xf numFmtId="0" fontId="60" fillId="0" borderId="0"/>
    <xf numFmtId="0" fontId="60" fillId="0" borderId="0"/>
    <xf numFmtId="0" fontId="60" fillId="0" borderId="0"/>
    <xf numFmtId="0" fontId="64" fillId="0" borderId="0"/>
    <xf numFmtId="0" fontId="61"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0"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0" fillId="0" borderId="0"/>
    <xf numFmtId="0" fontId="64" fillId="0" borderId="0"/>
    <xf numFmtId="0" fontId="64" fillId="0" borderId="0"/>
    <xf numFmtId="0" fontId="61" fillId="0" borderId="0"/>
    <xf numFmtId="0" fontId="60" fillId="0" borderId="0"/>
    <xf numFmtId="0" fontId="61" fillId="0" borderId="0"/>
    <xf numFmtId="0" fontId="61" fillId="0" borderId="0"/>
    <xf numFmtId="0" fontId="61" fillId="0" borderId="0"/>
    <xf numFmtId="0" fontId="61" fillId="0" borderId="0"/>
    <xf numFmtId="0" fontId="60" fillId="0" borderId="0"/>
    <xf numFmtId="0" fontId="64" fillId="0" borderId="0"/>
    <xf numFmtId="0" fontId="60" fillId="0" borderId="0"/>
    <xf numFmtId="0" fontId="64" fillId="0" borderId="0"/>
    <xf numFmtId="0" fontId="64" fillId="0" borderId="0"/>
    <xf numFmtId="0" fontId="60"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0" fillId="0" borderId="0"/>
    <xf numFmtId="0" fontId="60" fillId="0" borderId="0"/>
    <xf numFmtId="0" fontId="61" fillId="0" borderId="0"/>
    <xf numFmtId="0" fontId="61" fillId="0" borderId="0"/>
    <xf numFmtId="0" fontId="59" fillId="0" borderId="0" applyFont="0" applyFill="0" applyBorder="0" applyAlignment="0" applyProtection="0"/>
    <xf numFmtId="0" fontId="61" fillId="0" borderId="0"/>
    <xf numFmtId="0" fontId="61" fillId="0" borderId="0"/>
    <xf numFmtId="0" fontId="61" fillId="0" borderId="0"/>
    <xf numFmtId="0" fontId="3" fillId="0" borderId="0"/>
    <xf numFmtId="0" fontId="3" fillId="0" borderId="0"/>
    <xf numFmtId="0" fontId="61" fillId="0" borderId="0"/>
    <xf numFmtId="0" fontId="6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64" fillId="0" borderId="0"/>
    <xf numFmtId="0" fontId="64" fillId="0" borderId="0"/>
    <xf numFmtId="0" fontId="64" fillId="0" borderId="0"/>
    <xf numFmtId="0" fontId="64" fillId="0" borderId="0"/>
    <xf numFmtId="0" fontId="60" fillId="0" borderId="0"/>
    <xf numFmtId="0" fontId="60" fillId="0" borderId="0"/>
    <xf numFmtId="0" fontId="60" fillId="0" borderId="0"/>
    <xf numFmtId="0" fontId="60"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4" fillId="0" borderId="0"/>
    <xf numFmtId="0" fontId="61" fillId="0" borderId="0"/>
    <xf numFmtId="0" fontId="61" fillId="0" borderId="0"/>
    <xf numFmtId="0" fontId="3" fillId="0" borderId="0"/>
    <xf numFmtId="0" fontId="59" fillId="0" borderId="0" applyFont="0" applyFill="0" applyBorder="0" applyAlignment="0" applyProtection="0"/>
    <xf numFmtId="0" fontId="61" fillId="0" borderId="0"/>
    <xf numFmtId="0" fontId="60" fillId="0" borderId="0"/>
    <xf numFmtId="0" fontId="64" fillId="0" borderId="0"/>
    <xf numFmtId="0" fontId="60" fillId="0" borderId="0"/>
    <xf numFmtId="0" fontId="60" fillId="0" borderId="0"/>
    <xf numFmtId="0" fontId="60"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4" fillId="0" borderId="0"/>
    <xf numFmtId="0" fontId="60" fillId="0" borderId="0"/>
    <xf numFmtId="0" fontId="61" fillId="0" borderId="0"/>
    <xf numFmtId="0" fontId="60" fillId="0" borderId="0"/>
    <xf numFmtId="0" fontId="61" fillId="0" borderId="0"/>
    <xf numFmtId="0" fontId="60" fillId="0" borderId="0"/>
    <xf numFmtId="0" fontId="61"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1" fillId="0" borderId="0"/>
    <xf numFmtId="0" fontId="60" fillId="0" borderId="0"/>
    <xf numFmtId="0" fontId="60" fillId="0" borderId="0"/>
    <xf numFmtId="0" fontId="60" fillId="0" borderId="0"/>
    <xf numFmtId="0" fontId="61" fillId="0" borderId="0"/>
    <xf numFmtId="0" fontId="61" fillId="0" borderId="0"/>
    <xf numFmtId="0" fontId="59" fillId="0" borderId="0" applyFont="0" applyFill="0" applyBorder="0" applyAlignment="0" applyProtection="0"/>
    <xf numFmtId="0" fontId="61" fillId="0" borderId="0"/>
    <xf numFmtId="0" fontId="61" fillId="0" borderId="0"/>
    <xf numFmtId="0" fontId="60" fillId="0" borderId="0"/>
    <xf numFmtId="0" fontId="61" fillId="0" borderId="0"/>
    <xf numFmtId="0" fontId="61" fillId="0" borderId="0"/>
    <xf numFmtId="0" fontId="64" fillId="0" borderId="0"/>
    <xf numFmtId="0" fontId="59" fillId="0" borderId="0" applyFont="0" applyFill="0" applyBorder="0" applyAlignment="0" applyProtection="0"/>
    <xf numFmtId="0" fontId="60" fillId="0" borderId="0"/>
    <xf numFmtId="0" fontId="60"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1" fillId="0" borderId="0"/>
    <xf numFmtId="0" fontId="60" fillId="0" borderId="0"/>
    <xf numFmtId="0" fontId="60" fillId="0" borderId="0"/>
    <xf numFmtId="0" fontId="61" fillId="0" borderId="0"/>
    <xf numFmtId="0" fontId="61" fillId="0" borderId="0"/>
    <xf numFmtId="0" fontId="60" fillId="0" borderId="0"/>
    <xf numFmtId="0" fontId="61" fillId="0" borderId="0"/>
    <xf numFmtId="0" fontId="64" fillId="0" borderId="0"/>
    <xf numFmtId="0" fontId="61" fillId="0" borderId="0"/>
    <xf numFmtId="0" fontId="61" fillId="0" borderId="0"/>
    <xf numFmtId="0" fontId="60" fillId="0" borderId="0"/>
    <xf numFmtId="0" fontId="59" fillId="0" borderId="0" applyFont="0" applyFill="0" applyBorder="0" applyAlignment="0" applyProtection="0"/>
    <xf numFmtId="0" fontId="59" fillId="0" borderId="0" applyFont="0" applyFill="0" applyBorder="0" applyAlignment="0" applyProtection="0"/>
    <xf numFmtId="0" fontId="61" fillId="0" borderId="0"/>
    <xf numFmtId="0" fontId="61" fillId="0" borderId="0"/>
    <xf numFmtId="0" fontId="64" fillId="0" borderId="0"/>
    <xf numFmtId="0" fontId="60" fillId="0" borderId="0"/>
    <xf numFmtId="0" fontId="60" fillId="0" borderId="0"/>
    <xf numFmtId="0" fontId="64" fillId="0" borderId="0"/>
    <xf numFmtId="0" fontId="60" fillId="0" borderId="0"/>
    <xf numFmtId="0" fontId="60" fillId="0" borderId="0"/>
    <xf numFmtId="0" fontId="60" fillId="0" borderId="0"/>
    <xf numFmtId="0" fontId="64" fillId="0" borderId="0"/>
    <xf numFmtId="0" fontId="64" fillId="0" borderId="0"/>
    <xf numFmtId="0" fontId="64" fillId="0" borderId="0"/>
    <xf numFmtId="0" fontId="60" fillId="0" borderId="0"/>
    <xf numFmtId="0" fontId="61" fillId="0" borderId="0"/>
    <xf numFmtId="0" fontId="3" fillId="0" borderId="0"/>
    <xf numFmtId="0" fontId="3" fillId="0" borderId="0"/>
    <xf numFmtId="0" fontId="3" fillId="0" borderId="0"/>
    <xf numFmtId="0" fontId="3" fillId="0" borderId="0"/>
    <xf numFmtId="0" fontId="3" fillId="0" borderId="0"/>
    <xf numFmtId="0" fontId="64" fillId="0" borderId="0"/>
    <xf numFmtId="0" fontId="61" fillId="0" borderId="0"/>
    <xf numFmtId="0" fontId="60" fillId="0" borderId="0"/>
    <xf numFmtId="0" fontId="60"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4" fillId="0" borderId="0"/>
    <xf numFmtId="0" fontId="64" fillId="0" borderId="0"/>
    <xf numFmtId="0" fontId="6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9" fillId="0" borderId="0" applyFont="0" applyFill="0" applyBorder="0" applyAlignment="0" applyProtection="0"/>
    <xf numFmtId="0" fontId="60"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 fillId="0" borderId="0"/>
    <xf numFmtId="0" fontId="3" fillId="0" borderId="0"/>
    <xf numFmtId="0" fontId="3" fillId="0" borderId="0"/>
    <xf numFmtId="0" fontId="3" fillId="0" borderId="0"/>
    <xf numFmtId="0" fontId="3" fillId="0" borderId="0"/>
    <xf numFmtId="0" fontId="60" fillId="0" borderId="0"/>
    <xf numFmtId="0" fontId="60" fillId="0" borderId="0"/>
    <xf numFmtId="0" fontId="60" fillId="0" borderId="0"/>
    <xf numFmtId="0" fontId="60" fillId="0" borderId="0"/>
    <xf numFmtId="0" fontId="61" fillId="0" borderId="0"/>
    <xf numFmtId="0" fontId="61" fillId="0" borderId="0"/>
    <xf numFmtId="0" fontId="60" fillId="0" borderId="0"/>
    <xf numFmtId="0" fontId="60" fillId="0" borderId="0"/>
    <xf numFmtId="0" fontId="61" fillId="0" borderId="0"/>
    <xf numFmtId="0" fontId="61" fillId="0" borderId="0"/>
    <xf numFmtId="293" fontId="60" fillId="0" borderId="0" applyFont="0" applyFill="0" applyBorder="0" applyAlignment="0" applyProtection="0"/>
    <xf numFmtId="0" fontId="60" fillId="0" borderId="0"/>
    <xf numFmtId="0" fontId="61" fillId="0" borderId="0"/>
    <xf numFmtId="0" fontId="64" fillId="0" borderId="0"/>
    <xf numFmtId="0" fontId="205" fillId="0" borderId="0" applyFill="0" applyAlignment="0"/>
    <xf numFmtId="0" fontId="60" fillId="0" borderId="0"/>
    <xf numFmtId="0" fontId="60" fillId="0" borderId="0"/>
    <xf numFmtId="0" fontId="60" fillId="0" borderId="0"/>
    <xf numFmtId="0" fontId="61" fillId="0" borderId="0"/>
    <xf numFmtId="0" fontId="60" fillId="0" borderId="0"/>
    <xf numFmtId="0" fontId="61" fillId="0" borderId="0"/>
    <xf numFmtId="0" fontId="64" fillId="0" borderId="0"/>
    <xf numFmtId="0" fontId="64" fillId="0" borderId="0"/>
    <xf numFmtId="0" fontId="64" fillId="0" borderId="0"/>
    <xf numFmtId="0" fontId="61" fillId="0" borderId="0"/>
    <xf numFmtId="0" fontId="64" fillId="0" borderId="0"/>
    <xf numFmtId="0" fontId="60" fillId="0" borderId="0"/>
    <xf numFmtId="0" fontId="60" fillId="0" borderId="0"/>
    <xf numFmtId="0" fontId="59"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9" fillId="0" borderId="0" applyFont="0" applyFill="0" applyBorder="0" applyAlignment="0" applyProtection="0"/>
    <xf numFmtId="0" fontId="64" fillId="0" borderId="0"/>
    <xf numFmtId="0" fontId="60" fillId="0" borderId="0"/>
    <xf numFmtId="0" fontId="59" fillId="0" borderId="0" applyFont="0" applyFill="0" applyBorder="0" applyAlignment="0" applyProtection="0"/>
    <xf numFmtId="0" fontId="61" fillId="0" borderId="0"/>
    <xf numFmtId="0" fontId="61" fillId="0" borderId="0"/>
    <xf numFmtId="0" fontId="60" fillId="0" borderId="0"/>
    <xf numFmtId="0" fontId="61"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0" fillId="0" borderId="0"/>
    <xf numFmtId="0" fontId="61" fillId="0" borderId="0"/>
    <xf numFmtId="0" fontId="60" fillId="0" borderId="0"/>
    <xf numFmtId="0" fontId="60" fillId="0" borderId="0"/>
    <xf numFmtId="0" fontId="64" fillId="0" borderId="0"/>
    <xf numFmtId="0" fontId="64" fillId="0" borderId="0"/>
    <xf numFmtId="0" fontId="64" fillId="0" borderId="0"/>
    <xf numFmtId="0" fontId="64" fillId="0" borderId="0"/>
    <xf numFmtId="0" fontId="6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0" fillId="0" borderId="0"/>
    <xf numFmtId="0" fontId="61" fillId="0" borderId="0"/>
    <xf numFmtId="0" fontId="64"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0" fillId="0" borderId="0"/>
    <xf numFmtId="0" fontId="59" fillId="0" borderId="0" applyFont="0" applyFill="0" applyBorder="0" applyAlignment="0" applyProtection="0"/>
    <xf numFmtId="0" fontId="59" fillId="0" borderId="0" applyFont="0" applyFill="0" applyBorder="0" applyAlignment="0" applyProtection="0"/>
    <xf numFmtId="0" fontId="60" fillId="0" borderId="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6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4" fillId="0" borderId="0"/>
    <xf numFmtId="0" fontId="60" fillId="0" borderId="0"/>
    <xf numFmtId="0" fontId="60" fillId="0" borderId="0"/>
    <xf numFmtId="0" fontId="60" fillId="0" borderId="0"/>
    <xf numFmtId="0" fontId="60" fillId="0" borderId="0"/>
    <xf numFmtId="0" fontId="59" fillId="0" borderId="0" applyFont="0" applyFill="0" applyBorder="0" applyAlignment="0" applyProtection="0"/>
    <xf numFmtId="0" fontId="59" fillId="0" borderId="0" applyFont="0" applyFill="0" applyBorder="0" applyAlignment="0" applyProtection="0"/>
    <xf numFmtId="0" fontId="59" fillId="0" borderId="0" applyFont="0" applyFill="0" applyBorder="0" applyAlignment="0" applyProtection="0"/>
    <xf numFmtId="0" fontId="60" fillId="0" borderId="0"/>
    <xf numFmtId="0" fontId="61" fillId="0" borderId="0"/>
    <xf numFmtId="0" fontId="60" fillId="0" borderId="0"/>
    <xf numFmtId="0" fontId="61" fillId="0" borderId="0"/>
    <xf numFmtId="0" fontId="59" fillId="0" borderId="0" applyFont="0" applyFill="0" applyBorder="0" applyAlignment="0" applyProtection="0"/>
    <xf numFmtId="0" fontId="3" fillId="0" borderId="0"/>
    <xf numFmtId="0" fontId="3" fillId="0" borderId="0"/>
    <xf numFmtId="0" fontId="61" fillId="0" borderId="0"/>
    <xf numFmtId="0" fontId="61" fillId="0" borderId="0"/>
    <xf numFmtId="293" fontId="60" fillId="0" borderId="0" applyFont="0" applyFill="0" applyBorder="0" applyAlignment="0" applyProtection="0"/>
    <xf numFmtId="0" fontId="59" fillId="0" borderId="0" applyFont="0" applyFill="0" applyBorder="0" applyAlignment="0" applyProtection="0"/>
    <xf numFmtId="0" fontId="60" fillId="0" borderId="0"/>
    <xf numFmtId="0" fontId="64" fillId="0" borderId="0"/>
    <xf numFmtId="0" fontId="64" fillId="0" borderId="0"/>
    <xf numFmtId="0" fontId="64"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1" fillId="0" borderId="0"/>
    <xf numFmtId="0" fontId="61"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0" borderId="0"/>
    <xf numFmtId="0" fontId="60" fillId="0" borderId="0"/>
    <xf numFmtId="0" fontId="64" fillId="0" borderId="0"/>
    <xf numFmtId="293" fontId="60" fillId="0" borderId="0" applyFont="0" applyFill="0" applyBorder="0" applyAlignment="0" applyProtection="0"/>
    <xf numFmtId="0" fontId="64" fillId="0" borderId="0"/>
    <xf numFmtId="0" fontId="6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60" fillId="0" borderId="0"/>
    <xf numFmtId="208" fontId="3" fillId="0" borderId="0" applyFont="0" applyFill="0" applyBorder="0" applyProtection="0">
      <alignment vertical="center"/>
    </xf>
    <xf numFmtId="9" fontId="61" fillId="35" borderId="0"/>
    <xf numFmtId="209" fontId="3" fillId="0" borderId="0">
      <alignment vertical="center"/>
    </xf>
    <xf numFmtId="192" fontId="3" fillId="0" borderId="0" applyFont="0" applyFill="0" applyBorder="0" applyAlignment="0" applyProtection="0">
      <alignment vertical="center"/>
    </xf>
    <xf numFmtId="192" fontId="3" fillId="0" borderId="0" applyFont="0" applyFill="0" applyBorder="0" applyAlignment="0" applyProtection="0">
      <alignment vertical="center"/>
    </xf>
    <xf numFmtId="0" fontId="77" fillId="0" borderId="0">
      <alignment vertical="center"/>
    </xf>
    <xf numFmtId="0" fontId="77" fillId="0" borderId="0">
      <alignment vertical="center"/>
    </xf>
    <xf numFmtId="0" fontId="61" fillId="0" borderId="0"/>
    <xf numFmtId="211" fontId="6" fillId="0" borderId="178">
      <alignment vertical="center"/>
    </xf>
    <xf numFmtId="211" fontId="6" fillId="0" borderId="178">
      <alignment vertical="center"/>
    </xf>
    <xf numFmtId="3" fontId="201" fillId="0" borderId="178"/>
    <xf numFmtId="3" fontId="201" fillId="0" borderId="178"/>
    <xf numFmtId="0" fontId="57" fillId="0" borderId="0">
      <alignment horizontal="center" vertical="center"/>
    </xf>
    <xf numFmtId="188" fontId="3" fillId="0" borderId="181" applyBorder="0">
      <alignment vertical="center" wrapText="1"/>
    </xf>
    <xf numFmtId="188" fontId="3" fillId="0" borderId="181" applyBorder="0">
      <alignment vertical="center" wrapText="1"/>
    </xf>
    <xf numFmtId="0" fontId="3" fillId="0" borderId="0"/>
    <xf numFmtId="211" fontId="206" fillId="0" borderId="0" applyFont="0" applyFill="0" applyBorder="0" applyAlignment="0" applyProtection="0"/>
    <xf numFmtId="285" fontId="60" fillId="0" borderId="0">
      <protection locked="0"/>
    </xf>
    <xf numFmtId="239" fontId="113" fillId="0" borderId="0">
      <protection locked="0"/>
    </xf>
    <xf numFmtId="239" fontId="113" fillId="0" borderId="0">
      <protection locked="0"/>
    </xf>
    <xf numFmtId="0" fontId="60" fillId="0" borderId="126">
      <alignment horizontal="center"/>
    </xf>
    <xf numFmtId="0" fontId="61" fillId="0" borderId="0"/>
    <xf numFmtId="0" fontId="93" fillId="0" borderId="40">
      <alignment horizontal="center" vertical="center"/>
    </xf>
    <xf numFmtId="49" fontId="98" fillId="0" borderId="178">
      <alignment horizontal="center" vertical="center"/>
    </xf>
    <xf numFmtId="49" fontId="98" fillId="0" borderId="178">
      <alignment horizontal="center" vertical="center"/>
    </xf>
    <xf numFmtId="255" fontId="3" fillId="0" borderId="178">
      <alignment vertical="center"/>
    </xf>
    <xf numFmtId="255"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6" fontId="3" fillId="0" borderId="178">
      <alignment vertical="center"/>
    </xf>
    <xf numFmtId="255" fontId="3" fillId="0" borderId="178">
      <alignment vertical="center"/>
    </xf>
    <xf numFmtId="255" fontId="3" fillId="0" borderId="178">
      <alignment vertical="center"/>
    </xf>
    <xf numFmtId="255" fontId="3" fillId="0" borderId="178">
      <alignment vertical="center"/>
    </xf>
    <xf numFmtId="255" fontId="3" fillId="0" borderId="178">
      <alignment vertical="center"/>
    </xf>
    <xf numFmtId="255" fontId="3" fillId="0" borderId="178">
      <alignment vertical="center"/>
    </xf>
    <xf numFmtId="255" fontId="3" fillId="0" borderId="178">
      <alignment vertical="center"/>
    </xf>
    <xf numFmtId="255" fontId="3" fillId="0" borderId="178">
      <alignment vertical="center"/>
    </xf>
    <xf numFmtId="255" fontId="3" fillId="0" borderId="178">
      <alignment vertical="center"/>
    </xf>
    <xf numFmtId="255" fontId="3" fillId="0" borderId="178">
      <alignment vertical="center"/>
    </xf>
    <xf numFmtId="255" fontId="3" fillId="0" borderId="178">
      <alignment vertical="center"/>
    </xf>
    <xf numFmtId="257" fontId="3" fillId="0" borderId="178">
      <alignment vertical="center"/>
    </xf>
    <xf numFmtId="257" fontId="3" fillId="0" borderId="178">
      <alignment vertical="center"/>
    </xf>
    <xf numFmtId="0" fontId="54" fillId="0" borderId="0" applyBorder="0" applyAlignment="0"/>
    <xf numFmtId="0" fontId="54" fillId="0" borderId="20" applyBorder="0" applyAlignment="0">
      <alignment horizontal="center"/>
    </xf>
    <xf numFmtId="0" fontId="54" fillId="0" borderId="231"/>
    <xf numFmtId="37" fontId="201" fillId="0" borderId="22">
      <alignment horizontal="center" vertical="center"/>
    </xf>
    <xf numFmtId="37" fontId="201" fillId="0" borderId="24" applyAlignment="0"/>
    <xf numFmtId="294" fontId="3" fillId="0" borderId="0"/>
    <xf numFmtId="294" fontId="3" fillId="0" borderId="0"/>
    <xf numFmtId="294" fontId="3" fillId="0" borderId="0"/>
    <xf numFmtId="294" fontId="3" fillId="0" borderId="0"/>
    <xf numFmtId="294" fontId="3" fillId="0" borderId="0"/>
    <xf numFmtId="294" fontId="3" fillId="0" borderId="0"/>
    <xf numFmtId="294" fontId="3" fillId="0" borderId="0"/>
    <xf numFmtId="294" fontId="3" fillId="0" borderId="0"/>
    <xf numFmtId="294" fontId="3" fillId="0" borderId="0"/>
    <xf numFmtId="294" fontId="3" fillId="0" borderId="0"/>
    <xf numFmtId="294" fontId="3" fillId="0" borderId="0"/>
    <xf numFmtId="0" fontId="207" fillId="0" borderId="0" applyNumberFormat="0" applyFont="0" applyAlignment="0">
      <alignment horizontal="centerContinuous"/>
    </xf>
    <xf numFmtId="49" fontId="3" fillId="0" borderId="0" applyFont="0" applyFill="0" applyBorder="0" applyAlignment="0" applyProtection="0"/>
    <xf numFmtId="177" fontId="102" fillId="0" borderId="167" applyFont="0" applyFill="0" applyBorder="0" applyAlignment="0" applyProtection="0">
      <alignment horizontal="center" vertical="center"/>
    </xf>
    <xf numFmtId="0" fontId="208" fillId="0" borderId="0" applyFont="0" applyAlignment="0">
      <alignment horizontal="left"/>
    </xf>
    <xf numFmtId="0" fontId="61" fillId="0" borderId="0" applyFont="0" applyFill="0" applyBorder="0" applyAlignment="0" applyProtection="0"/>
    <xf numFmtId="0" fontId="61" fillId="0" borderId="0" applyFont="0" applyFill="0" applyBorder="0" applyAlignment="0" applyProtection="0"/>
    <xf numFmtId="211" fontId="59" fillId="0" borderId="193">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246" fontId="3" fillId="0" borderId="0">
      <alignment vertical="center"/>
    </xf>
    <xf numFmtId="0" fontId="3" fillId="39" borderId="232" applyNumberFormat="0" applyFont="0" applyAlignment="0" applyProtection="0">
      <alignment vertical="center"/>
    </xf>
    <xf numFmtId="0" fontId="61" fillId="0" borderId="0" applyFont="0" applyFill="0" applyBorder="0" applyAlignment="0" applyProtection="0"/>
    <xf numFmtId="0" fontId="61" fillId="0" borderId="0" applyFont="0" applyFill="0" applyBorder="0" applyAlignment="0" applyProtection="0"/>
    <xf numFmtId="0" fontId="71" fillId="0" borderId="0" applyNumberFormat="0" applyFont="0" applyFill="0" applyBorder="0" applyProtection="0">
      <alignment horizontal="distributed" vertical="center" justifyLastLine="1"/>
    </xf>
    <xf numFmtId="285" fontId="60" fillId="0" borderId="0">
      <protection locked="0"/>
    </xf>
    <xf numFmtId="285" fontId="60" fillId="0" borderId="0">
      <protection locked="0"/>
    </xf>
    <xf numFmtId="285" fontId="60" fillId="0" borderId="0">
      <protection locked="0"/>
    </xf>
    <xf numFmtId="40" fontId="60" fillId="0" borderId="0">
      <protection locked="0"/>
    </xf>
    <xf numFmtId="40" fontId="60" fillId="0" borderId="0">
      <protection locked="0"/>
    </xf>
    <xf numFmtId="285" fontId="60" fillId="0" borderId="0">
      <protection locked="0"/>
    </xf>
    <xf numFmtId="285" fontId="60" fillId="0" borderId="0">
      <protection locked="0"/>
    </xf>
    <xf numFmtId="285" fontId="60" fillId="0" borderId="0">
      <protection locked="0"/>
    </xf>
    <xf numFmtId="40" fontId="60" fillId="0" borderId="0">
      <protection locked="0"/>
    </xf>
    <xf numFmtId="295" fontId="60" fillId="0" borderId="0" applyFont="0" applyFill="0" applyBorder="0" applyProtection="0">
      <alignment horizontal="center" vertical="center"/>
    </xf>
    <xf numFmtId="248" fontId="60" fillId="0" borderId="0" applyFont="0" applyFill="0" applyBorder="0" applyProtection="0">
      <alignment horizontal="center" vertical="center"/>
    </xf>
    <xf numFmtId="9" fontId="115" fillId="0" borderId="0" applyFont="0" applyFill="0" applyBorder="0" applyAlignment="0" applyProtection="0">
      <alignment vertical="center"/>
    </xf>
    <xf numFmtId="9" fontId="59"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296" fontId="3" fillId="0" borderId="0" applyFont="0" applyFill="0" applyBorder="0" applyAlignment="0" applyProtection="0"/>
    <xf numFmtId="296" fontId="3" fillId="0" borderId="0" applyFont="0" applyFill="0" applyBorder="0" applyAlignment="0" applyProtection="0"/>
    <xf numFmtId="198" fontId="71" fillId="0" borderId="0" applyFont="0" applyFill="0" applyBorder="0" applyAlignment="0" applyProtection="0"/>
    <xf numFmtId="297" fontId="3" fillId="0" borderId="21" applyBorder="0"/>
    <xf numFmtId="297" fontId="3" fillId="0" borderId="21" applyBorder="0"/>
    <xf numFmtId="0" fontId="209" fillId="0" borderId="0"/>
    <xf numFmtId="0" fontId="54" fillId="0" borderId="0" applyNumberFormat="0" applyFont="0" applyFill="0" applyBorder="0" applyProtection="0">
      <alignment horizontal="centerContinuous" vertical="center"/>
    </xf>
    <xf numFmtId="0" fontId="71" fillId="0" borderId="0" applyNumberFormat="0" applyFont="0" applyFill="0" applyBorder="0" applyProtection="0">
      <alignment horizontal="centerContinuous" vertical="center"/>
    </xf>
    <xf numFmtId="177" fontId="99" fillId="0" borderId="25">
      <alignment vertical="center"/>
    </xf>
    <xf numFmtId="3" fontId="71" fillId="0" borderId="178"/>
    <xf numFmtId="0" fontId="71" fillId="0" borderId="178"/>
    <xf numFmtId="3" fontId="71" fillId="0" borderId="156"/>
    <xf numFmtId="3" fontId="71" fillId="0" borderId="155"/>
    <xf numFmtId="0" fontId="210" fillId="0" borderId="178"/>
    <xf numFmtId="0" fontId="211" fillId="0" borderId="0">
      <alignment horizontal="center"/>
    </xf>
    <xf numFmtId="0" fontId="206" fillId="0" borderId="233">
      <alignment horizontal="center"/>
    </xf>
    <xf numFmtId="298" fontId="101" fillId="0" borderId="46"/>
    <xf numFmtId="4" fontId="101" fillId="0" borderId="21"/>
    <xf numFmtId="299" fontId="101" fillId="0" borderId="21"/>
    <xf numFmtId="300" fontId="101" fillId="0" borderId="21"/>
    <xf numFmtId="1" fontId="93" fillId="0" borderId="0" applyFont="0" applyFill="0" applyBorder="0" applyProtection="0">
      <alignment horizontal="centerContinuous" vertical="center"/>
    </xf>
    <xf numFmtId="41" fontId="3" fillId="0" borderId="0" applyFont="0" applyFill="0" applyBorder="0" applyAlignment="0" applyProtection="0"/>
    <xf numFmtId="301" fontId="212" fillId="0" borderId="0"/>
    <xf numFmtId="41" fontId="59" fillId="0" borderId="0" applyFont="0" applyFill="0" applyBorder="0" applyAlignment="0" applyProtection="0"/>
    <xf numFmtId="41" fontId="3" fillId="0" borderId="0" applyFont="0" applyFill="0" applyBorder="0" applyAlignment="0" applyProtection="0">
      <alignment vertical="center"/>
    </xf>
    <xf numFmtId="0" fontId="62" fillId="0" borderId="0"/>
    <xf numFmtId="0" fontId="213" fillId="0" borderId="0" applyNumberFormat="0" applyFill="0" applyBorder="0" applyAlignment="0" applyProtection="0">
      <alignment vertical="top"/>
      <protection locked="0"/>
    </xf>
    <xf numFmtId="214" fontId="3" fillId="0" borderId="234" applyBorder="0">
      <alignment vertical="center"/>
    </xf>
    <xf numFmtId="214" fontId="3" fillId="0" borderId="234" applyBorder="0">
      <alignment vertical="center"/>
    </xf>
    <xf numFmtId="243" fontId="3" fillId="0" borderId="234" applyBorder="0">
      <alignment horizontal="left" vertical="center"/>
    </xf>
    <xf numFmtId="243" fontId="3" fillId="0" borderId="234" applyBorder="0">
      <alignment horizontal="left" vertical="center"/>
    </xf>
    <xf numFmtId="302" fontId="3" fillId="0" borderId="0" applyFont="0" applyFill="0" applyBorder="0" applyAlignment="0" applyProtection="0"/>
    <xf numFmtId="303" fontId="3" fillId="0" borderId="0" applyFont="0" applyFill="0" applyBorder="0" applyAlignment="0" applyProtection="0"/>
    <xf numFmtId="303" fontId="3" fillId="0" borderId="0" applyFont="0" applyFill="0" applyBorder="0" applyAlignment="0" applyProtection="0"/>
    <xf numFmtId="30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304" fontId="60" fillId="0" borderId="0" applyFont="0" applyFill="0" applyBorder="0" applyAlignment="0" applyProtection="0"/>
    <xf numFmtId="212" fontId="214" fillId="0" borderId="0" applyFont="0" applyFill="0" applyBorder="0" applyAlignment="0" applyProtection="0"/>
    <xf numFmtId="212" fontId="214" fillId="0" borderId="0" applyFont="0" applyFill="0" applyBorder="0" applyAlignment="0" applyProtection="0"/>
    <xf numFmtId="191" fontId="77" fillId="0" borderId="0" applyFont="0" applyFill="0" applyBorder="0" applyAlignment="0" applyProtection="0"/>
    <xf numFmtId="305" fontId="60" fillId="0" borderId="0" applyFont="0" applyFill="0" applyBorder="0" applyAlignment="0" applyProtection="0"/>
    <xf numFmtId="212" fontId="214" fillId="0" borderId="0" applyFont="0" applyFill="0" applyBorder="0" applyAlignment="0" applyProtection="0"/>
    <xf numFmtId="213" fontId="60" fillId="0" borderId="0" applyFont="0" applyFill="0" applyBorder="0" applyAlignment="0" applyProtection="0"/>
    <xf numFmtId="0" fontId="215" fillId="0" borderId="0">
      <alignment horizontal="center" vertical="center"/>
    </xf>
    <xf numFmtId="0" fontId="216" fillId="0" borderId="0"/>
    <xf numFmtId="0" fontId="6" fillId="0" borderId="0" applyNumberFormat="0" applyBorder="0" applyAlignment="0">
      <alignment horizontal="centerContinuous" vertical="center"/>
    </xf>
    <xf numFmtId="0" fontId="101" fillId="0" borderId="0"/>
    <xf numFmtId="4" fontId="66" fillId="0" borderId="0">
      <protection locked="0"/>
    </xf>
    <xf numFmtId="0" fontId="217" fillId="0" borderId="0" applyNumberFormat="0" applyFont="0" applyBorder="0">
      <alignment vertical="center" shrinkToFit="1"/>
    </xf>
    <xf numFmtId="0" fontId="218" fillId="0" borderId="235" applyNumberFormat="0" applyFill="0" applyAlignment="0" applyProtection="0"/>
    <xf numFmtId="0" fontId="60" fillId="0" borderId="234">
      <alignment horizontal="distributed" vertical="center"/>
    </xf>
    <xf numFmtId="0" fontId="60" fillId="0" borderId="234">
      <alignment horizontal="distributed" vertical="center"/>
    </xf>
    <xf numFmtId="0" fontId="60" fillId="0" borderId="236">
      <alignment horizontal="distributed"/>
    </xf>
    <xf numFmtId="0" fontId="219" fillId="0" borderId="0"/>
    <xf numFmtId="0" fontId="3" fillId="0" borderId="0"/>
    <xf numFmtId="0" fontId="127" fillId="28" borderId="237" applyNumberFormat="0" applyAlignment="0" applyProtection="0">
      <alignment vertical="center"/>
    </xf>
    <xf numFmtId="0" fontId="127" fillId="28" borderId="237" applyNumberFormat="0" applyAlignment="0" applyProtection="0">
      <alignment vertical="center"/>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85" fontId="60" fillId="0" borderId="0">
      <protection locked="0"/>
    </xf>
    <xf numFmtId="285" fontId="60"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39" fontId="11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85" fontId="60" fillId="0" borderId="0">
      <protection locked="0"/>
    </xf>
    <xf numFmtId="285" fontId="60"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40" fontId="60" fillId="0" borderId="0">
      <protection locked="0"/>
    </xf>
    <xf numFmtId="40" fontId="60" fillId="0" borderId="0">
      <protection locked="0"/>
    </xf>
    <xf numFmtId="176" fontId="3" fillId="0" borderId="0">
      <protection locked="0"/>
    </xf>
    <xf numFmtId="285" fontId="60" fillId="0" borderId="0">
      <protection locked="0"/>
    </xf>
    <xf numFmtId="285" fontId="60" fillId="0" borderId="0">
      <protection locked="0"/>
    </xf>
    <xf numFmtId="285" fontId="60" fillId="0" borderId="0">
      <protection locked="0"/>
    </xf>
    <xf numFmtId="40" fontId="60" fillId="0" borderId="0">
      <protection locked="0"/>
    </xf>
    <xf numFmtId="306" fontId="60" fillId="0" borderId="0" applyFont="0" applyFill="0" applyBorder="0" applyProtection="0">
      <alignment vertical="center"/>
    </xf>
    <xf numFmtId="38" fontId="71" fillId="0" borderId="0" applyFont="0" applyFill="0" applyBorder="0" applyProtection="0">
      <alignment vertical="center"/>
    </xf>
    <xf numFmtId="211" fontId="60" fillId="0" borderId="187">
      <alignment horizontal="center" vertical="center"/>
    </xf>
    <xf numFmtId="38" fontId="71" fillId="0" borderId="0" applyFont="0" applyFill="0" applyBorder="0" applyAlignment="0" applyProtection="0">
      <alignment vertical="center"/>
    </xf>
    <xf numFmtId="177" fontId="71" fillId="0" borderId="0" applyFont="0" applyFill="0" applyBorder="0" applyAlignment="0" applyProtection="0">
      <alignment vertical="center"/>
    </xf>
    <xf numFmtId="38" fontId="71" fillId="0" borderId="0" applyFill="0" applyBorder="0" applyAlignment="0" applyProtection="0">
      <alignment vertical="center"/>
    </xf>
    <xf numFmtId="260" fontId="220" fillId="0" borderId="0" applyFont="0" applyFill="0" applyBorder="0" applyAlignment="0" applyProtection="0">
      <alignment vertical="center"/>
    </xf>
    <xf numFmtId="40" fontId="60" fillId="0" borderId="35"/>
    <xf numFmtId="182" fontId="114" fillId="0" borderId="238">
      <alignment vertical="center"/>
    </xf>
    <xf numFmtId="182" fontId="114" fillId="0" borderId="238">
      <alignment vertical="center"/>
    </xf>
    <xf numFmtId="0" fontId="6" fillId="0" borderId="0">
      <alignment horizontal="center" vertical="center"/>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85" fontId="60" fillId="0" borderId="0">
      <protection locked="0"/>
    </xf>
    <xf numFmtId="285" fontId="60"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39" fontId="11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85" fontId="60" fillId="0" borderId="0">
      <protection locked="0"/>
    </xf>
    <xf numFmtId="285" fontId="60"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40" fontId="60" fillId="0" borderId="0">
      <protection locked="0"/>
    </xf>
    <xf numFmtId="40" fontId="60" fillId="0" borderId="0">
      <protection locked="0"/>
    </xf>
    <xf numFmtId="176" fontId="3" fillId="0" borderId="0">
      <protection locked="0"/>
    </xf>
    <xf numFmtId="285" fontId="60" fillId="0" borderId="0">
      <protection locked="0"/>
    </xf>
    <xf numFmtId="285" fontId="60" fillId="0" borderId="0">
      <protection locked="0"/>
    </xf>
    <xf numFmtId="285" fontId="60" fillId="0" borderId="0">
      <protection locked="0"/>
    </xf>
    <xf numFmtId="40" fontId="60" fillId="0" borderId="0">
      <protection locked="0"/>
    </xf>
    <xf numFmtId="42" fontId="3" fillId="0" borderId="0" applyFont="0" applyFill="0" applyBorder="0" applyAlignment="0" applyProtection="0"/>
    <xf numFmtId="0" fontId="54" fillId="0" borderId="25">
      <alignment horizontal="center" vertical="center"/>
    </xf>
    <xf numFmtId="0" fontId="54" fillId="0" borderId="25">
      <alignment horizontal="left" vertical="center"/>
    </xf>
    <xf numFmtId="0" fontId="54" fillId="0" borderId="25">
      <alignment vertical="center" textRotation="255"/>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85" fontId="60" fillId="0" borderId="0">
      <protection locked="0"/>
    </xf>
    <xf numFmtId="285" fontId="60" fillId="0" borderId="0">
      <protection locked="0"/>
    </xf>
    <xf numFmtId="0" fontId="3" fillId="0" borderId="0"/>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39" fontId="11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85" fontId="60" fillId="0" borderId="0">
      <protection locked="0"/>
    </xf>
    <xf numFmtId="285" fontId="60" fillId="0" borderId="0">
      <protection locked="0"/>
    </xf>
    <xf numFmtId="176" fontId="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239" fontId="113" fillId="0" borderId="0">
      <protection locked="0"/>
    </xf>
    <xf numFmtId="40" fontId="60" fillId="0" borderId="0">
      <protection locked="0"/>
    </xf>
    <xf numFmtId="40" fontId="60" fillId="0" borderId="0">
      <protection locked="0"/>
    </xf>
    <xf numFmtId="176" fontId="3" fillId="0" borderId="0">
      <protection locked="0"/>
    </xf>
    <xf numFmtId="285" fontId="60" fillId="0" borderId="0">
      <protection locked="0"/>
    </xf>
    <xf numFmtId="285" fontId="60" fillId="0" borderId="0">
      <protection locked="0"/>
    </xf>
    <xf numFmtId="285" fontId="60" fillId="0" borderId="0">
      <protection locked="0"/>
    </xf>
    <xf numFmtId="40" fontId="60" fillId="0" borderId="0">
      <protection locked="0"/>
    </xf>
    <xf numFmtId="0" fontId="3" fillId="0" borderId="0">
      <alignment vertical="center"/>
    </xf>
    <xf numFmtId="0" fontId="3" fillId="0" borderId="0">
      <alignment vertical="center"/>
    </xf>
    <xf numFmtId="0" fontId="3" fillId="0" borderId="0">
      <alignment vertical="center"/>
    </xf>
    <xf numFmtId="0" fontId="54" fillId="0" borderId="0"/>
    <xf numFmtId="0" fontId="107" fillId="0" borderId="0">
      <alignment vertical="center"/>
    </xf>
    <xf numFmtId="0" fontId="212" fillId="0" borderId="0"/>
    <xf numFmtId="0" fontId="59" fillId="0" borderId="0"/>
    <xf numFmtId="0" fontId="221" fillId="0" borderId="0">
      <alignment vertical="center"/>
    </xf>
    <xf numFmtId="37" fontId="60" fillId="0" borderId="0"/>
    <xf numFmtId="0" fontId="3" fillId="0" borderId="0"/>
    <xf numFmtId="0" fontId="115" fillId="0" borderId="0">
      <alignment vertical="center"/>
    </xf>
    <xf numFmtId="0" fontId="107" fillId="0" borderId="0">
      <alignment vertical="center"/>
    </xf>
    <xf numFmtId="0" fontId="3" fillId="0" borderId="0"/>
    <xf numFmtId="0" fontId="115" fillId="0" borderId="0">
      <alignment vertical="center"/>
    </xf>
    <xf numFmtId="0" fontId="3" fillId="0" borderId="0"/>
    <xf numFmtId="0" fontId="222" fillId="0" borderId="0"/>
    <xf numFmtId="0" fontId="60" fillId="0" borderId="25">
      <alignment vertical="center" wrapText="1"/>
    </xf>
    <xf numFmtId="0" fontId="59" fillId="0" borderId="0"/>
    <xf numFmtId="0" fontId="77" fillId="0" borderId="0"/>
    <xf numFmtId="49" fontId="71" fillId="0" borderId="0">
      <alignment horizontal="left"/>
    </xf>
    <xf numFmtId="0" fontId="60" fillId="0" borderId="0"/>
    <xf numFmtId="0" fontId="93" fillId="0" borderId="40">
      <alignment horizontal="center" vertical="center"/>
    </xf>
    <xf numFmtId="214" fontId="3" fillId="0" borderId="238">
      <alignment vertical="center"/>
    </xf>
    <xf numFmtId="214" fontId="3" fillId="0" borderId="238">
      <alignment vertical="center"/>
    </xf>
    <xf numFmtId="214" fontId="3" fillId="0" borderId="238">
      <alignment vertical="center"/>
    </xf>
    <xf numFmtId="214" fontId="3" fillId="0" borderId="238">
      <alignment vertical="center"/>
    </xf>
    <xf numFmtId="285" fontId="60" fillId="0" borderId="0">
      <protection locked="0"/>
    </xf>
    <xf numFmtId="285" fontId="60" fillId="0" borderId="0">
      <protection locked="0"/>
    </xf>
    <xf numFmtId="214" fontId="3" fillId="0" borderId="238">
      <alignment vertical="center"/>
    </xf>
    <xf numFmtId="214" fontId="3" fillId="0" borderId="238">
      <alignment vertical="center"/>
    </xf>
    <xf numFmtId="214" fontId="3" fillId="0" borderId="238">
      <alignment vertical="center"/>
    </xf>
    <xf numFmtId="285" fontId="60" fillId="0" borderId="0">
      <protection locked="0"/>
    </xf>
    <xf numFmtId="214" fontId="3" fillId="0" borderId="238">
      <alignment vertical="center"/>
    </xf>
    <xf numFmtId="214" fontId="3" fillId="0" borderId="238">
      <alignment vertical="center"/>
    </xf>
    <xf numFmtId="214" fontId="3" fillId="0" borderId="238">
      <alignment vertical="center"/>
    </xf>
    <xf numFmtId="214" fontId="3" fillId="0" borderId="238">
      <alignment vertical="center"/>
    </xf>
    <xf numFmtId="214" fontId="3" fillId="0" borderId="238">
      <alignment vertical="center"/>
    </xf>
    <xf numFmtId="40" fontId="60" fillId="0" borderId="0">
      <protection locked="0"/>
    </xf>
    <xf numFmtId="40" fontId="60" fillId="0" borderId="0">
      <protection locked="0"/>
    </xf>
    <xf numFmtId="285" fontId="60" fillId="0" borderId="0">
      <protection locked="0"/>
    </xf>
    <xf numFmtId="285" fontId="60" fillId="0" borderId="0">
      <protection locked="0"/>
    </xf>
    <xf numFmtId="285" fontId="60" fillId="0" borderId="0">
      <protection locked="0"/>
    </xf>
    <xf numFmtId="40" fontId="60" fillId="0" borderId="0">
      <protection locked="0"/>
    </xf>
    <xf numFmtId="260" fontId="70" fillId="0" borderId="0" applyFont="0" applyFill="0" applyBorder="0" applyAlignment="0" applyProtection="0"/>
    <xf numFmtId="307" fontId="70" fillId="0" borderId="0" applyFont="0" applyFill="0" applyBorder="0" applyAlignment="0" applyProtection="0"/>
    <xf numFmtId="308" fontId="223" fillId="0" borderId="238">
      <alignment horizontal="center" vertical="center"/>
    </xf>
    <xf numFmtId="285" fontId="60" fillId="0" borderId="0">
      <protection locked="0"/>
    </xf>
    <xf numFmtId="239" fontId="66" fillId="0" borderId="0">
      <protection locked="0"/>
    </xf>
    <xf numFmtId="239" fontId="66" fillId="0" borderId="0">
      <protection locked="0"/>
    </xf>
    <xf numFmtId="239" fontId="113" fillId="0" borderId="0">
      <protection locked="0"/>
    </xf>
    <xf numFmtId="239" fontId="113" fillId="0" borderId="0">
      <protection locked="0"/>
    </xf>
    <xf numFmtId="239" fontId="113" fillId="0" borderId="0">
      <protection locked="0"/>
    </xf>
    <xf numFmtId="0" fontId="74" fillId="0" borderId="0" applyFont="0" applyFill="0" applyBorder="0" applyAlignment="0" applyProtection="0"/>
    <xf numFmtId="218" fontId="72" fillId="0" borderId="0" applyFont="0" applyFill="0" applyBorder="0" applyAlignment="0" applyProtection="0"/>
    <xf numFmtId="309" fontId="3" fillId="0" borderId="0" applyFill="0" applyBorder="0" applyAlignment="0" applyProtection="0"/>
    <xf numFmtId="309" fontId="3" fillId="0" borderId="0" applyFill="0" applyBorder="0" applyAlignment="0" applyProtection="0"/>
    <xf numFmtId="218" fontId="74" fillId="0" borderId="0" applyFont="0" applyFill="0" applyBorder="0" applyAlignment="0" applyProtection="0"/>
    <xf numFmtId="218" fontId="72" fillId="0" borderId="0" applyFont="0" applyFill="0" applyBorder="0" applyAlignment="0" applyProtection="0"/>
    <xf numFmtId="218" fontId="74" fillId="0" borderId="0" applyFont="0" applyFill="0" applyBorder="0" applyAlignment="0" applyProtection="0"/>
    <xf numFmtId="218" fontId="72" fillId="0" borderId="0" applyFont="0" applyFill="0" applyBorder="0" applyAlignment="0" applyProtection="0"/>
    <xf numFmtId="291" fontId="74" fillId="0" borderId="0" applyFont="0" applyFill="0" applyBorder="0" applyAlignment="0" applyProtection="0"/>
    <xf numFmtId="218" fontId="72" fillId="0" borderId="0" applyFont="0" applyFill="0" applyBorder="0" applyAlignment="0" applyProtection="0"/>
    <xf numFmtId="218" fontId="74" fillId="0" borderId="0" applyFont="0" applyFill="0" applyBorder="0" applyAlignment="0" applyProtection="0"/>
    <xf numFmtId="218" fontId="72" fillId="0" borderId="0" applyFont="0" applyFill="0" applyBorder="0" applyAlignment="0" applyProtection="0"/>
    <xf numFmtId="218" fontId="74" fillId="0" borderId="0" applyFont="0" applyFill="0" applyBorder="0" applyAlignment="0" applyProtection="0"/>
    <xf numFmtId="218" fontId="72" fillId="0" borderId="0" applyFont="0" applyFill="0" applyBorder="0" applyAlignment="0" applyProtection="0"/>
    <xf numFmtId="218" fontId="74" fillId="0" borderId="0" applyFont="0" applyFill="0" applyBorder="0" applyAlignment="0" applyProtection="0"/>
    <xf numFmtId="218" fontId="72" fillId="0" borderId="0" applyFont="0" applyFill="0" applyBorder="0" applyAlignment="0" applyProtection="0"/>
    <xf numFmtId="0" fontId="72" fillId="0" borderId="0" applyFont="0" applyFill="0" applyBorder="0" applyAlignment="0" applyProtection="0"/>
    <xf numFmtId="0" fontId="74" fillId="0" borderId="0" applyFont="0" applyFill="0" applyBorder="0" applyAlignment="0" applyProtection="0"/>
    <xf numFmtId="239" fontId="113" fillId="0" borderId="0">
      <protection locked="0"/>
    </xf>
    <xf numFmtId="285" fontId="60" fillId="0" borderId="0">
      <protection locked="0"/>
    </xf>
    <xf numFmtId="0" fontId="74" fillId="0" borderId="0" applyFont="0" applyFill="0" applyBorder="0" applyAlignment="0" applyProtection="0"/>
    <xf numFmtId="310" fontId="72" fillId="0" borderId="0" applyFont="0" applyFill="0" applyBorder="0" applyAlignment="0" applyProtection="0"/>
    <xf numFmtId="311" fontId="3" fillId="0" borderId="0" applyFill="0" applyBorder="0" applyAlignment="0" applyProtection="0"/>
    <xf numFmtId="311" fontId="3" fillId="0" borderId="0" applyFill="0" applyBorder="0" applyAlignment="0" applyProtection="0"/>
    <xf numFmtId="310" fontId="74" fillId="0" borderId="0" applyFont="0" applyFill="0" applyBorder="0" applyAlignment="0" applyProtection="0"/>
    <xf numFmtId="310" fontId="72" fillId="0" borderId="0" applyFont="0" applyFill="0" applyBorder="0" applyAlignment="0" applyProtection="0"/>
    <xf numFmtId="310" fontId="74" fillId="0" borderId="0" applyFont="0" applyFill="0" applyBorder="0" applyAlignment="0" applyProtection="0"/>
    <xf numFmtId="310" fontId="72" fillId="0" borderId="0" applyFont="0" applyFill="0" applyBorder="0" applyAlignment="0" applyProtection="0"/>
    <xf numFmtId="292" fontId="74" fillId="0" borderId="0" applyFont="0" applyFill="0" applyBorder="0" applyAlignment="0" applyProtection="0"/>
    <xf numFmtId="310" fontId="72" fillId="0" borderId="0" applyFont="0" applyFill="0" applyBorder="0" applyAlignment="0" applyProtection="0"/>
    <xf numFmtId="310" fontId="74" fillId="0" borderId="0" applyFont="0" applyFill="0" applyBorder="0" applyAlignment="0" applyProtection="0"/>
    <xf numFmtId="310" fontId="72" fillId="0" borderId="0" applyFont="0" applyFill="0" applyBorder="0" applyAlignment="0" applyProtection="0"/>
    <xf numFmtId="310" fontId="74" fillId="0" borderId="0" applyFont="0" applyFill="0" applyBorder="0" applyAlignment="0" applyProtection="0"/>
    <xf numFmtId="310" fontId="72" fillId="0" borderId="0" applyFont="0" applyFill="0" applyBorder="0" applyAlignment="0" applyProtection="0"/>
    <xf numFmtId="310" fontId="74" fillId="0" borderId="0" applyFont="0" applyFill="0" applyBorder="0" applyAlignment="0" applyProtection="0"/>
    <xf numFmtId="310" fontId="72" fillId="0" borderId="0" applyFont="0" applyFill="0" applyBorder="0" applyAlignment="0" applyProtection="0"/>
    <xf numFmtId="0" fontId="72" fillId="0" borderId="0" applyFont="0" applyFill="0" applyBorder="0" applyAlignment="0" applyProtection="0"/>
    <xf numFmtId="0" fontId="74" fillId="0" borderId="0" applyFont="0" applyFill="0" applyBorder="0" applyAlignment="0" applyProtection="0"/>
    <xf numFmtId="239" fontId="113" fillId="0" borderId="0">
      <protection locked="0"/>
    </xf>
    <xf numFmtId="285" fontId="60" fillId="0" borderId="0">
      <protection locked="0"/>
    </xf>
    <xf numFmtId="239" fontId="66" fillId="0" borderId="0">
      <protection locked="0"/>
    </xf>
    <xf numFmtId="250" fontId="70" fillId="0" borderId="0" applyFont="0" applyFill="0" applyBorder="0" applyAlignment="0" applyProtection="0"/>
    <xf numFmtId="312" fontId="70" fillId="0" borderId="0" applyFont="0" applyFill="0" applyBorder="0" applyAlignment="0" applyProtection="0"/>
    <xf numFmtId="239" fontId="113" fillId="0" borderId="0">
      <protection locked="0"/>
    </xf>
    <xf numFmtId="239" fontId="113" fillId="0" borderId="0">
      <protection locked="0"/>
    </xf>
    <xf numFmtId="285" fontId="60" fillId="0" borderId="0">
      <protection locked="0"/>
    </xf>
    <xf numFmtId="239" fontId="113" fillId="0" borderId="0">
      <protection locked="0"/>
    </xf>
    <xf numFmtId="239" fontId="113" fillId="0" borderId="0">
      <protection locked="0"/>
    </xf>
    <xf numFmtId="0" fontId="224" fillId="0" borderId="0" applyFont="0" applyFill="0" applyBorder="0" applyAlignment="0" applyProtection="0"/>
    <xf numFmtId="211" fontId="72" fillId="0" borderId="0" applyFont="0" applyFill="0" applyBorder="0" applyAlignment="0" applyProtection="0"/>
    <xf numFmtId="313" fontId="3" fillId="0" borderId="0" applyFill="0" applyBorder="0" applyAlignment="0" applyProtection="0"/>
    <xf numFmtId="313" fontId="3" fillId="0" borderId="0" applyFill="0" applyBorder="0" applyAlignment="0" applyProtection="0"/>
    <xf numFmtId="211" fontId="74" fillId="0" borderId="0" applyFont="0" applyFill="0" applyBorder="0" applyAlignment="0" applyProtection="0"/>
    <xf numFmtId="211" fontId="72" fillId="0" borderId="0" applyFont="0" applyFill="0" applyBorder="0" applyAlignment="0" applyProtection="0"/>
    <xf numFmtId="211" fontId="74" fillId="0" borderId="0" applyFont="0" applyFill="0" applyBorder="0" applyAlignment="0" applyProtection="0"/>
    <xf numFmtId="211" fontId="72" fillId="0" borderId="0" applyFont="0" applyFill="0" applyBorder="0" applyAlignment="0" applyProtection="0"/>
    <xf numFmtId="211" fontId="74" fillId="0" borderId="0" applyFont="0" applyFill="0" applyBorder="0" applyAlignment="0" applyProtection="0"/>
    <xf numFmtId="211" fontId="72" fillId="0" borderId="0" applyFont="0" applyFill="0" applyBorder="0" applyAlignment="0" applyProtection="0"/>
    <xf numFmtId="211" fontId="74" fillId="0" borderId="0" applyFont="0" applyFill="0" applyBorder="0" applyAlignment="0" applyProtection="0"/>
    <xf numFmtId="211" fontId="72" fillId="0" borderId="0" applyFont="0" applyFill="0" applyBorder="0" applyAlignment="0" applyProtection="0"/>
    <xf numFmtId="211" fontId="74" fillId="0" borderId="0" applyFont="0" applyFill="0" applyBorder="0" applyAlignment="0" applyProtection="0"/>
    <xf numFmtId="211" fontId="72" fillId="0" borderId="0" applyFont="0" applyFill="0" applyBorder="0" applyAlignment="0" applyProtection="0"/>
    <xf numFmtId="211" fontId="74" fillId="0" borderId="0" applyFont="0" applyFill="0" applyBorder="0" applyAlignment="0" applyProtection="0"/>
    <xf numFmtId="211" fontId="72" fillId="0" borderId="0" applyFont="0" applyFill="0" applyBorder="0" applyAlignment="0" applyProtection="0"/>
    <xf numFmtId="0" fontId="72" fillId="0" borderId="0" applyFont="0" applyFill="0" applyBorder="0" applyAlignment="0" applyProtection="0"/>
    <xf numFmtId="0" fontId="74" fillId="0" borderId="0" applyFont="0" applyFill="0" applyBorder="0" applyAlignment="0" applyProtection="0"/>
    <xf numFmtId="239" fontId="113" fillId="0" borderId="0">
      <protection locked="0"/>
    </xf>
    <xf numFmtId="0" fontId="74" fillId="0" borderId="0" applyFont="0" applyFill="0" applyBorder="0" applyAlignment="0" applyProtection="0"/>
    <xf numFmtId="231" fontId="72" fillId="0" borderId="0" applyFont="0" applyFill="0" applyBorder="0" applyAlignment="0" applyProtection="0"/>
    <xf numFmtId="314" fontId="3" fillId="0" borderId="0" applyFill="0" applyBorder="0" applyAlignment="0" applyProtection="0"/>
    <xf numFmtId="314" fontId="3" fillId="0" borderId="0" applyFill="0" applyBorder="0" applyAlignment="0" applyProtection="0"/>
    <xf numFmtId="231" fontId="74" fillId="0" borderId="0" applyFont="0" applyFill="0" applyBorder="0" applyAlignment="0" applyProtection="0"/>
    <xf numFmtId="231" fontId="72" fillId="0" borderId="0" applyFont="0" applyFill="0" applyBorder="0" applyAlignment="0" applyProtection="0"/>
    <xf numFmtId="231" fontId="74" fillId="0" borderId="0" applyFont="0" applyFill="0" applyBorder="0" applyAlignment="0" applyProtection="0"/>
    <xf numFmtId="231" fontId="72" fillId="0" borderId="0" applyFont="0" applyFill="0" applyBorder="0" applyAlignment="0" applyProtection="0"/>
    <xf numFmtId="231" fontId="74" fillId="0" borderId="0" applyFont="0" applyFill="0" applyBorder="0" applyAlignment="0" applyProtection="0"/>
    <xf numFmtId="231" fontId="72" fillId="0" borderId="0" applyFont="0" applyFill="0" applyBorder="0" applyAlignment="0" applyProtection="0"/>
    <xf numFmtId="231" fontId="74" fillId="0" borderId="0" applyFont="0" applyFill="0" applyBorder="0" applyAlignment="0" applyProtection="0"/>
    <xf numFmtId="231" fontId="72" fillId="0" borderId="0" applyFont="0" applyFill="0" applyBorder="0" applyAlignment="0" applyProtection="0"/>
    <xf numFmtId="231" fontId="74" fillId="0" borderId="0" applyFont="0" applyFill="0" applyBorder="0" applyAlignment="0" applyProtection="0"/>
    <xf numFmtId="231" fontId="72" fillId="0" borderId="0" applyFont="0" applyFill="0" applyBorder="0" applyAlignment="0" applyProtection="0"/>
    <xf numFmtId="231" fontId="74" fillId="0" borderId="0" applyFont="0" applyFill="0" applyBorder="0" applyAlignment="0" applyProtection="0"/>
    <xf numFmtId="231" fontId="72" fillId="0" borderId="0" applyFont="0" applyFill="0" applyBorder="0" applyAlignment="0" applyProtection="0"/>
    <xf numFmtId="0" fontId="60" fillId="0" borderId="0" applyFont="0" applyFill="0" applyBorder="0" applyAlignment="0" applyProtection="0"/>
    <xf numFmtId="0" fontId="74" fillId="0" borderId="0" applyFont="0" applyFill="0" applyBorder="0" applyAlignment="0" applyProtection="0"/>
    <xf numFmtId="239" fontId="113" fillId="0" borderId="0">
      <protection locked="0"/>
    </xf>
    <xf numFmtId="0" fontId="3" fillId="0" borderId="0" applyFont="0" applyFill="0" applyBorder="0" applyAlignment="0" applyProtection="0"/>
    <xf numFmtId="0" fontId="176" fillId="0" borderId="0" applyNumberFormat="0" applyFill="0" applyBorder="0" applyAlignment="0" applyProtection="0"/>
    <xf numFmtId="0" fontId="80" fillId="0" borderId="0"/>
    <xf numFmtId="285" fontId="60" fillId="0" borderId="0">
      <protection locked="0"/>
    </xf>
    <xf numFmtId="285" fontId="60" fillId="0" borderId="0">
      <protection locked="0"/>
    </xf>
    <xf numFmtId="285" fontId="60" fillId="0" borderId="0">
      <protection locked="0"/>
    </xf>
    <xf numFmtId="40" fontId="60" fillId="0" borderId="0">
      <protection locked="0"/>
    </xf>
    <xf numFmtId="40" fontId="60" fillId="0" borderId="0">
      <protection locked="0"/>
    </xf>
    <xf numFmtId="285" fontId="60" fillId="0" borderId="0">
      <protection locked="0"/>
    </xf>
    <xf numFmtId="285" fontId="60" fillId="0" borderId="0">
      <protection locked="0"/>
    </xf>
    <xf numFmtId="285" fontId="60" fillId="0" borderId="0">
      <protection locked="0"/>
    </xf>
    <xf numFmtId="40" fontId="60" fillId="0" borderId="0">
      <protection locked="0"/>
    </xf>
    <xf numFmtId="239" fontId="66" fillId="0" borderId="0">
      <protection locked="0"/>
    </xf>
    <xf numFmtId="239" fontId="113" fillId="0" borderId="0">
      <protection locked="0"/>
    </xf>
    <xf numFmtId="239" fontId="113" fillId="0" borderId="0">
      <protection locked="0"/>
    </xf>
    <xf numFmtId="0" fontId="225" fillId="0" borderId="0"/>
    <xf numFmtId="0" fontId="72" fillId="0" borderId="0"/>
    <xf numFmtId="37" fontId="74" fillId="0" borderId="0"/>
    <xf numFmtId="0" fontId="75" fillId="0" borderId="0"/>
    <xf numFmtId="0" fontId="75" fillId="0" borderId="0"/>
    <xf numFmtId="0" fontId="72" fillId="0" borderId="0"/>
    <xf numFmtId="49" fontId="74" fillId="0" borderId="0" applyBorder="0"/>
    <xf numFmtId="0" fontId="79" fillId="0" borderId="0"/>
    <xf numFmtId="0" fontId="74" fillId="0" borderId="0"/>
    <xf numFmtId="0" fontId="72" fillId="0" borderId="0"/>
    <xf numFmtId="0" fontId="74" fillId="0" borderId="0"/>
    <xf numFmtId="0" fontId="226" fillId="0" borderId="0"/>
    <xf numFmtId="224" fontId="3" fillId="0" borderId="0" applyFill="0" applyBorder="0" applyAlignment="0"/>
    <xf numFmtId="0" fontId="227" fillId="0" borderId="0" applyNumberFormat="0" applyFill="0" applyBorder="0" applyAlignment="0" applyProtection="0">
      <alignment vertical="top"/>
      <protection locked="0"/>
    </xf>
    <xf numFmtId="285" fontId="60" fillId="0" borderId="0">
      <protection locked="0"/>
    </xf>
    <xf numFmtId="3" fontId="208" fillId="0" borderId="0">
      <alignment horizontal="center"/>
    </xf>
    <xf numFmtId="239" fontId="66" fillId="0" borderId="0">
      <protection locked="0"/>
    </xf>
    <xf numFmtId="211" fontId="206" fillId="0" borderId="0" applyFont="0" applyFill="0" applyBorder="0" applyAlignment="0" applyProtection="0"/>
    <xf numFmtId="315" fontId="3" fillId="0" borderId="0"/>
    <xf numFmtId="43" fontId="61" fillId="0" borderId="0" applyFont="0" applyFill="0" applyBorder="0" applyAlignment="0" applyProtection="0"/>
    <xf numFmtId="0" fontId="59" fillId="0" borderId="0" applyFont="0" applyFill="0" applyBorder="0" applyAlignment="0" applyProtection="0"/>
    <xf numFmtId="0" fontId="3" fillId="0" borderId="0" applyFont="0" applyFill="0" applyBorder="0" applyAlignment="0" applyProtection="0"/>
    <xf numFmtId="316" fontId="3" fillId="0" borderId="0"/>
    <xf numFmtId="0" fontId="3" fillId="0" borderId="0">
      <protection locked="0"/>
    </xf>
    <xf numFmtId="208" fontId="3" fillId="0" borderId="0"/>
    <xf numFmtId="317" fontId="3" fillId="0" borderId="0">
      <protection locked="0"/>
    </xf>
    <xf numFmtId="317" fontId="3" fillId="0" borderId="239">
      <alignment vertical="center"/>
    </xf>
    <xf numFmtId="297" fontId="3" fillId="0" borderId="0"/>
    <xf numFmtId="235" fontId="3" fillId="0" borderId="238">
      <alignment vertical="center"/>
    </xf>
    <xf numFmtId="235" fontId="3" fillId="0" borderId="238">
      <alignment vertical="center"/>
    </xf>
    <xf numFmtId="0" fontId="228" fillId="0" borderId="0" applyAlignment="0">
      <alignment horizontal="right"/>
    </xf>
    <xf numFmtId="0" fontId="229" fillId="0" borderId="0"/>
    <xf numFmtId="0" fontId="230" fillId="0" borderId="0"/>
    <xf numFmtId="0" fontId="85" fillId="0" borderId="240">
      <alignment horizontal="left" vertical="center"/>
    </xf>
    <xf numFmtId="0" fontId="85" fillId="0" borderId="240">
      <alignment horizontal="left" vertical="center"/>
    </xf>
    <xf numFmtId="0" fontId="231" fillId="0" borderId="0" applyNumberFormat="0" applyFill="0" applyBorder="0" applyAlignment="0" applyProtection="0"/>
    <xf numFmtId="10" fontId="83" fillId="2" borderId="238" applyNumberFormat="0" applyBorder="0" applyAlignment="0" applyProtection="0"/>
    <xf numFmtId="10" fontId="83" fillId="2" borderId="238" applyNumberFormat="0" applyBorder="0" applyAlignment="0" applyProtection="0"/>
    <xf numFmtId="10" fontId="83" fillId="9" borderId="238" applyNumberFormat="0" applyBorder="0" applyAlignment="0" applyProtection="0"/>
    <xf numFmtId="10" fontId="83" fillId="9" borderId="238" applyNumberFormat="0" applyBorder="0" applyAlignment="0" applyProtection="0"/>
    <xf numFmtId="240" fontId="3" fillId="0" borderId="238">
      <alignment vertical="center"/>
    </xf>
    <xf numFmtId="240"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2" fontId="3" fillId="0" borderId="238">
      <alignment vertical="center"/>
    </xf>
    <xf numFmtId="243" fontId="3" fillId="0" borderId="238">
      <alignment horizontal="right" vertical="center"/>
    </xf>
    <xf numFmtId="243" fontId="3" fillId="0" borderId="238">
      <alignment horizontal="right" vertical="center"/>
    </xf>
    <xf numFmtId="243" fontId="3" fillId="0" borderId="238">
      <alignment horizontal="right" vertical="center"/>
    </xf>
    <xf numFmtId="243" fontId="3" fillId="0" borderId="238">
      <alignment horizontal="right" vertical="center"/>
    </xf>
    <xf numFmtId="243"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4" fontId="3" fillId="0" borderId="238">
      <alignment horizontal="right" vertical="center"/>
    </xf>
    <xf numFmtId="243" fontId="3" fillId="0" borderId="238">
      <alignment horizontal="right" vertical="center"/>
    </xf>
    <xf numFmtId="243" fontId="3" fillId="0" borderId="238">
      <alignment horizontal="right" vertical="center"/>
    </xf>
    <xf numFmtId="243" fontId="3" fillId="0" borderId="238">
      <alignment horizontal="right" vertical="center"/>
    </xf>
    <xf numFmtId="243" fontId="3" fillId="0" borderId="238">
      <alignment horizontal="right" vertical="center"/>
    </xf>
    <xf numFmtId="243" fontId="3" fillId="0" borderId="238">
      <alignment horizontal="right" vertical="center"/>
    </xf>
    <xf numFmtId="243" fontId="3" fillId="0" borderId="238">
      <alignment horizontal="right" vertical="center"/>
    </xf>
    <xf numFmtId="243" fontId="3" fillId="0" borderId="238">
      <alignment horizontal="right" vertical="center"/>
    </xf>
    <xf numFmtId="245" fontId="3" fillId="0" borderId="238">
      <alignment vertical="center"/>
    </xf>
    <xf numFmtId="245" fontId="3" fillId="0" borderId="238">
      <alignment vertical="center"/>
    </xf>
    <xf numFmtId="246" fontId="3" fillId="0" borderId="238">
      <alignment vertical="center"/>
    </xf>
    <xf numFmtId="246" fontId="3" fillId="0" borderId="238">
      <alignment vertical="center"/>
    </xf>
    <xf numFmtId="318" fontId="232" fillId="0" borderId="0">
      <alignment horizontal="left"/>
    </xf>
    <xf numFmtId="38" fontId="63" fillId="0" borderId="0" applyFont="0" applyFill="0" applyBorder="0" applyAlignment="0" applyProtection="0"/>
    <xf numFmtId="40" fontId="63" fillId="0" borderId="0" applyFont="0" applyFill="0" applyBorder="0" applyAlignment="0" applyProtection="0"/>
    <xf numFmtId="319" fontId="63" fillId="0" borderId="0" applyFont="0" applyFill="0" applyBorder="0" applyAlignment="0" applyProtection="0"/>
    <xf numFmtId="320" fontId="63" fillId="0" borderId="0" applyFont="0" applyFill="0" applyBorder="0" applyAlignment="0" applyProtection="0"/>
    <xf numFmtId="211" fontId="206" fillId="0" borderId="0" applyFont="0" applyFill="0" applyBorder="0" applyAlignment="0" applyProtection="0"/>
    <xf numFmtId="0" fontId="62" fillId="0" borderId="0"/>
    <xf numFmtId="0" fontId="79" fillId="0" borderId="0" applyNumberFormat="0" applyFill="0" applyBorder="0" applyAlignment="0" applyProtection="0"/>
    <xf numFmtId="0" fontId="233" fillId="0" borderId="0"/>
    <xf numFmtId="0" fontId="233" fillId="0" borderId="0"/>
    <xf numFmtId="0" fontId="233" fillId="0" borderId="0"/>
    <xf numFmtId="0" fontId="233" fillId="0" borderId="0"/>
    <xf numFmtId="0" fontId="233" fillId="0" borderId="0"/>
    <xf numFmtId="0" fontId="233" fillId="0" borderId="0"/>
    <xf numFmtId="0" fontId="233" fillId="0" borderId="0"/>
    <xf numFmtId="3" fontId="4" fillId="0" borderId="0"/>
    <xf numFmtId="0" fontId="62" fillId="0" borderId="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231" fontId="71" fillId="0" borderId="0">
      <alignment vertical="center"/>
    </xf>
    <xf numFmtId="0" fontId="61" fillId="0" borderId="0" applyFont="0" applyFill="0" applyBorder="0" applyAlignment="0" applyProtection="0"/>
    <xf numFmtId="0" fontId="62" fillId="0" borderId="0"/>
    <xf numFmtId="0" fontId="234" fillId="2" borderId="0"/>
    <xf numFmtId="0" fontId="235" fillId="0" borderId="238" applyProtection="0">
      <alignment vertical="center"/>
    </xf>
    <xf numFmtId="197" fontId="71" fillId="0" borderId="0">
      <alignment vertical="center"/>
    </xf>
    <xf numFmtId="197" fontId="71" fillId="0" borderId="0">
      <alignment vertical="distributed"/>
    </xf>
    <xf numFmtId="321" fontId="236" fillId="0" borderId="0">
      <alignment horizontal="center"/>
    </xf>
    <xf numFmtId="0" fontId="237" fillId="3" borderId="0">
      <alignment horizontal="centerContinuous"/>
    </xf>
    <xf numFmtId="252" fontId="3" fillId="0" borderId="238">
      <alignment vertical="center"/>
    </xf>
    <xf numFmtId="252" fontId="3" fillId="0" borderId="238">
      <alignment vertical="center"/>
    </xf>
    <xf numFmtId="252" fontId="3" fillId="0" borderId="238">
      <alignment vertical="center"/>
    </xf>
    <xf numFmtId="322" fontId="3" fillId="0" borderId="0" applyFont="0" applyFill="0" applyBorder="0" applyAlignment="0" applyProtection="0"/>
    <xf numFmtId="323" fontId="3" fillId="0" borderId="0" applyFont="0" applyFill="0" applyBorder="0" applyAlignment="0" applyProtection="0"/>
    <xf numFmtId="0" fontId="238" fillId="0" borderId="0" applyNumberFormat="0" applyFill="0" applyBorder="0" applyAlignment="0" applyProtection="0">
      <alignment vertical="top"/>
      <protection locked="0"/>
    </xf>
    <xf numFmtId="0" fontId="206" fillId="0" borderId="0" applyNumberFormat="0" applyFill="0" applyBorder="0" applyAlignment="0" applyProtection="0"/>
  </cellStyleXfs>
  <cellXfs count="1964">
    <xf numFmtId="0" fontId="0" fillId="0" borderId="0" xfId="0">
      <alignment vertical="center"/>
    </xf>
    <xf numFmtId="0" fontId="189" fillId="0" borderId="45" xfId="585" applyFont="1" applyBorder="1" applyAlignment="1">
      <alignment horizontal="center" vertical="center"/>
    </xf>
    <xf numFmtId="0" fontId="6" fillId="0" borderId="0" xfId="0" applyFont="1">
      <alignment vertical="center"/>
    </xf>
    <xf numFmtId="0" fontId="10" fillId="0" borderId="0" xfId="3" applyFont="1" applyFill="1" applyAlignment="1">
      <alignment horizontal="center" vertical="center"/>
    </xf>
    <xf numFmtId="0" fontId="13" fillId="0" borderId="0" xfId="3" applyFont="1" applyFill="1" applyAlignment="1">
      <alignment horizontal="center" vertical="center"/>
    </xf>
    <xf numFmtId="0" fontId="3" fillId="0" borderId="12" xfId="3" applyFont="1" applyFill="1" applyBorder="1" applyAlignment="1">
      <alignment horizontal="center" vertical="center"/>
    </xf>
    <xf numFmtId="0" fontId="3" fillId="0" borderId="0" xfId="3" applyFont="1" applyFill="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17" fillId="0" borderId="0" xfId="0" applyFont="1" applyBorder="1" applyAlignment="1">
      <alignment horizontal="left" vertical="center"/>
    </xf>
    <xf numFmtId="0" fontId="18" fillId="0" borderId="0" xfId="0" applyFont="1" applyAlignment="1">
      <alignment vertical="center"/>
    </xf>
    <xf numFmtId="0" fontId="17" fillId="0" borderId="0" xfId="0" applyFont="1" applyAlignment="1">
      <alignment vertical="center"/>
    </xf>
    <xf numFmtId="0" fontId="16" fillId="0" borderId="0" xfId="3" applyFont="1" applyFill="1" applyAlignment="1">
      <alignment horizontal="center" vertical="center"/>
    </xf>
    <xf numFmtId="0" fontId="16" fillId="0" borderId="0" xfId="3" applyFont="1" applyFill="1" applyAlignment="1">
      <alignment vertical="center"/>
    </xf>
    <xf numFmtId="41" fontId="16" fillId="0" borderId="0" xfId="3" applyNumberFormat="1" applyFont="1" applyFill="1" applyAlignment="1">
      <alignment vertical="center"/>
    </xf>
    <xf numFmtId="0" fontId="18" fillId="0" borderId="0" xfId="0" applyFont="1" applyAlignment="1">
      <alignment horizontal="center" vertical="center"/>
    </xf>
    <xf numFmtId="0" fontId="18" fillId="0" borderId="0" xfId="6" applyFont="1" applyAlignment="1">
      <alignment vertical="center"/>
    </xf>
    <xf numFmtId="0" fontId="18" fillId="0" borderId="0" xfId="0" applyFont="1" applyAlignment="1"/>
    <xf numFmtId="0" fontId="17" fillId="0" borderId="0" xfId="0" applyFont="1" applyAlignment="1">
      <alignment horizontal="left" vertical="center"/>
    </xf>
    <xf numFmtId="0" fontId="17" fillId="0" borderId="8" xfId="0" applyFont="1" applyBorder="1" applyAlignment="1">
      <alignment vertical="center"/>
    </xf>
    <xf numFmtId="41" fontId="18" fillId="0" borderId="8" xfId="1" applyFont="1" applyBorder="1" applyAlignment="1">
      <alignment horizontal="center" vertical="center"/>
    </xf>
    <xf numFmtId="41" fontId="18" fillId="0" borderId="8" xfId="1" applyFont="1" applyFill="1" applyBorder="1" applyAlignment="1">
      <alignment vertical="center"/>
    </xf>
    <xf numFmtId="0" fontId="21" fillId="0" borderId="0" xfId="0" applyFont="1" applyAlignment="1">
      <alignment vertical="center"/>
    </xf>
    <xf numFmtId="179" fontId="21" fillId="0" borderId="0" xfId="1" applyNumberFormat="1" applyFont="1" applyAlignment="1">
      <alignment vertical="center"/>
    </xf>
    <xf numFmtId="179" fontId="22" fillId="0" borderId="8" xfId="1" applyNumberFormat="1" applyFont="1" applyBorder="1" applyAlignment="1">
      <alignment horizontal="center" vertical="center"/>
    </xf>
    <xf numFmtId="0" fontId="22" fillId="0" borderId="0" xfId="0" applyFont="1" applyAlignment="1">
      <alignment vertical="center"/>
    </xf>
    <xf numFmtId="0" fontId="23" fillId="0" borderId="8" xfId="0" applyFont="1" applyBorder="1" applyAlignment="1">
      <alignment vertical="center"/>
    </xf>
    <xf numFmtId="179" fontId="23" fillId="0" borderId="8" xfId="1" applyNumberFormat="1" applyFont="1" applyBorder="1" applyAlignment="1">
      <alignment horizontal="center" vertical="center"/>
    </xf>
    <xf numFmtId="9" fontId="23" fillId="0" borderId="8" xfId="5" applyFont="1" applyBorder="1" applyAlignment="1">
      <alignment horizontal="center" vertical="center"/>
    </xf>
    <xf numFmtId="179" fontId="23" fillId="0" borderId="0" xfId="0" applyNumberFormat="1" applyFont="1" applyAlignment="1">
      <alignment vertical="center"/>
    </xf>
    <xf numFmtId="0" fontId="23" fillId="0" borderId="0" xfId="0" applyFont="1" applyAlignment="1">
      <alignment vertical="center"/>
    </xf>
    <xf numFmtId="0" fontId="23" fillId="0" borderId="38" xfId="0" applyFont="1" applyBorder="1" applyAlignment="1">
      <alignment vertical="center"/>
    </xf>
    <xf numFmtId="179" fontId="23" fillId="0" borderId="38" xfId="1" applyNumberFormat="1" applyFont="1" applyBorder="1" applyAlignment="1">
      <alignment horizontal="center" vertical="center"/>
    </xf>
    <xf numFmtId="0" fontId="23" fillId="0" borderId="40" xfId="0" applyFont="1" applyBorder="1" applyAlignment="1">
      <alignment vertical="center"/>
    </xf>
    <xf numFmtId="179" fontId="23" fillId="0" borderId="40" xfId="1" applyNumberFormat="1" applyFont="1" applyBorder="1" applyAlignment="1">
      <alignment horizontal="center" vertical="center"/>
    </xf>
    <xf numFmtId="0" fontId="23" fillId="0" borderId="8" xfId="0" applyFont="1" applyFill="1" applyBorder="1" applyAlignment="1">
      <alignment vertical="center"/>
    </xf>
    <xf numFmtId="179" fontId="23" fillId="0" borderId="8" xfId="1" applyNumberFormat="1" applyFont="1" applyFill="1" applyBorder="1" applyAlignment="1">
      <alignment horizontal="center" vertical="center"/>
    </xf>
    <xf numFmtId="0" fontId="23" fillId="0" borderId="40" xfId="0" applyFont="1" applyFill="1" applyBorder="1" applyAlignment="1">
      <alignment vertical="center"/>
    </xf>
    <xf numFmtId="179" fontId="23" fillId="0" borderId="40" xfId="1" applyNumberFormat="1" applyFont="1" applyFill="1" applyBorder="1" applyAlignment="1">
      <alignment horizontal="center" vertical="center"/>
    </xf>
    <xf numFmtId="0" fontId="23" fillId="0" borderId="41" xfId="0" applyFont="1" applyBorder="1" applyAlignment="1">
      <alignment vertical="center"/>
    </xf>
    <xf numFmtId="179" fontId="23" fillId="0" borderId="41" xfId="1" applyNumberFormat="1" applyFont="1" applyBorder="1" applyAlignment="1">
      <alignment horizontal="center" vertical="center"/>
    </xf>
    <xf numFmtId="0" fontId="22" fillId="0" borderId="5" xfId="0" applyFont="1" applyBorder="1" applyAlignment="1">
      <alignment vertical="center"/>
    </xf>
    <xf numFmtId="0" fontId="23" fillId="0" borderId="6" xfId="0" applyFont="1" applyBorder="1" applyAlignment="1">
      <alignment vertical="center"/>
    </xf>
    <xf numFmtId="41" fontId="22" fillId="0" borderId="7" xfId="1" applyFont="1" applyBorder="1" applyAlignment="1">
      <alignment horizontal="center" vertical="center"/>
    </xf>
    <xf numFmtId="0" fontId="23" fillId="0" borderId="45" xfId="7" applyFont="1" applyBorder="1" applyAlignment="1">
      <alignment vertical="center"/>
    </xf>
    <xf numFmtId="0" fontId="23" fillId="0" borderId="0" xfId="7" applyFont="1" applyBorder="1" applyAlignment="1">
      <alignment vertical="center"/>
    </xf>
    <xf numFmtId="0" fontId="23" fillId="0" borderId="46" xfId="7" applyFont="1" applyBorder="1" applyAlignment="1">
      <alignment vertical="center"/>
    </xf>
    <xf numFmtId="0" fontId="23" fillId="0" borderId="36" xfId="7" applyFont="1" applyBorder="1" applyAlignment="1">
      <alignment vertical="center"/>
    </xf>
    <xf numFmtId="179" fontId="23" fillId="0" borderId="16" xfId="4" applyNumberFormat="1" applyFont="1" applyBorder="1" applyAlignment="1">
      <alignment vertical="center"/>
    </xf>
    <xf numFmtId="0" fontId="23" fillId="0" borderId="16" xfId="7" applyFont="1" applyBorder="1" applyAlignment="1">
      <alignment vertical="center"/>
    </xf>
    <xf numFmtId="0" fontId="23" fillId="0" borderId="0" xfId="0" applyFont="1" applyBorder="1" applyAlignment="1">
      <alignment vertical="center"/>
    </xf>
    <xf numFmtId="0" fontId="23" fillId="0" borderId="35" xfId="7" applyFont="1" applyBorder="1" applyAlignment="1">
      <alignment horizontal="right" vertical="center"/>
    </xf>
    <xf numFmtId="0" fontId="23" fillId="0" borderId="31" xfId="7" applyFont="1" applyBorder="1" applyAlignment="1">
      <alignment vertical="center"/>
    </xf>
    <xf numFmtId="179" fontId="23" fillId="0" borderId="26" xfId="4" applyNumberFormat="1" applyFont="1" applyBorder="1" applyAlignment="1">
      <alignment vertical="center"/>
    </xf>
    <xf numFmtId="41" fontId="23" fillId="0" borderId="47" xfId="4" applyFont="1" applyBorder="1" applyAlignment="1">
      <alignment horizontal="center" vertical="center"/>
    </xf>
    <xf numFmtId="41" fontId="22" fillId="0" borderId="48" xfId="7" applyNumberFormat="1" applyFont="1" applyBorder="1" applyAlignment="1">
      <alignment horizontal="center" vertical="center"/>
    </xf>
    <xf numFmtId="41" fontId="23" fillId="0" borderId="22" xfId="1" applyFont="1" applyBorder="1" applyAlignment="1">
      <alignment vertical="center"/>
    </xf>
    <xf numFmtId="41" fontId="23" fillId="0" borderId="23" xfId="4" applyFont="1" applyBorder="1" applyAlignment="1">
      <alignment horizontal="center" vertical="center"/>
    </xf>
    <xf numFmtId="0" fontId="23" fillId="0" borderId="16" xfId="0" applyFont="1" applyBorder="1" applyAlignment="1">
      <alignment vertical="center"/>
    </xf>
    <xf numFmtId="41" fontId="23" fillId="0" borderId="29" xfId="1" applyFont="1" applyBorder="1" applyAlignment="1">
      <alignment vertical="center"/>
    </xf>
    <xf numFmtId="41" fontId="23" fillId="0" borderId="30" xfId="4" applyFont="1" applyBorder="1" applyAlignment="1">
      <alignment horizontal="center" vertical="center"/>
    </xf>
    <xf numFmtId="0" fontId="21" fillId="0" borderId="0" xfId="0" applyFont="1" applyAlignment="1">
      <alignment vertical="center" shrinkToFit="1"/>
    </xf>
    <xf numFmtId="41" fontId="21" fillId="0" borderId="0" xfId="1" applyNumberFormat="1" applyFont="1" applyAlignment="1">
      <alignment vertical="center"/>
    </xf>
    <xf numFmtId="178" fontId="24" fillId="0" borderId="49" xfId="0" applyNumberFormat="1" applyFont="1" applyBorder="1" applyAlignment="1">
      <alignment horizontal="right" vertical="center"/>
    </xf>
    <xf numFmtId="0" fontId="23" fillId="0" borderId="0" xfId="0" applyFont="1" applyBorder="1" applyAlignment="1">
      <alignment horizontal="left" vertical="center"/>
    </xf>
    <xf numFmtId="179" fontId="22" fillId="0" borderId="0" xfId="1" applyNumberFormat="1" applyFont="1" applyBorder="1" applyAlignment="1">
      <alignment horizontal="left" vertical="center"/>
    </xf>
    <xf numFmtId="0" fontId="22" fillId="0" borderId="0" xfId="0" applyFont="1" applyBorder="1" applyAlignment="1">
      <alignment horizontal="left" vertical="center"/>
    </xf>
    <xf numFmtId="179" fontId="23" fillId="0" borderId="0" xfId="1" applyNumberFormat="1" applyFont="1" applyAlignment="1">
      <alignment vertical="center"/>
    </xf>
    <xf numFmtId="179" fontId="23" fillId="0" borderId="0" xfId="1" applyNumberFormat="1" applyFont="1" applyBorder="1" applyAlignment="1">
      <alignment horizontal="left" vertical="center"/>
    </xf>
    <xf numFmtId="182" fontId="23" fillId="0" borderId="0" xfId="1" applyNumberFormat="1" applyFont="1" applyAlignment="1">
      <alignment vertical="center"/>
    </xf>
    <xf numFmtId="0" fontId="23" fillId="0" borderId="0" xfId="0" applyFont="1" applyAlignment="1">
      <alignment horizontal="right" vertical="center"/>
    </xf>
    <xf numFmtId="0" fontId="23" fillId="0" borderId="0" xfId="7" applyFont="1" applyAlignment="1">
      <alignment vertical="center"/>
    </xf>
    <xf numFmtId="0" fontId="17" fillId="0" borderId="0" xfId="0" applyFont="1" applyBorder="1" applyAlignment="1">
      <alignment horizontal="center" vertical="center"/>
    </xf>
    <xf numFmtId="183" fontId="17" fillId="0" borderId="0" xfId="0" applyNumberFormat="1" applyFont="1" applyBorder="1" applyAlignment="1">
      <alignment horizontal="center" vertical="center"/>
    </xf>
    <xf numFmtId="0" fontId="17" fillId="0" borderId="0" xfId="0" applyFont="1" applyFill="1" applyAlignment="1">
      <alignment vertical="center"/>
    </xf>
    <xf numFmtId="41" fontId="17" fillId="7" borderId="8" xfId="1" applyFont="1" applyFill="1" applyBorder="1" applyAlignment="1">
      <alignment horizontal="center" vertical="center"/>
    </xf>
    <xf numFmtId="178" fontId="17" fillId="7" borderId="8" xfId="0" applyNumberFormat="1" applyFont="1" applyFill="1" applyBorder="1" applyAlignment="1">
      <alignment horizontal="center" vertical="center"/>
    </xf>
    <xf numFmtId="183" fontId="17" fillId="0" borderId="8" xfId="0" applyNumberFormat="1" applyFont="1" applyBorder="1" applyAlignment="1">
      <alignment horizontal="center" vertical="center"/>
    </xf>
    <xf numFmtId="41" fontId="17" fillId="0" borderId="8" xfId="1" applyFont="1" applyBorder="1" applyAlignment="1">
      <alignment horizontal="center" vertical="center"/>
    </xf>
    <xf numFmtId="178" fontId="17" fillId="0" borderId="8" xfId="0" applyNumberFormat="1" applyFont="1" applyBorder="1" applyAlignment="1">
      <alignment horizontal="center" vertical="center"/>
    </xf>
    <xf numFmtId="0" fontId="18" fillId="0" borderId="8" xfId="0" applyFont="1" applyBorder="1" applyAlignment="1">
      <alignment vertical="center"/>
    </xf>
    <xf numFmtId="183" fontId="18" fillId="0" borderId="8" xfId="0" applyNumberFormat="1" applyFont="1" applyBorder="1" applyAlignment="1">
      <alignment horizontal="center" vertical="center"/>
    </xf>
    <xf numFmtId="0" fontId="18" fillId="0" borderId="8" xfId="0" applyFont="1" applyBorder="1" applyAlignment="1">
      <alignment horizontal="center" vertical="center"/>
    </xf>
    <xf numFmtId="178" fontId="18" fillId="0" borderId="8" xfId="0" applyNumberFormat="1" applyFont="1" applyBorder="1" applyAlignment="1">
      <alignment vertical="center"/>
    </xf>
    <xf numFmtId="0" fontId="18" fillId="0" borderId="8" xfId="0" applyFont="1" applyFill="1" applyBorder="1" applyAlignment="1">
      <alignment horizontal="center" vertical="center"/>
    </xf>
    <xf numFmtId="0" fontId="18" fillId="0" borderId="8" xfId="0" applyFont="1" applyFill="1" applyBorder="1" applyAlignment="1">
      <alignment vertical="center"/>
    </xf>
    <xf numFmtId="178" fontId="18" fillId="0" borderId="8" xfId="0" applyNumberFormat="1" applyFont="1" applyFill="1" applyBorder="1" applyAlignment="1">
      <alignment vertical="center"/>
    </xf>
    <xf numFmtId="0" fontId="18" fillId="0" borderId="8" xfId="0" applyFont="1" applyBorder="1" applyAlignment="1" applyProtection="1">
      <alignment vertical="center" shrinkToFit="1"/>
      <protection locked="0"/>
    </xf>
    <xf numFmtId="41" fontId="18" fillId="0" borderId="8" xfId="1" applyFont="1" applyBorder="1" applyAlignment="1">
      <alignment vertical="center"/>
    </xf>
    <xf numFmtId="178" fontId="17" fillId="0" borderId="8" xfId="0" applyNumberFormat="1" applyFont="1" applyBorder="1" applyAlignment="1">
      <alignment vertical="center"/>
    </xf>
    <xf numFmtId="41" fontId="17" fillId="0" borderId="8" xfId="1" applyFont="1" applyBorder="1" applyAlignment="1">
      <alignment vertical="center"/>
    </xf>
    <xf numFmtId="178" fontId="18" fillId="0" borderId="8" xfId="0" applyNumberFormat="1" applyFont="1" applyBorder="1" applyAlignment="1">
      <alignment horizontal="center" vertical="center"/>
    </xf>
    <xf numFmtId="183" fontId="18" fillId="0" borderId="8" xfId="0" applyNumberFormat="1" applyFont="1" applyFill="1" applyBorder="1" applyAlignment="1">
      <alignment horizontal="center" vertical="center"/>
    </xf>
    <xf numFmtId="0" fontId="18" fillId="0" borderId="0" xfId="0" applyFont="1" applyFill="1" applyAlignment="1">
      <alignment vertical="center"/>
    </xf>
    <xf numFmtId="41" fontId="18" fillId="0" borderId="8" xfId="0" applyNumberFormat="1" applyFont="1" applyBorder="1" applyAlignment="1">
      <alignment vertical="center"/>
    </xf>
    <xf numFmtId="0" fontId="27" fillId="0" borderId="0" xfId="0" applyFont="1" applyBorder="1" applyAlignment="1">
      <alignment horizontal="center" vertical="center"/>
    </xf>
    <xf numFmtId="0" fontId="17" fillId="8" borderId="8" xfId="0" applyFont="1" applyFill="1" applyBorder="1" applyAlignment="1">
      <alignment horizontal="left" vertical="center"/>
    </xf>
    <xf numFmtId="0" fontId="17" fillId="8" borderId="8" xfId="0" applyFont="1" applyFill="1" applyBorder="1" applyAlignment="1">
      <alignment horizontal="center" vertical="center"/>
    </xf>
    <xf numFmtId="41" fontId="17" fillId="8" borderId="8" xfId="1" applyFont="1" applyFill="1" applyBorder="1" applyAlignment="1">
      <alignment horizontal="center" vertical="center"/>
    </xf>
    <xf numFmtId="178" fontId="17" fillId="8" borderId="8" xfId="0" applyNumberFormat="1" applyFont="1" applyFill="1" applyBorder="1" applyAlignment="1">
      <alignment horizontal="center" vertical="center"/>
    </xf>
    <xf numFmtId="0" fontId="17" fillId="8" borderId="0" xfId="0" applyFont="1" applyFill="1" applyAlignment="1">
      <alignment vertical="center"/>
    </xf>
    <xf numFmtId="0" fontId="17" fillId="8" borderId="8" xfId="0" applyFont="1" applyFill="1" applyBorder="1" applyAlignment="1">
      <alignment vertical="center"/>
    </xf>
    <xf numFmtId="179" fontId="17" fillId="8" borderId="8" xfId="1" applyNumberFormat="1" applyFont="1" applyFill="1" applyBorder="1" applyAlignment="1">
      <alignment vertical="center"/>
    </xf>
    <xf numFmtId="41" fontId="17" fillId="8" borderId="8" xfId="1" applyFont="1" applyFill="1" applyBorder="1" applyAlignment="1">
      <alignment vertical="center"/>
    </xf>
    <xf numFmtId="0" fontId="18" fillId="8" borderId="8" xfId="0" applyFont="1" applyFill="1" applyBorder="1" applyAlignment="1">
      <alignment vertical="center"/>
    </xf>
    <xf numFmtId="0" fontId="18" fillId="8" borderId="8" xfId="0" applyFont="1" applyFill="1" applyBorder="1" applyAlignment="1">
      <alignment horizontal="center" vertical="center"/>
    </xf>
    <xf numFmtId="181" fontId="18" fillId="8" borderId="8" xfId="0" applyNumberFormat="1" applyFont="1" applyFill="1" applyBorder="1" applyAlignment="1">
      <alignment vertical="center"/>
    </xf>
    <xf numFmtId="41" fontId="18" fillId="8" borderId="8" xfId="1" applyFont="1" applyFill="1" applyBorder="1" applyAlignment="1">
      <alignment vertical="center"/>
    </xf>
    <xf numFmtId="0" fontId="18" fillId="0" borderId="0" xfId="0" applyFont="1" applyFill="1" applyBorder="1" applyAlignment="1">
      <alignment vertical="center"/>
    </xf>
    <xf numFmtId="0" fontId="9" fillId="0" borderId="0" xfId="0" applyFont="1" applyAlignment="1">
      <alignment vertical="center"/>
    </xf>
    <xf numFmtId="184" fontId="18" fillId="0" borderId="8" xfId="0" applyNumberFormat="1" applyFont="1" applyBorder="1" applyAlignment="1">
      <alignment horizontal="center" vertical="center"/>
    </xf>
    <xf numFmtId="184" fontId="17" fillId="0" borderId="8" xfId="0" applyNumberFormat="1" applyFont="1" applyBorder="1" applyAlignment="1">
      <alignment horizontal="center" vertical="center"/>
    </xf>
    <xf numFmtId="0" fontId="17" fillId="5" borderId="8" xfId="0" applyFont="1" applyFill="1" applyBorder="1" applyAlignment="1">
      <alignment horizontal="center" vertical="center"/>
    </xf>
    <xf numFmtId="41" fontId="17" fillId="5" borderId="8" xfId="1" applyFont="1" applyFill="1" applyBorder="1" applyAlignment="1">
      <alignment vertical="center"/>
    </xf>
    <xf numFmtId="0" fontId="17" fillId="7" borderId="8" xfId="0" applyFont="1" applyFill="1" applyBorder="1" applyAlignment="1">
      <alignment vertical="center"/>
    </xf>
    <xf numFmtId="179" fontId="17" fillId="7" borderId="8" xfId="1" applyNumberFormat="1" applyFont="1" applyFill="1" applyBorder="1" applyAlignment="1">
      <alignment vertical="center"/>
    </xf>
    <xf numFmtId="41" fontId="17" fillId="7" borderId="8" xfId="1" applyFont="1" applyFill="1" applyBorder="1" applyAlignment="1">
      <alignment vertical="center"/>
    </xf>
    <xf numFmtId="0" fontId="17" fillId="7" borderId="0" xfId="0" applyFont="1" applyFill="1" applyAlignment="1">
      <alignment vertical="center"/>
    </xf>
    <xf numFmtId="0" fontId="17" fillId="5" borderId="0" xfId="0" applyFont="1" applyFill="1" applyAlignment="1">
      <alignment vertical="center"/>
    </xf>
    <xf numFmtId="41" fontId="23" fillId="0" borderId="8" xfId="1" applyFont="1" applyBorder="1" applyAlignment="1">
      <alignment vertical="center"/>
    </xf>
    <xf numFmtId="0" fontId="23" fillId="0" borderId="0" xfId="0" applyFont="1" applyAlignment="1">
      <alignment horizontal="center" vertical="center"/>
    </xf>
    <xf numFmtId="0" fontId="23" fillId="0" borderId="8" xfId="0" quotePrefix="1" applyFont="1" applyBorder="1" applyAlignment="1">
      <alignment horizontal="center" vertical="center"/>
    </xf>
    <xf numFmtId="41" fontId="23" fillId="0" borderId="8" xfId="1" applyFont="1" applyBorder="1" applyAlignment="1">
      <alignment horizontal="center" vertical="center"/>
    </xf>
    <xf numFmtId="0" fontId="18" fillId="0" borderId="7" xfId="0" applyFont="1" applyBorder="1" applyAlignment="1"/>
    <xf numFmtId="0" fontId="18" fillId="0" borderId="0" xfId="6" applyFont="1" applyAlignment="1">
      <alignment horizontal="center" vertical="center"/>
    </xf>
    <xf numFmtId="0" fontId="21" fillId="0" borderId="0" xfId="8" applyFont="1">
      <alignment vertical="center"/>
    </xf>
    <xf numFmtId="0" fontId="22" fillId="0" borderId="0" xfId="8" applyFont="1" applyBorder="1" applyAlignment="1">
      <alignment horizontal="center" vertical="center"/>
    </xf>
    <xf numFmtId="41" fontId="18" fillId="0" borderId="0" xfId="1" applyFont="1" applyBorder="1" applyAlignment="1">
      <alignment vertical="center"/>
    </xf>
    <xf numFmtId="0" fontId="17" fillId="0" borderId="25" xfId="0" applyFont="1" applyBorder="1" applyAlignment="1">
      <alignment vertical="center"/>
    </xf>
    <xf numFmtId="0" fontId="18" fillId="0" borderId="25" xfId="6" applyFont="1" applyBorder="1" applyAlignment="1">
      <alignment vertical="center"/>
    </xf>
    <xf numFmtId="41" fontId="18" fillId="0" borderId="25" xfId="1" applyFont="1" applyBorder="1" applyAlignment="1">
      <alignment vertical="center"/>
    </xf>
    <xf numFmtId="0" fontId="18" fillId="0" borderId="8" xfId="0" applyFont="1" applyBorder="1" applyAlignment="1">
      <alignment horizontal="left" vertical="center"/>
    </xf>
    <xf numFmtId="0" fontId="18" fillId="6" borderId="8" xfId="0" applyFont="1" applyFill="1" applyBorder="1" applyAlignment="1">
      <alignment horizontal="left" vertical="center"/>
    </xf>
    <xf numFmtId="0" fontId="18" fillId="6" borderId="8" xfId="0" applyFont="1" applyFill="1" applyBorder="1" applyAlignment="1">
      <alignment horizontal="center" vertical="center"/>
    </xf>
    <xf numFmtId="0" fontId="14" fillId="0" borderId="0" xfId="0" applyFont="1" applyAlignment="1"/>
    <xf numFmtId="0" fontId="18" fillId="0" borderId="8" xfId="0" applyFont="1" applyFill="1" applyBorder="1" applyAlignment="1">
      <alignment horizontal="left" vertical="center"/>
    </xf>
    <xf numFmtId="0" fontId="23" fillId="0" borderId="0" xfId="8" applyFont="1" applyBorder="1" applyAlignment="1">
      <alignment horizontal="left" vertical="center"/>
    </xf>
    <xf numFmtId="0" fontId="22" fillId="0" borderId="5" xfId="8" applyFont="1" applyBorder="1" applyAlignment="1">
      <alignment vertical="center"/>
    </xf>
    <xf numFmtId="0" fontId="22" fillId="0" borderId="6" xfId="8" applyFont="1" applyBorder="1" applyAlignment="1">
      <alignment vertical="center"/>
    </xf>
    <xf numFmtId="0" fontId="22" fillId="0" borderId="7" xfId="8" applyFont="1" applyBorder="1" applyAlignment="1">
      <alignment vertical="center"/>
    </xf>
    <xf numFmtId="0" fontId="22" fillId="0" borderId="0" xfId="8" applyFont="1" applyBorder="1" applyAlignment="1">
      <alignment vertical="center"/>
    </xf>
    <xf numFmtId="0" fontId="17" fillId="0" borderId="8" xfId="0" applyFont="1" applyBorder="1" applyAlignment="1">
      <alignment horizontal="center" vertical="center"/>
    </xf>
    <xf numFmtId="0" fontId="3" fillId="0" borderId="0" xfId="12" applyFont="1">
      <alignment vertical="center"/>
    </xf>
    <xf numFmtId="0" fontId="3" fillId="0" borderId="0" xfId="12" applyFont="1" applyFill="1">
      <alignment vertical="center"/>
    </xf>
    <xf numFmtId="0" fontId="3" fillId="0" borderId="0" xfId="12" applyFont="1" applyAlignment="1">
      <alignment horizontal="center" vertical="center"/>
    </xf>
    <xf numFmtId="177" fontId="3" fillId="0" borderId="0" xfId="12" applyNumberFormat="1" applyFont="1">
      <alignment vertical="center"/>
    </xf>
    <xf numFmtId="177" fontId="3" fillId="0" borderId="0" xfId="12" applyNumberFormat="1" applyFont="1" applyAlignment="1">
      <alignment horizontal="center" vertical="center"/>
    </xf>
    <xf numFmtId="0" fontId="18" fillId="0" borderId="0" xfId="12" applyFont="1">
      <alignment vertical="center"/>
    </xf>
    <xf numFmtId="0" fontId="18" fillId="0" borderId="0" xfId="12" applyFont="1" applyFill="1">
      <alignment vertical="center"/>
    </xf>
    <xf numFmtId="0" fontId="18" fillId="0" borderId="0" xfId="12" applyFont="1" applyAlignment="1">
      <alignment horizontal="center" vertical="center"/>
    </xf>
    <xf numFmtId="0" fontId="17" fillId="7" borderId="8" xfId="12" applyFont="1" applyFill="1" applyBorder="1" applyAlignment="1">
      <alignment horizontal="center" vertical="center"/>
    </xf>
    <xf numFmtId="0" fontId="17" fillId="8" borderId="8" xfId="12" applyFont="1" applyFill="1" applyBorder="1" applyAlignment="1">
      <alignment horizontal="left" vertical="center"/>
    </xf>
    <xf numFmtId="0" fontId="17" fillId="8" borderId="8" xfId="12" applyFont="1" applyFill="1" applyBorder="1" applyAlignment="1">
      <alignment horizontal="center" vertical="center"/>
    </xf>
    <xf numFmtId="0" fontId="18" fillId="8" borderId="0" xfId="12" applyFont="1" applyFill="1">
      <alignment vertical="center"/>
    </xf>
    <xf numFmtId="0" fontId="17" fillId="8" borderId="8" xfId="12" applyFont="1" applyFill="1" applyBorder="1" applyAlignment="1">
      <alignment vertical="center"/>
    </xf>
    <xf numFmtId="177" fontId="17" fillId="8" borderId="8" xfId="12" applyNumberFormat="1" applyFont="1" applyFill="1" applyBorder="1">
      <alignment vertical="center"/>
    </xf>
    <xf numFmtId="177" fontId="17" fillId="8" borderId="8" xfId="12" applyNumberFormat="1" applyFont="1" applyFill="1" applyBorder="1" applyAlignment="1">
      <alignment horizontal="center" vertical="center"/>
    </xf>
    <xf numFmtId="0" fontId="17" fillId="8" borderId="0" xfId="12" applyFont="1" applyFill="1">
      <alignment vertical="center"/>
    </xf>
    <xf numFmtId="0" fontId="18" fillId="8" borderId="8" xfId="12" applyFont="1" applyFill="1" applyBorder="1" applyAlignment="1">
      <alignment vertical="center"/>
    </xf>
    <xf numFmtId="0" fontId="18" fillId="8" borderId="8" xfId="12" applyFont="1" applyFill="1" applyBorder="1">
      <alignment vertical="center"/>
    </xf>
    <xf numFmtId="0" fontId="18" fillId="8" borderId="8" xfId="12" applyFont="1" applyFill="1" applyBorder="1" applyAlignment="1">
      <alignment horizontal="center" vertical="center"/>
    </xf>
    <xf numFmtId="177" fontId="18" fillId="8" borderId="8" xfId="12" applyNumberFormat="1" applyFont="1" applyFill="1" applyBorder="1">
      <alignment vertical="center"/>
    </xf>
    <xf numFmtId="177" fontId="18" fillId="8" borderId="8" xfId="12" applyNumberFormat="1" applyFont="1" applyFill="1" applyBorder="1" applyAlignment="1">
      <alignment horizontal="center" vertical="center"/>
    </xf>
    <xf numFmtId="0" fontId="33" fillId="0" borderId="0" xfId="11" applyFont="1" applyBorder="1" applyAlignment="1">
      <alignment vertical="center" wrapText="1"/>
    </xf>
    <xf numFmtId="0" fontId="18" fillId="8" borderId="8" xfId="12" applyFont="1" applyFill="1" applyBorder="1" applyAlignment="1">
      <alignment horizontal="left" vertical="center"/>
    </xf>
    <xf numFmtId="181" fontId="18" fillId="8" borderId="8" xfId="12" applyNumberFormat="1" applyFont="1" applyFill="1" applyBorder="1">
      <alignment vertical="center"/>
    </xf>
    <xf numFmtId="0" fontId="18" fillId="8" borderId="8" xfId="14" applyFont="1" applyFill="1" applyBorder="1" applyAlignment="1">
      <alignment horizontal="center" vertical="center"/>
    </xf>
    <xf numFmtId="0" fontId="17" fillId="8" borderId="8" xfId="12" applyFont="1" applyFill="1" applyBorder="1">
      <alignment vertical="center"/>
    </xf>
    <xf numFmtId="9" fontId="17" fillId="8" borderId="8" xfId="12" applyNumberFormat="1" applyFont="1" applyFill="1" applyBorder="1">
      <alignment vertical="center"/>
    </xf>
    <xf numFmtId="0" fontId="17" fillId="8" borderId="8" xfId="14" applyFont="1" applyFill="1" applyBorder="1" applyAlignment="1">
      <alignment horizontal="center" vertical="center"/>
    </xf>
    <xf numFmtId="181" fontId="17" fillId="8" borderId="8" xfId="12" applyNumberFormat="1" applyFont="1" applyFill="1" applyBorder="1">
      <alignment vertical="center"/>
    </xf>
    <xf numFmtId="0" fontId="17" fillId="0" borderId="0" xfId="12" applyFont="1">
      <alignment vertical="center"/>
    </xf>
    <xf numFmtId="0" fontId="17" fillId="8" borderId="5" xfId="12" applyFont="1" applyFill="1" applyBorder="1" applyAlignment="1">
      <alignment vertical="center"/>
    </xf>
    <xf numFmtId="0" fontId="17" fillId="8" borderId="6" xfId="12" applyFont="1" applyFill="1" applyBorder="1" applyAlignment="1">
      <alignment vertical="center"/>
    </xf>
    <xf numFmtId="0" fontId="17" fillId="8" borderId="7" xfId="12" applyFont="1" applyFill="1" applyBorder="1" applyAlignment="1">
      <alignment vertical="center"/>
    </xf>
    <xf numFmtId="177" fontId="18" fillId="0" borderId="0" xfId="12" applyNumberFormat="1" applyFont="1">
      <alignment vertical="center"/>
    </xf>
    <xf numFmtId="179" fontId="17" fillId="0" borderId="0" xfId="1" applyNumberFormat="1" applyFont="1" applyBorder="1" applyAlignment="1">
      <alignment horizontal="left" vertical="center"/>
    </xf>
    <xf numFmtId="182" fontId="18" fillId="8" borderId="0" xfId="1" applyNumberFormat="1" applyFont="1" applyFill="1" applyBorder="1" applyAlignment="1">
      <alignment horizontal="center" vertical="center"/>
    </xf>
    <xf numFmtId="0" fontId="18" fillId="8" borderId="0" xfId="13" applyFont="1" applyFill="1" applyBorder="1" applyAlignment="1">
      <alignment horizontal="center" vertical="center"/>
    </xf>
    <xf numFmtId="0" fontId="14" fillId="0" borderId="8" xfId="0" applyFont="1" applyBorder="1" applyAlignment="1">
      <alignment horizontal="center" vertical="center"/>
    </xf>
    <xf numFmtId="0" fontId="9" fillId="0" borderId="0" xfId="0" applyFont="1" applyBorder="1" applyAlignment="1">
      <alignment vertical="center"/>
    </xf>
    <xf numFmtId="0" fontId="17" fillId="5" borderId="8" xfId="12" applyFont="1" applyFill="1" applyBorder="1" applyAlignment="1">
      <alignment horizontal="center" vertical="center"/>
    </xf>
    <xf numFmtId="0" fontId="17" fillId="5" borderId="8" xfId="12" applyFont="1" applyFill="1" applyBorder="1" applyAlignment="1">
      <alignment vertical="center"/>
    </xf>
    <xf numFmtId="177" fontId="17" fillId="5" borderId="8" xfId="12" applyNumberFormat="1" applyFont="1" applyFill="1" applyBorder="1">
      <alignment vertical="center"/>
    </xf>
    <xf numFmtId="177" fontId="18" fillId="5" borderId="8" xfId="12" applyNumberFormat="1" applyFont="1" applyFill="1" applyBorder="1">
      <alignment vertical="center"/>
    </xf>
    <xf numFmtId="177" fontId="18" fillId="5" borderId="8" xfId="12" applyNumberFormat="1" applyFont="1" applyFill="1" applyBorder="1" applyAlignment="1">
      <alignment horizontal="center" vertical="center"/>
    </xf>
    <xf numFmtId="0" fontId="18" fillId="5" borderId="0" xfId="12" applyFont="1" applyFill="1">
      <alignment vertical="center"/>
    </xf>
    <xf numFmtId="0" fontId="17" fillId="8" borderId="8" xfId="13" applyFont="1" applyFill="1" applyBorder="1" applyAlignment="1">
      <alignment horizontal="center" vertical="center"/>
    </xf>
    <xf numFmtId="0" fontId="17" fillId="7" borderId="8" xfId="12" applyFont="1" applyFill="1" applyBorder="1" applyAlignment="1">
      <alignment vertical="center"/>
    </xf>
    <xf numFmtId="177" fontId="17" fillId="7" borderId="8" xfId="12" applyNumberFormat="1" applyFont="1" applyFill="1" applyBorder="1">
      <alignment vertical="center"/>
    </xf>
    <xf numFmtId="177" fontId="17" fillId="7" borderId="8" xfId="12" applyNumberFormat="1" applyFont="1" applyFill="1" applyBorder="1" applyAlignment="1">
      <alignment horizontal="center" vertical="center"/>
    </xf>
    <xf numFmtId="0" fontId="17" fillId="7" borderId="0" xfId="12" applyFont="1" applyFill="1">
      <alignment vertical="center"/>
    </xf>
    <xf numFmtId="0" fontId="17" fillId="7" borderId="8" xfId="12" applyFont="1" applyFill="1" applyBorder="1" applyAlignment="1">
      <alignment horizontal="left" vertical="center"/>
    </xf>
    <xf numFmtId="0" fontId="17" fillId="0" borderId="8" xfId="0" applyFont="1" applyFill="1" applyBorder="1" applyAlignment="1">
      <alignment horizontal="justify" vertical="center" wrapText="1"/>
    </xf>
    <xf numFmtId="9" fontId="17" fillId="0" borderId="8" xfId="5" applyFont="1" applyFill="1" applyBorder="1" applyAlignment="1">
      <alignment horizontal="center" vertical="center" wrapText="1"/>
    </xf>
    <xf numFmtId="9" fontId="17" fillId="0" borderId="8" xfId="5" applyFont="1" applyBorder="1" applyAlignment="1">
      <alignment horizontal="center" vertical="center" wrapText="1"/>
    </xf>
    <xf numFmtId="0" fontId="18" fillId="0" borderId="8" xfId="0" applyFont="1" applyFill="1" applyBorder="1" applyAlignment="1">
      <alignment horizontal="justify" vertical="center" wrapText="1"/>
    </xf>
    <xf numFmtId="9" fontId="18" fillId="0" borderId="8" xfId="5" applyFont="1" applyFill="1" applyBorder="1" applyAlignment="1">
      <alignment horizontal="center" vertical="center" wrapText="1"/>
    </xf>
    <xf numFmtId="0" fontId="3" fillId="0" borderId="0" xfId="11" applyFont="1">
      <alignment vertical="center"/>
    </xf>
    <xf numFmtId="3" fontId="3" fillId="0" borderId="0" xfId="11" applyNumberFormat="1" applyFont="1">
      <alignment vertical="center"/>
    </xf>
    <xf numFmtId="0" fontId="34" fillId="0" borderId="45" xfId="11" applyFont="1" applyBorder="1" applyAlignment="1">
      <alignment horizontal="justify" vertical="center" wrapText="1"/>
    </xf>
    <xf numFmtId="0" fontId="34" fillId="0" borderId="0" xfId="11" applyFont="1" applyBorder="1" applyAlignment="1">
      <alignment horizontal="justify" vertical="center" wrapText="1"/>
    </xf>
    <xf numFmtId="0" fontId="34" fillId="0" borderId="46" xfId="11" applyFont="1" applyBorder="1" applyAlignment="1">
      <alignment horizontal="justify" vertical="center" wrapText="1"/>
    </xf>
    <xf numFmtId="0" fontId="18" fillId="0" borderId="0" xfId="11" applyFont="1">
      <alignment vertical="center"/>
    </xf>
    <xf numFmtId="0" fontId="33" fillId="8" borderId="8" xfId="11" applyFont="1" applyFill="1" applyBorder="1" applyAlignment="1">
      <alignment horizontal="left" vertical="center" wrapText="1"/>
    </xf>
    <xf numFmtId="0" fontId="33" fillId="8" borderId="8" xfId="11" applyFont="1" applyFill="1" applyBorder="1" applyAlignment="1">
      <alignment horizontal="center" vertical="center" wrapText="1"/>
    </xf>
    <xf numFmtId="0" fontId="34" fillId="8" borderId="8" xfId="11" applyFont="1" applyFill="1" applyBorder="1" applyAlignment="1">
      <alignment horizontal="justify" vertical="center" wrapText="1"/>
    </xf>
    <xf numFmtId="41" fontId="34" fillId="8" borderId="8" xfId="1" applyFont="1" applyFill="1" applyBorder="1" applyAlignment="1">
      <alignment horizontal="right" vertical="center" wrapText="1"/>
    </xf>
    <xf numFmtId="41" fontId="34" fillId="8" borderId="8" xfId="1" applyFont="1" applyFill="1" applyBorder="1" applyAlignment="1">
      <alignment horizontal="justify" vertical="center" wrapText="1"/>
    </xf>
    <xf numFmtId="0" fontId="18" fillId="9" borderId="0" xfId="11" applyFont="1" applyFill="1">
      <alignment vertical="center"/>
    </xf>
    <xf numFmtId="0" fontId="34" fillId="8" borderId="8" xfId="11" applyFont="1" applyFill="1" applyBorder="1" applyAlignment="1">
      <alignment horizontal="center" vertical="center" wrapText="1"/>
    </xf>
    <xf numFmtId="0" fontId="18" fillId="10" borderId="0" xfId="11" applyFont="1" applyFill="1">
      <alignment vertical="center"/>
    </xf>
    <xf numFmtId="41" fontId="33" fillId="8" borderId="8" xfId="1" applyFont="1" applyFill="1" applyBorder="1" applyAlignment="1">
      <alignment horizontal="right" vertical="center" wrapText="1"/>
    </xf>
    <xf numFmtId="0" fontId="23" fillId="0" borderId="0" xfId="11" applyFont="1">
      <alignment vertical="center"/>
    </xf>
    <xf numFmtId="0" fontId="23" fillId="0" borderId="0" xfId="11" applyFont="1" applyFill="1">
      <alignment vertical="center"/>
    </xf>
    <xf numFmtId="0" fontId="18" fillId="0" borderId="0" xfId="11" applyFont="1" applyAlignment="1">
      <alignment horizontal="center" vertical="center"/>
    </xf>
    <xf numFmtId="0" fontId="17" fillId="0" borderId="0" xfId="11" applyFont="1">
      <alignment vertical="center"/>
    </xf>
    <xf numFmtId="0" fontId="18" fillId="0" borderId="0" xfId="11" applyFont="1" applyFill="1">
      <alignment vertical="center"/>
    </xf>
    <xf numFmtId="9" fontId="17" fillId="0" borderId="8" xfId="11" applyNumberFormat="1" applyFont="1" applyFill="1" applyBorder="1" applyAlignment="1">
      <alignment horizontal="center" vertical="center" wrapText="1"/>
    </xf>
    <xf numFmtId="0" fontId="18" fillId="0" borderId="8" xfId="11" applyFont="1" applyFill="1" applyBorder="1" applyAlignment="1">
      <alignment horizontal="justify" vertical="center" wrapText="1"/>
    </xf>
    <xf numFmtId="0" fontId="18" fillId="0" borderId="8" xfId="11" applyFont="1" applyFill="1" applyBorder="1" applyAlignment="1">
      <alignment horizontal="right" vertical="center" wrapText="1"/>
    </xf>
    <xf numFmtId="0" fontId="18" fillId="0" borderId="8" xfId="11" applyFont="1" applyFill="1" applyBorder="1" applyAlignment="1">
      <alignment horizontal="center" vertical="center" wrapText="1"/>
    </xf>
    <xf numFmtId="0" fontId="18" fillId="0" borderId="8" xfId="11" applyFont="1" applyBorder="1" applyAlignment="1">
      <alignment horizontal="center" vertical="center" wrapText="1"/>
    </xf>
    <xf numFmtId="0" fontId="18" fillId="0" borderId="8" xfId="11" applyFont="1" applyBorder="1" applyAlignment="1">
      <alignment horizontal="justify" vertical="center" wrapText="1"/>
    </xf>
    <xf numFmtId="3" fontId="17" fillId="0" borderId="8" xfId="11" applyNumberFormat="1" applyFont="1" applyBorder="1" applyAlignment="1">
      <alignment horizontal="right" vertical="center" wrapText="1"/>
    </xf>
    <xf numFmtId="0" fontId="17" fillId="0" borderId="8" xfId="11" applyFont="1" applyBorder="1" applyAlignment="1">
      <alignment horizontal="justify" vertical="center" wrapText="1"/>
    </xf>
    <xf numFmtId="0" fontId="17" fillId="0" borderId="8" xfId="11" applyFont="1" applyBorder="1" applyAlignment="1">
      <alignment horizontal="right" vertical="center" wrapText="1"/>
    </xf>
    <xf numFmtId="0" fontId="23" fillId="0" borderId="0" xfId="11" applyFont="1" applyAlignment="1">
      <alignment vertical="center"/>
    </xf>
    <xf numFmtId="41" fontId="23" fillId="0" borderId="0" xfId="1" applyFont="1" applyAlignment="1">
      <alignment vertical="center"/>
    </xf>
    <xf numFmtId="41" fontId="23" fillId="0" borderId="0" xfId="1" applyFont="1" applyFill="1" applyAlignment="1">
      <alignment vertical="center"/>
    </xf>
    <xf numFmtId="179" fontId="23" fillId="0" borderId="0" xfId="1" applyNumberFormat="1" applyFont="1" applyAlignment="1">
      <alignment horizontal="left" vertical="center"/>
    </xf>
    <xf numFmtId="186" fontId="23" fillId="0" borderId="0" xfId="1" applyNumberFormat="1" applyFont="1" applyAlignment="1">
      <alignment vertical="center"/>
    </xf>
    <xf numFmtId="0" fontId="23" fillId="0" borderId="0" xfId="11" applyFont="1" applyFill="1" applyAlignment="1">
      <alignment vertical="center"/>
    </xf>
    <xf numFmtId="41" fontId="23" fillId="0" borderId="0" xfId="1" applyFont="1" applyAlignment="1">
      <alignment horizontal="left" vertical="center"/>
    </xf>
    <xf numFmtId="0" fontId="23" fillId="11" borderId="0" xfId="11" applyFont="1" applyFill="1" applyAlignment="1">
      <alignment vertical="center"/>
    </xf>
    <xf numFmtId="41" fontId="23" fillId="0" borderId="0" xfId="1" applyNumberFormat="1" applyFont="1" applyFill="1" applyAlignment="1">
      <alignment horizontal="right" vertical="center"/>
    </xf>
    <xf numFmtId="0" fontId="23" fillId="4" borderId="0" xfId="11" applyFont="1" applyFill="1" applyAlignment="1">
      <alignment horizontal="left" vertical="center"/>
    </xf>
    <xf numFmtId="0" fontId="38" fillId="0" borderId="0" xfId="15" applyFont="1" applyFill="1" applyAlignment="1" applyProtection="1">
      <alignment vertical="center"/>
    </xf>
    <xf numFmtId="0" fontId="33" fillId="7" borderId="8" xfId="11" applyFont="1" applyFill="1" applyBorder="1" applyAlignment="1">
      <alignment horizontal="center" vertical="center" wrapText="1"/>
    </xf>
    <xf numFmtId="0" fontId="23" fillId="0" borderId="0" xfId="11" applyFont="1" applyAlignment="1">
      <alignment horizontal="left" vertical="center"/>
    </xf>
    <xf numFmtId="185" fontId="18" fillId="0" borderId="8" xfId="0" applyNumberFormat="1" applyFont="1" applyBorder="1" applyAlignment="1">
      <alignment vertical="center"/>
    </xf>
    <xf numFmtId="0" fontId="33" fillId="5" borderId="8" xfId="11" applyFont="1" applyFill="1" applyBorder="1" applyAlignment="1">
      <alignment horizontal="center" vertical="center" wrapText="1"/>
    </xf>
    <xf numFmtId="0" fontId="34" fillId="5" borderId="8" xfId="11" applyFont="1" applyFill="1" applyBorder="1" applyAlignment="1">
      <alignment horizontal="justify" vertical="center" wrapText="1"/>
    </xf>
    <xf numFmtId="41" fontId="33" fillId="5" borderId="8" xfId="1" applyFont="1" applyFill="1" applyBorder="1" applyAlignment="1">
      <alignment horizontal="right" vertical="center" wrapText="1"/>
    </xf>
    <xf numFmtId="41" fontId="34" fillId="5" borderId="8" xfId="1" applyFont="1" applyFill="1" applyBorder="1" applyAlignment="1">
      <alignment horizontal="justify" vertical="center" wrapText="1"/>
    </xf>
    <xf numFmtId="0" fontId="18" fillId="5" borderId="0" xfId="11" applyFont="1" applyFill="1">
      <alignment vertical="center"/>
    </xf>
    <xf numFmtId="0" fontId="33" fillId="7" borderId="8" xfId="11" applyFont="1" applyFill="1" applyBorder="1" applyAlignment="1">
      <alignment horizontal="left" vertical="center" wrapText="1"/>
    </xf>
    <xf numFmtId="0" fontId="34" fillId="7" borderId="8" xfId="11" applyFont="1" applyFill="1" applyBorder="1" applyAlignment="1">
      <alignment horizontal="justify" vertical="center" wrapText="1"/>
    </xf>
    <xf numFmtId="41" fontId="34" fillId="7" borderId="8" xfId="1" applyFont="1" applyFill="1" applyBorder="1" applyAlignment="1">
      <alignment horizontal="right" vertical="center" wrapText="1"/>
    </xf>
    <xf numFmtId="41" fontId="34" fillId="7" borderId="8" xfId="1" applyFont="1" applyFill="1" applyBorder="1" applyAlignment="1">
      <alignment horizontal="justify" vertical="center" wrapText="1"/>
    </xf>
    <xf numFmtId="0" fontId="18" fillId="7" borderId="0" xfId="11" applyFont="1" applyFill="1">
      <alignment vertical="center"/>
    </xf>
    <xf numFmtId="0" fontId="33" fillId="8" borderId="8" xfId="11" applyFont="1" applyFill="1" applyBorder="1" applyAlignment="1">
      <alignment horizontal="justify" vertical="center" wrapText="1"/>
    </xf>
    <xf numFmtId="41" fontId="33" fillId="8" borderId="8" xfId="1" applyFont="1" applyFill="1" applyBorder="1" applyAlignment="1">
      <alignment horizontal="justify" vertical="center" wrapText="1"/>
    </xf>
    <xf numFmtId="41" fontId="17" fillId="8" borderId="8" xfId="1" applyFont="1" applyFill="1" applyBorder="1" applyAlignment="1">
      <alignment horizontal="right" vertical="center" wrapText="1"/>
    </xf>
    <xf numFmtId="3" fontId="22" fillId="5" borderId="0" xfId="11" applyNumberFormat="1" applyFont="1" applyFill="1" applyAlignment="1">
      <alignment horizontal="right" vertical="center"/>
    </xf>
    <xf numFmtId="3" fontId="22" fillId="11" borderId="0" xfId="11" applyNumberFormat="1" applyFont="1" applyFill="1" applyAlignment="1">
      <alignment vertical="center"/>
    </xf>
    <xf numFmtId="176" fontId="23" fillId="0" borderId="0" xfId="1" applyNumberFormat="1" applyFont="1" applyFill="1" applyBorder="1" applyAlignment="1">
      <alignment vertical="center"/>
    </xf>
    <xf numFmtId="41" fontId="23" fillId="0" borderId="0" xfId="1" applyFont="1" applyBorder="1" applyAlignment="1">
      <alignment vertical="center"/>
    </xf>
    <xf numFmtId="0" fontId="23" fillId="5" borderId="0" xfId="15" applyFont="1" applyFill="1" applyAlignment="1" applyProtection="1">
      <alignment vertical="center"/>
    </xf>
    <xf numFmtId="3" fontId="22" fillId="5" borderId="0" xfId="15" applyNumberFormat="1" applyFont="1" applyFill="1" applyAlignment="1" applyProtection="1">
      <alignment vertical="center"/>
    </xf>
    <xf numFmtId="0" fontId="23" fillId="0" borderId="8" xfId="11" applyFont="1" applyFill="1" applyBorder="1" applyAlignment="1">
      <alignment horizontal="left" vertical="center"/>
    </xf>
    <xf numFmtId="41" fontId="23" fillId="0" borderId="8" xfId="1" applyFont="1" applyFill="1" applyBorder="1" applyAlignment="1">
      <alignment horizontal="left" vertical="center"/>
    </xf>
    <xf numFmtId="41" fontId="23" fillId="0" borderId="8" xfId="1" applyFont="1" applyFill="1" applyBorder="1" applyAlignment="1">
      <alignment vertical="center"/>
    </xf>
    <xf numFmtId="0" fontId="23" fillId="0" borderId="8" xfId="11" applyFont="1" applyFill="1" applyBorder="1">
      <alignment vertical="center"/>
    </xf>
    <xf numFmtId="0" fontId="23" fillId="0" borderId="8" xfId="11" applyFont="1" applyBorder="1" applyAlignment="1">
      <alignment horizontal="left" vertical="center"/>
    </xf>
    <xf numFmtId="0" fontId="23" fillId="0" borderId="8" xfId="11" applyFont="1" applyBorder="1" applyAlignment="1">
      <alignment horizontal="center" vertical="center"/>
    </xf>
    <xf numFmtId="0" fontId="17" fillId="7" borderId="8" xfId="0" applyFont="1" applyFill="1" applyBorder="1" applyAlignment="1">
      <alignment horizontal="center" vertical="center"/>
    </xf>
    <xf numFmtId="0" fontId="21" fillId="0" borderId="0" xfId="0" applyFont="1" applyAlignment="1"/>
    <xf numFmtId="177" fontId="40" fillId="0" borderId="0" xfId="1" applyNumberFormat="1" applyFont="1" applyAlignment="1">
      <alignment vertical="center"/>
    </xf>
    <xf numFmtId="0" fontId="29" fillId="0" borderId="0" xfId="0" applyFont="1" applyBorder="1" applyAlignment="1">
      <alignment horizontal="center" vertical="center"/>
    </xf>
    <xf numFmtId="177" fontId="21" fillId="0" borderId="0" xfId="1" applyNumberFormat="1" applyFont="1" applyAlignment="1">
      <alignment vertical="center"/>
    </xf>
    <xf numFmtId="177" fontId="29" fillId="0" borderId="0" xfId="1" applyNumberFormat="1" applyFont="1" applyAlignment="1">
      <alignment vertical="center"/>
    </xf>
    <xf numFmtId="177" fontId="21" fillId="0" borderId="0" xfId="1" quotePrefix="1" applyNumberFormat="1" applyFont="1" applyAlignment="1">
      <alignment horizontal="center" vertical="center"/>
    </xf>
    <xf numFmtId="177" fontId="21" fillId="0" borderId="0" xfId="1" applyNumberFormat="1" applyFont="1" applyAlignment="1">
      <alignment horizontal="center" vertical="center"/>
    </xf>
    <xf numFmtId="188" fontId="29" fillId="0" borderId="0" xfId="1" applyNumberFormat="1" applyFont="1" applyAlignment="1">
      <alignment vertical="center"/>
    </xf>
    <xf numFmtId="0" fontId="21" fillId="0" borderId="0" xfId="16" applyNumberFormat="1" applyFont="1">
      <alignment vertical="center"/>
    </xf>
    <xf numFmtId="0" fontId="3" fillId="0" borderId="0" xfId="16" applyFont="1">
      <alignment vertical="center"/>
    </xf>
    <xf numFmtId="177" fontId="29" fillId="0" borderId="8" xfId="1" applyNumberFormat="1" applyFont="1" applyBorder="1" applyAlignment="1">
      <alignment horizontal="center" vertical="center"/>
    </xf>
    <xf numFmtId="177" fontId="29" fillId="0" borderId="5" xfId="1" applyNumberFormat="1" applyFont="1" applyBorder="1" applyAlignment="1">
      <alignment horizontal="center" vertical="center"/>
    </xf>
    <xf numFmtId="177" fontId="29" fillId="0" borderId="8" xfId="1" applyNumberFormat="1" applyFont="1" applyBorder="1" applyAlignment="1">
      <alignment horizontal="center" vertical="center" wrapText="1"/>
    </xf>
    <xf numFmtId="177" fontId="29" fillId="0" borderId="0" xfId="1" applyNumberFormat="1" applyFont="1" applyBorder="1" applyAlignment="1">
      <alignment horizontal="center" vertical="center" wrapText="1"/>
    </xf>
    <xf numFmtId="177" fontId="21" fillId="0" borderId="38" xfId="1" applyNumberFormat="1" applyFont="1" applyBorder="1" applyAlignment="1">
      <alignment horizontal="center" vertical="center"/>
    </xf>
    <xf numFmtId="41" fontId="21" fillId="0" borderId="38" xfId="1" applyFont="1" applyBorder="1" applyAlignment="1">
      <alignment vertical="center"/>
    </xf>
    <xf numFmtId="41" fontId="21" fillId="0" borderId="0" xfId="1" applyFont="1" applyBorder="1" applyAlignment="1">
      <alignment vertical="center"/>
    </xf>
    <xf numFmtId="177" fontId="21" fillId="0" borderId="40" xfId="1" applyNumberFormat="1" applyFont="1" applyBorder="1" applyAlignment="1">
      <alignment horizontal="center" vertical="center"/>
    </xf>
    <xf numFmtId="41" fontId="21" fillId="0" borderId="40" xfId="1" applyFont="1" applyBorder="1" applyAlignment="1">
      <alignment vertical="center"/>
    </xf>
    <xf numFmtId="177" fontId="21" fillId="0" borderId="41" xfId="1" applyNumberFormat="1" applyFont="1" applyBorder="1" applyAlignment="1">
      <alignment horizontal="center" vertical="center"/>
    </xf>
    <xf numFmtId="41" fontId="21" fillId="0" borderId="41" xfId="1" applyFont="1" applyBorder="1" applyAlignment="1">
      <alignment vertical="center"/>
    </xf>
    <xf numFmtId="177" fontId="29" fillId="0" borderId="0" xfId="1" applyNumberFormat="1" applyFont="1" applyAlignment="1">
      <alignment horizontal="left" vertical="center"/>
    </xf>
    <xf numFmtId="189" fontId="21" fillId="0" borderId="0" xfId="1" applyNumberFormat="1" applyFont="1" applyAlignment="1">
      <alignment vertical="center"/>
    </xf>
    <xf numFmtId="190" fontId="21" fillId="0" borderId="0" xfId="1" applyNumberFormat="1" applyFont="1" applyAlignment="1">
      <alignment vertical="center"/>
    </xf>
    <xf numFmtId="177" fontId="21" fillId="0" borderId="0" xfId="1" applyNumberFormat="1" applyFont="1" applyBorder="1" applyAlignment="1">
      <alignment horizontal="center" vertical="center"/>
    </xf>
    <xf numFmtId="189" fontId="21" fillId="0" borderId="0" xfId="1" applyNumberFormat="1" applyFont="1" applyBorder="1" applyAlignment="1">
      <alignment horizontal="center" vertical="center"/>
    </xf>
    <xf numFmtId="190" fontId="21" fillId="0" borderId="0" xfId="1" applyNumberFormat="1" applyFont="1" applyBorder="1" applyAlignment="1">
      <alignment horizontal="center" vertical="center"/>
    </xf>
    <xf numFmtId="183" fontId="21" fillId="0" borderId="8" xfId="1" applyNumberFormat="1" applyFont="1" applyBorder="1" applyAlignment="1">
      <alignment horizontal="center" vertical="center"/>
    </xf>
    <xf numFmtId="183" fontId="21" fillId="0" borderId="40" xfId="1" applyNumberFormat="1" applyFont="1" applyBorder="1" applyAlignment="1">
      <alignment horizontal="center" vertical="center"/>
    </xf>
    <xf numFmtId="190" fontId="21" fillId="0" borderId="0" xfId="1" applyNumberFormat="1" applyFont="1" applyBorder="1" applyAlignment="1">
      <alignment vertical="center"/>
    </xf>
    <xf numFmtId="189" fontId="21" fillId="0" borderId="0" xfId="1" applyNumberFormat="1" applyFont="1" applyBorder="1" applyAlignment="1">
      <alignment vertical="center"/>
    </xf>
    <xf numFmtId="0" fontId="40" fillId="0" borderId="0" xfId="0" applyFont="1" applyAlignment="1"/>
    <xf numFmtId="0" fontId="28" fillId="0" borderId="0" xfId="0" applyFont="1" applyFill="1" applyBorder="1" applyAlignment="1"/>
    <xf numFmtId="0" fontId="40" fillId="0" borderId="0" xfId="0" applyFont="1" applyAlignment="1">
      <alignment vertical="center"/>
    </xf>
    <xf numFmtId="0" fontId="21" fillId="0" borderId="0" xfId="0" applyFont="1" applyAlignment="1">
      <alignment horizontal="right" vertical="center"/>
    </xf>
    <xf numFmtId="0" fontId="29" fillId="0" borderId="5" xfId="0" applyFont="1" applyBorder="1" applyAlignment="1">
      <alignment vertical="center"/>
    </xf>
    <xf numFmtId="0" fontId="21" fillId="0" borderId="6" xfId="0" applyFont="1" applyBorder="1" applyAlignment="1">
      <alignment vertical="center"/>
    </xf>
    <xf numFmtId="0" fontId="21" fillId="0" borderId="8" xfId="0" applyFont="1" applyBorder="1" applyAlignment="1">
      <alignment horizontal="center" vertical="center"/>
    </xf>
    <xf numFmtId="0" fontId="24" fillId="0" borderId="0" xfId="0" applyFont="1" applyAlignment="1"/>
    <xf numFmtId="0" fontId="21" fillId="0" borderId="31" xfId="0" applyFont="1" applyBorder="1" applyAlignment="1">
      <alignment vertical="center"/>
    </xf>
    <xf numFmtId="0" fontId="21" fillId="0" borderId="26" xfId="0" applyFont="1" applyBorder="1" applyAlignment="1">
      <alignment vertical="center"/>
    </xf>
    <xf numFmtId="0" fontId="21" fillId="0" borderId="32" xfId="0" applyFont="1" applyBorder="1" applyAlignment="1">
      <alignment vertical="center"/>
    </xf>
    <xf numFmtId="0" fontId="21" fillId="0" borderId="42" xfId="0" applyFont="1" applyBorder="1" applyAlignment="1">
      <alignment vertical="center"/>
    </xf>
    <xf numFmtId="0" fontId="21" fillId="0" borderId="33" xfId="0" applyFont="1" applyBorder="1" applyAlignment="1">
      <alignment vertical="center"/>
    </xf>
    <xf numFmtId="0" fontId="21" fillId="0" borderId="43" xfId="0" applyFont="1" applyBorder="1" applyAlignment="1">
      <alignment vertical="center"/>
    </xf>
    <xf numFmtId="0" fontId="29" fillId="0" borderId="12" xfId="0" applyFont="1" applyBorder="1" applyAlignment="1">
      <alignment vertical="center"/>
    </xf>
    <xf numFmtId="0" fontId="21" fillId="0" borderId="12" xfId="0" applyFont="1" applyBorder="1" applyAlignment="1">
      <alignment vertical="center"/>
    </xf>
    <xf numFmtId="0" fontId="21" fillId="0" borderId="6" xfId="7" applyFont="1" applyBorder="1" applyAlignment="1">
      <alignment vertical="center"/>
    </xf>
    <xf numFmtId="0" fontId="21" fillId="0" borderId="5" xfId="7" applyFont="1" applyBorder="1" applyAlignment="1">
      <alignment vertical="center"/>
    </xf>
    <xf numFmtId="41" fontId="29" fillId="0" borderId="7" xfId="7" applyNumberFormat="1" applyFont="1" applyBorder="1" applyAlignment="1">
      <alignment vertical="center"/>
    </xf>
    <xf numFmtId="41" fontId="29" fillId="0" borderId="6" xfId="1" applyFont="1" applyBorder="1" applyAlignment="1">
      <alignment horizontal="center" vertical="center"/>
    </xf>
    <xf numFmtId="0" fontId="21" fillId="0" borderId="45" xfId="7" applyFont="1" applyBorder="1" applyAlignment="1">
      <alignment vertical="center"/>
    </xf>
    <xf numFmtId="0" fontId="21" fillId="0" borderId="0" xfId="7" applyFont="1" applyBorder="1" applyAlignment="1">
      <alignment vertical="center"/>
    </xf>
    <xf numFmtId="0" fontId="21" fillId="0" borderId="46" xfId="7" applyFont="1" applyBorder="1" applyAlignment="1">
      <alignment vertical="center"/>
    </xf>
    <xf numFmtId="0" fontId="21" fillId="0" borderId="36" xfId="7" applyFont="1" applyBorder="1" applyAlignment="1">
      <alignment vertical="center"/>
    </xf>
    <xf numFmtId="179" fontId="21" fillId="0" borderId="16" xfId="4" applyNumberFormat="1" applyFont="1" applyBorder="1" applyAlignment="1">
      <alignment vertical="center"/>
    </xf>
    <xf numFmtId="0" fontId="21" fillId="0" borderId="16" xfId="7" applyFont="1" applyBorder="1" applyAlignment="1">
      <alignment vertical="center"/>
    </xf>
    <xf numFmtId="0" fontId="21" fillId="0" borderId="0" xfId="0" applyFont="1" applyBorder="1" applyAlignment="1">
      <alignment vertical="center"/>
    </xf>
    <xf numFmtId="0" fontId="21" fillId="0" borderId="35" xfId="7" applyFont="1" applyBorder="1" applyAlignment="1">
      <alignment horizontal="right" vertical="center"/>
    </xf>
    <xf numFmtId="41" fontId="29" fillId="0" borderId="6" xfId="7" applyNumberFormat="1" applyFont="1" applyBorder="1" applyAlignment="1">
      <alignment horizontal="center" vertical="center"/>
    </xf>
    <xf numFmtId="0" fontId="3" fillId="0" borderId="6" xfId="0" applyFont="1" applyBorder="1" applyAlignment="1"/>
    <xf numFmtId="0" fontId="3" fillId="0" borderId="7" xfId="0" applyFont="1" applyBorder="1" applyAlignment="1"/>
    <xf numFmtId="0" fontId="21" fillId="0" borderId="45" xfId="7" applyFont="1" applyBorder="1" applyAlignment="1">
      <alignment horizontal="left" vertical="center"/>
    </xf>
    <xf numFmtId="0" fontId="21" fillId="0" borderId="0" xfId="0" applyFont="1" applyBorder="1" applyAlignment="1">
      <alignment horizontal="centerContinuous" vertical="center"/>
    </xf>
    <xf numFmtId="41" fontId="21" fillId="0" borderId="20" xfId="1" applyFont="1" applyBorder="1" applyAlignment="1">
      <alignment vertical="center"/>
    </xf>
    <xf numFmtId="41" fontId="21" fillId="0" borderId="20" xfId="4" applyFont="1" applyBorder="1" applyAlignment="1">
      <alignment horizontal="center" vertical="center"/>
    </xf>
    <xf numFmtId="0" fontId="21" fillId="0" borderId="36" xfId="7" applyFont="1" applyBorder="1" applyAlignment="1">
      <alignment horizontal="left" vertical="center"/>
    </xf>
    <xf numFmtId="0" fontId="21" fillId="0" borderId="16" xfId="0" applyFont="1" applyBorder="1" applyAlignment="1">
      <alignment horizontal="centerContinuous" vertical="center"/>
    </xf>
    <xf numFmtId="41" fontId="21" fillId="0" borderId="21" xfId="1" applyFont="1" applyBorder="1" applyAlignment="1">
      <alignment vertical="center"/>
    </xf>
    <xf numFmtId="41" fontId="21" fillId="0" borderId="21" xfId="4" applyFont="1" applyBorder="1" applyAlignment="1">
      <alignment horizontal="center" vertical="center"/>
    </xf>
    <xf numFmtId="0" fontId="29" fillId="0" borderId="0" xfId="0" applyFont="1" applyAlignment="1">
      <alignment vertical="center"/>
    </xf>
    <xf numFmtId="0" fontId="21" fillId="0" borderId="0" xfId="0" applyFont="1" applyAlignment="1">
      <alignment horizontal="center" vertical="center"/>
    </xf>
    <xf numFmtId="0" fontId="21" fillId="0" borderId="8" xfId="0" quotePrefix="1" applyFont="1" applyBorder="1" applyAlignment="1">
      <alignment horizontal="center" vertical="center"/>
    </xf>
    <xf numFmtId="41" fontId="21" fillId="0" borderId="8" xfId="1" applyFont="1" applyBorder="1" applyAlignment="1">
      <alignment horizontal="center" vertical="center"/>
    </xf>
    <xf numFmtId="0" fontId="18" fillId="0" borderId="0" xfId="0" applyFont="1" applyBorder="1" applyAlignment="1">
      <alignment horizontal="center" vertical="center"/>
    </xf>
    <xf numFmtId="0" fontId="18" fillId="8" borderId="8" xfId="0" applyFont="1" applyFill="1" applyBorder="1" applyAlignment="1">
      <alignment horizontal="left" vertical="center" indent="1"/>
    </xf>
    <xf numFmtId="9" fontId="18" fillId="8" borderId="8" xfId="5" applyFont="1" applyFill="1" applyBorder="1" applyAlignment="1">
      <alignment vertical="center"/>
    </xf>
    <xf numFmtId="41" fontId="18" fillId="8" borderId="8" xfId="0" applyNumberFormat="1" applyFont="1" applyFill="1" applyBorder="1" applyAlignment="1">
      <alignment vertical="center"/>
    </xf>
    <xf numFmtId="0" fontId="18" fillId="8" borderId="8" xfId="0" applyFont="1" applyFill="1" applyBorder="1" applyAlignment="1">
      <alignment horizontal="left" vertical="center"/>
    </xf>
    <xf numFmtId="0" fontId="22" fillId="0" borderId="0" xfId="0" applyFont="1" applyBorder="1" applyAlignment="1">
      <alignment horizontal="center" vertical="center"/>
    </xf>
    <xf numFmtId="179" fontId="22" fillId="0" borderId="0" xfId="1" applyNumberFormat="1" applyFont="1" applyBorder="1" applyAlignment="1">
      <alignment horizontal="center" vertical="center"/>
    </xf>
    <xf numFmtId="0" fontId="22" fillId="7" borderId="8" xfId="0" applyFont="1" applyFill="1" applyBorder="1" applyAlignment="1">
      <alignment horizontal="center" vertical="center"/>
    </xf>
    <xf numFmtId="41" fontId="22" fillId="7" borderId="8" xfId="1" applyFont="1" applyFill="1" applyBorder="1" applyAlignment="1">
      <alignment horizontal="center" vertical="center"/>
    </xf>
    <xf numFmtId="178" fontId="22" fillId="7" borderId="8" xfId="0" applyNumberFormat="1" applyFont="1" applyFill="1" applyBorder="1" applyAlignment="1">
      <alignment horizontal="center" vertical="center"/>
    </xf>
    <xf numFmtId="0" fontId="22" fillId="0" borderId="8" xfId="0" applyFont="1" applyFill="1" applyBorder="1" applyAlignment="1">
      <alignment vertical="center"/>
    </xf>
    <xf numFmtId="187" fontId="22" fillId="0" borderId="8" xfId="0" applyNumberFormat="1" applyFont="1" applyFill="1" applyBorder="1" applyAlignment="1">
      <alignment vertical="center"/>
    </xf>
    <xf numFmtId="179" fontId="22" fillId="0" borderId="8" xfId="1" applyNumberFormat="1" applyFont="1" applyFill="1" applyBorder="1" applyAlignment="1">
      <alignment vertical="center"/>
    </xf>
    <xf numFmtId="41" fontId="22" fillId="0" borderId="8" xfId="1" applyFont="1" applyFill="1" applyBorder="1" applyAlignment="1">
      <alignment vertical="center"/>
    </xf>
    <xf numFmtId="178" fontId="22" fillId="0" borderId="8" xfId="0" applyNumberFormat="1" applyFont="1" applyFill="1" applyBorder="1" applyAlignment="1">
      <alignment vertical="center"/>
    </xf>
    <xf numFmtId="0" fontId="22" fillId="0" borderId="8" xfId="0" applyFont="1" applyBorder="1" applyAlignment="1">
      <alignment vertical="center"/>
    </xf>
    <xf numFmtId="42" fontId="23" fillId="0" borderId="8" xfId="0" applyNumberFormat="1" applyFont="1" applyFill="1" applyBorder="1" applyAlignment="1">
      <alignment vertical="center"/>
    </xf>
    <xf numFmtId="187" fontId="23" fillId="0" borderId="8" xfId="0" applyNumberFormat="1" applyFont="1" applyFill="1" applyBorder="1" applyAlignment="1">
      <alignment vertical="center"/>
    </xf>
    <xf numFmtId="179" fontId="23" fillId="0" borderId="8" xfId="1" applyNumberFormat="1" applyFont="1" applyFill="1" applyBorder="1" applyAlignment="1">
      <alignment vertical="center"/>
    </xf>
    <xf numFmtId="178" fontId="23" fillId="0" borderId="8" xfId="0" applyNumberFormat="1" applyFont="1" applyFill="1" applyBorder="1" applyAlignment="1">
      <alignment vertical="center"/>
    </xf>
    <xf numFmtId="178" fontId="23" fillId="0" borderId="8" xfId="0" applyNumberFormat="1" applyFont="1" applyBorder="1" applyAlignment="1">
      <alignment vertical="center"/>
    </xf>
    <xf numFmtId="0" fontId="23" fillId="0" borderId="8" xfId="0" applyFont="1" applyFill="1" applyBorder="1" applyAlignment="1">
      <alignment horizontal="center" vertical="center"/>
    </xf>
    <xf numFmtId="41" fontId="22" fillId="0" borderId="8" xfId="1" applyFont="1" applyFill="1" applyBorder="1" applyAlignment="1">
      <alignment horizontal="center" vertical="center"/>
    </xf>
    <xf numFmtId="41" fontId="22" fillId="0" borderId="8" xfId="1" applyFont="1" applyBorder="1" applyAlignment="1">
      <alignment vertical="center"/>
    </xf>
    <xf numFmtId="41" fontId="22" fillId="0" borderId="0" xfId="1" applyFont="1" applyAlignment="1">
      <alignment vertical="center"/>
    </xf>
    <xf numFmtId="177" fontId="23" fillId="0" borderId="8" xfId="0" applyNumberFormat="1" applyFont="1" applyBorder="1" applyAlignment="1">
      <alignment vertical="center"/>
    </xf>
    <xf numFmtId="41" fontId="23" fillId="0" borderId="8" xfId="0" applyNumberFormat="1" applyFont="1" applyFill="1" applyBorder="1" applyAlignment="1">
      <alignment vertical="center"/>
    </xf>
    <xf numFmtId="0" fontId="23" fillId="0" borderId="0" xfId="0" applyFont="1" applyAlignment="1"/>
    <xf numFmtId="187" fontId="23" fillId="0" borderId="0" xfId="0" applyNumberFormat="1" applyFont="1" applyAlignment="1"/>
    <xf numFmtId="179" fontId="23" fillId="0" borderId="0" xfId="1" applyNumberFormat="1" applyFont="1" applyAlignment="1"/>
    <xf numFmtId="41" fontId="23" fillId="0" borderId="0" xfId="1" applyFont="1" applyAlignment="1"/>
    <xf numFmtId="178" fontId="23" fillId="0" borderId="0" xfId="0" applyNumberFormat="1" applyFont="1" applyAlignment="1"/>
    <xf numFmtId="41" fontId="23" fillId="0" borderId="8" xfId="1" applyNumberFormat="1" applyFont="1" applyFill="1" applyBorder="1" applyAlignment="1">
      <alignment vertical="center"/>
    </xf>
    <xf numFmtId="0" fontId="17" fillId="5" borderId="8" xfId="0" applyFont="1" applyFill="1" applyBorder="1" applyAlignment="1">
      <alignment vertical="center"/>
    </xf>
    <xf numFmtId="179" fontId="17" fillId="5" borderId="8" xfId="1" applyNumberFormat="1" applyFont="1" applyFill="1" applyBorder="1" applyAlignment="1">
      <alignment vertical="center"/>
    </xf>
    <xf numFmtId="41" fontId="21" fillId="5" borderId="38" xfId="1" applyFont="1" applyFill="1" applyBorder="1" applyAlignment="1">
      <alignment vertical="center"/>
    </xf>
    <xf numFmtId="41" fontId="21" fillId="5" borderId="32" xfId="1" quotePrefix="1" applyFont="1" applyFill="1" applyBorder="1" applyAlignment="1">
      <alignment horizontal="center" vertical="center"/>
    </xf>
    <xf numFmtId="41" fontId="21" fillId="5" borderId="40" xfId="1" applyFont="1" applyFill="1" applyBorder="1" applyAlignment="1">
      <alignment vertical="center"/>
    </xf>
    <xf numFmtId="41" fontId="21" fillId="5" borderId="39" xfId="1" applyFont="1" applyFill="1" applyBorder="1" applyAlignment="1">
      <alignment vertical="center"/>
    </xf>
    <xf numFmtId="41" fontId="21" fillId="5" borderId="33" xfId="1" applyFont="1" applyFill="1" applyBorder="1" applyAlignment="1">
      <alignment vertical="center"/>
    </xf>
    <xf numFmtId="41" fontId="21" fillId="5" borderId="41" xfId="1" applyFont="1" applyFill="1" applyBorder="1" applyAlignment="1">
      <alignment vertical="center"/>
    </xf>
    <xf numFmtId="41" fontId="21" fillId="5" borderId="44" xfId="1" applyFont="1" applyFill="1" applyBorder="1" applyAlignment="1">
      <alignment vertical="center"/>
    </xf>
    <xf numFmtId="0" fontId="41" fillId="2" borderId="14"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1" fillId="2" borderId="50" xfId="0" applyFont="1" applyFill="1" applyBorder="1" applyAlignment="1">
      <alignment horizontal="center" vertical="center"/>
    </xf>
    <xf numFmtId="0" fontId="41" fillId="2" borderId="17" xfId="3" applyFont="1" applyFill="1" applyBorder="1" applyAlignment="1">
      <alignment horizontal="left" vertical="center" wrapText="1"/>
    </xf>
    <xf numFmtId="0" fontId="41" fillId="2" borderId="16" xfId="3" applyFont="1" applyFill="1" applyBorder="1" applyAlignment="1">
      <alignment horizontal="left" vertical="center" wrapText="1"/>
    </xf>
    <xf numFmtId="0" fontId="41" fillId="2" borderId="8" xfId="3" applyFont="1" applyFill="1" applyBorder="1" applyAlignment="1">
      <alignment horizontal="center" vertical="center"/>
    </xf>
    <xf numFmtId="0" fontId="41" fillId="2" borderId="8" xfId="3" applyFont="1" applyFill="1" applyBorder="1" applyAlignment="1">
      <alignment horizontal="left" vertical="center"/>
    </xf>
    <xf numFmtId="0" fontId="42" fillId="5" borderId="8" xfId="3" applyFont="1" applyFill="1" applyBorder="1" applyAlignment="1">
      <alignment horizontal="left" vertical="center"/>
    </xf>
    <xf numFmtId="0" fontId="42" fillId="5" borderId="8" xfId="3" applyFont="1" applyFill="1" applyBorder="1" applyAlignment="1">
      <alignment horizontal="center" vertical="center"/>
    </xf>
    <xf numFmtId="0" fontId="21" fillId="0" borderId="7" xfId="0" applyFont="1" applyBorder="1" applyAlignment="1">
      <alignment vertical="center"/>
    </xf>
    <xf numFmtId="0" fontId="21" fillId="0" borderId="39" xfId="0" applyFont="1" applyBorder="1" applyAlignment="1">
      <alignment vertical="center"/>
    </xf>
    <xf numFmtId="41" fontId="21" fillId="0" borderId="0" xfId="1" applyFont="1" applyFill="1" applyBorder="1" applyAlignment="1">
      <alignment vertical="center"/>
    </xf>
    <xf numFmtId="9" fontId="21" fillId="0" borderId="0" xfId="5" applyFont="1" applyFill="1" applyBorder="1" applyAlignment="1">
      <alignment vertical="center"/>
    </xf>
    <xf numFmtId="9" fontId="21" fillId="0" borderId="0" xfId="5" applyFont="1" applyAlignment="1">
      <alignment vertical="center"/>
    </xf>
    <xf numFmtId="0" fontId="41" fillId="2" borderId="8" xfId="3" applyFont="1" applyFill="1" applyBorder="1" applyAlignment="1">
      <alignment horizontal="left" vertical="center"/>
    </xf>
    <xf numFmtId="0" fontId="41" fillId="2" borderId="8" xfId="3" applyFont="1" applyFill="1" applyBorder="1" applyAlignment="1">
      <alignment horizontal="center" vertical="center"/>
    </xf>
    <xf numFmtId="0" fontId="30" fillId="0" borderId="0" xfId="8" applyFont="1" applyAlignment="1">
      <alignment vertical="center"/>
    </xf>
    <xf numFmtId="41" fontId="18" fillId="8" borderId="8" xfId="1" applyFont="1" applyFill="1" applyBorder="1" applyAlignment="1">
      <alignment horizontal="center" vertical="center"/>
    </xf>
    <xf numFmtId="0" fontId="17" fillId="7" borderId="8" xfId="0" applyFont="1" applyFill="1" applyBorder="1" applyAlignment="1">
      <alignment horizontal="center" vertical="center"/>
    </xf>
    <xf numFmtId="177" fontId="21" fillId="0" borderId="0" xfId="1" applyNumberFormat="1" applyFont="1" applyBorder="1" applyAlignment="1">
      <alignment horizontal="left" vertical="center"/>
    </xf>
    <xf numFmtId="41" fontId="23" fillId="0" borderId="37" xfId="1" applyFont="1" applyFill="1" applyBorder="1" applyAlignment="1">
      <alignment vertical="center"/>
    </xf>
    <xf numFmtId="41" fontId="23" fillId="0" borderId="39" xfId="1" applyFont="1" applyFill="1" applyBorder="1" applyAlignment="1">
      <alignment vertical="center"/>
    </xf>
    <xf numFmtId="0" fontId="22" fillId="0" borderId="0" xfId="0" applyFont="1" applyFill="1" applyBorder="1" applyAlignment="1"/>
    <xf numFmtId="0" fontId="22" fillId="0" borderId="5" xfId="0" applyFont="1" applyFill="1" applyBorder="1" applyAlignment="1">
      <alignment vertical="center"/>
    </xf>
    <xf numFmtId="0" fontId="23" fillId="0" borderId="6" xfId="0" applyFont="1" applyFill="1" applyBorder="1" applyAlignment="1">
      <alignment vertical="center"/>
    </xf>
    <xf numFmtId="0" fontId="23" fillId="0" borderId="31" xfId="0" applyFont="1" applyFill="1" applyBorder="1" applyAlignment="1">
      <alignment vertical="center"/>
    </xf>
    <xf numFmtId="0" fontId="23" fillId="0" borderId="26" xfId="0" applyFont="1" applyFill="1" applyBorder="1" applyAlignment="1">
      <alignment vertical="center"/>
    </xf>
    <xf numFmtId="0" fontId="23" fillId="0" borderId="38" xfId="0" applyFont="1" applyFill="1" applyBorder="1" applyAlignment="1">
      <alignment vertical="center"/>
    </xf>
    <xf numFmtId="0" fontId="23" fillId="0" borderId="45" xfId="0" applyFont="1" applyFill="1" applyBorder="1" applyAlignment="1">
      <alignment vertical="center"/>
    </xf>
    <xf numFmtId="0" fontId="23" fillId="0" borderId="51" xfId="0" applyFont="1" applyFill="1" applyBorder="1" applyAlignment="1">
      <alignment vertical="center"/>
    </xf>
    <xf numFmtId="0" fontId="23" fillId="0" borderId="32" xfId="0" applyFont="1" applyFill="1" applyBorder="1" applyAlignment="1">
      <alignment vertical="center"/>
    </xf>
    <xf numFmtId="0" fontId="23" fillId="0" borderId="42" xfId="0" applyFont="1" applyFill="1" applyBorder="1" applyAlignment="1">
      <alignment vertical="center"/>
    </xf>
    <xf numFmtId="0" fontId="23" fillId="0" borderId="39" xfId="0" applyFont="1" applyFill="1" applyBorder="1" applyAlignment="1">
      <alignment vertical="center"/>
    </xf>
    <xf numFmtId="0" fontId="23" fillId="0" borderId="33" xfId="0" applyFont="1" applyFill="1" applyBorder="1" applyAlignment="1">
      <alignment vertical="center"/>
    </xf>
    <xf numFmtId="0" fontId="23" fillId="0" borderId="43" xfId="0" applyFont="1" applyFill="1" applyBorder="1" applyAlignment="1">
      <alignment vertical="center"/>
    </xf>
    <xf numFmtId="0" fontId="23" fillId="0" borderId="41" xfId="0" applyFont="1" applyFill="1" applyBorder="1" applyAlignment="1">
      <alignment vertical="center"/>
    </xf>
    <xf numFmtId="0" fontId="23" fillId="0" borderId="44" xfId="0" applyFont="1" applyFill="1" applyBorder="1" applyAlignment="1">
      <alignment vertical="center"/>
    </xf>
    <xf numFmtId="41" fontId="23" fillId="0" borderId="44" xfId="1" applyFont="1" applyFill="1" applyBorder="1" applyAlignment="1">
      <alignment vertical="center"/>
    </xf>
    <xf numFmtId="0" fontId="23" fillId="0" borderId="5" xfId="0" applyFont="1" applyFill="1" applyBorder="1" applyAlignment="1">
      <alignment vertical="center"/>
    </xf>
    <xf numFmtId="0" fontId="23" fillId="0" borderId="7" xfId="0" applyFont="1" applyFill="1" applyBorder="1" applyAlignment="1">
      <alignment vertical="center"/>
    </xf>
    <xf numFmtId="41" fontId="23" fillId="0" borderId="7" xfId="1" applyFont="1" applyFill="1" applyBorder="1" applyAlignment="1">
      <alignment vertical="center"/>
    </xf>
    <xf numFmtId="0" fontId="23" fillId="0" borderId="37" xfId="0" applyFont="1" applyFill="1" applyBorder="1" applyAlignment="1">
      <alignment vertical="center"/>
    </xf>
    <xf numFmtId="0" fontId="22"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1" xfId="0" applyFont="1" applyFill="1" applyBorder="1" applyAlignment="1">
      <alignment vertical="center"/>
    </xf>
    <xf numFmtId="0" fontId="23" fillId="0" borderId="0" xfId="11" applyFont="1" applyFill="1" applyAlignment="1">
      <alignment horizontal="right" vertical="center"/>
    </xf>
    <xf numFmtId="0" fontId="23" fillId="0" borderId="0" xfId="11" applyFont="1" applyFill="1" applyAlignment="1">
      <alignment vertical="center" wrapText="1"/>
    </xf>
    <xf numFmtId="41" fontId="17" fillId="0" borderId="8" xfId="1" applyFont="1" applyFill="1" applyBorder="1" applyAlignment="1">
      <alignment vertical="center"/>
    </xf>
    <xf numFmtId="0" fontId="18" fillId="0" borderId="0" xfId="3" applyFont="1" applyAlignment="1">
      <alignment vertical="center"/>
    </xf>
    <xf numFmtId="0" fontId="18" fillId="0" borderId="0" xfId="10" applyFont="1" applyAlignment="1">
      <alignment vertical="center"/>
    </xf>
    <xf numFmtId="0" fontId="18" fillId="8" borderId="0" xfId="10" applyFont="1" applyFill="1" applyAlignment="1">
      <alignment vertical="center"/>
    </xf>
    <xf numFmtId="0" fontId="17" fillId="7" borderId="0" xfId="10" applyFont="1" applyFill="1" applyAlignment="1">
      <alignment vertical="center"/>
    </xf>
    <xf numFmtId="0" fontId="17" fillId="0" borderId="0" xfId="10" applyFont="1" applyFill="1" applyAlignment="1">
      <alignment vertical="center"/>
    </xf>
    <xf numFmtId="0" fontId="18" fillId="0" borderId="0" xfId="10" applyFont="1" applyFill="1" applyAlignment="1">
      <alignment vertical="center"/>
    </xf>
    <xf numFmtId="0" fontId="17" fillId="5" borderId="0" xfId="10" applyFont="1" applyFill="1" applyAlignment="1">
      <alignment vertical="center"/>
    </xf>
    <xf numFmtId="0" fontId="27" fillId="0" borderId="0" xfId="9" applyFont="1" applyBorder="1" applyAlignment="1">
      <alignment vertical="center"/>
    </xf>
    <xf numFmtId="0" fontId="27" fillId="0" borderId="0" xfId="9" applyFont="1" applyBorder="1" applyAlignment="1">
      <alignment horizontal="center" vertical="center"/>
    </xf>
    <xf numFmtId="0" fontId="17" fillId="7" borderId="8" xfId="10" applyFont="1" applyFill="1" applyBorder="1" applyAlignment="1">
      <alignment vertical="center"/>
    </xf>
    <xf numFmtId="41" fontId="18" fillId="7" borderId="8" xfId="1" applyFont="1" applyFill="1" applyBorder="1" applyAlignment="1">
      <alignment vertical="center"/>
    </xf>
    <xf numFmtId="0" fontId="18" fillId="8" borderId="8" xfId="10" applyFont="1" applyFill="1" applyBorder="1" applyAlignment="1">
      <alignment vertical="center"/>
    </xf>
    <xf numFmtId="0" fontId="17" fillId="0" borderId="8" xfId="10" applyFont="1" applyFill="1" applyBorder="1" applyAlignment="1">
      <alignment vertical="center"/>
    </xf>
    <xf numFmtId="41" fontId="17" fillId="0" borderId="8" xfId="1" applyFont="1" applyFill="1" applyBorder="1" applyAlignment="1">
      <alignment horizontal="center" vertical="center"/>
    </xf>
    <xf numFmtId="41" fontId="17" fillId="5" borderId="8" xfId="1" applyFont="1" applyFill="1" applyBorder="1" applyAlignment="1">
      <alignment horizontal="center" vertical="center"/>
    </xf>
    <xf numFmtId="0" fontId="18" fillId="0" borderId="0" xfId="10" applyFont="1">
      <alignment vertical="center"/>
    </xf>
    <xf numFmtId="0" fontId="18" fillId="0" borderId="0" xfId="10" applyFont="1" applyAlignment="1">
      <alignment horizontal="center" vertical="center"/>
    </xf>
    <xf numFmtId="0" fontId="17" fillId="0" borderId="8" xfId="0" applyFont="1" applyBorder="1" applyAlignment="1">
      <alignment horizontal="left" vertical="center"/>
    </xf>
    <xf numFmtId="0" fontId="17" fillId="0" borderId="0" xfId="0" applyFont="1" applyAlignment="1">
      <alignment horizontal="center" vertical="center"/>
    </xf>
    <xf numFmtId="180" fontId="18" fillId="0" borderId="8" xfId="0" applyNumberFormat="1" applyFont="1" applyBorder="1" applyAlignment="1">
      <alignment horizontal="center" vertical="center"/>
    </xf>
    <xf numFmtId="180" fontId="17" fillId="0" borderId="8" xfId="0" applyNumberFormat="1" applyFont="1" applyBorder="1" applyAlignment="1">
      <alignment horizontal="center" vertical="center"/>
    </xf>
    <xf numFmtId="0" fontId="15" fillId="0" borderId="0" xfId="0" applyFont="1" applyAlignment="1">
      <alignment horizontal="center" vertical="center"/>
    </xf>
    <xf numFmtId="0" fontId="22" fillId="0" borderId="0" xfId="0" applyFont="1" applyAlignment="1">
      <alignment horizontal="left" vertical="center"/>
    </xf>
    <xf numFmtId="0" fontId="16" fillId="0" borderId="0" xfId="0" applyFont="1">
      <alignment vertical="center"/>
    </xf>
    <xf numFmtId="183" fontId="16" fillId="0" borderId="0" xfId="0" applyNumberFormat="1" applyFont="1" applyAlignment="1">
      <alignment horizontal="center" vertical="center"/>
    </xf>
    <xf numFmtId="0" fontId="16" fillId="0" borderId="0" xfId="0" applyFont="1" applyFill="1" applyBorder="1">
      <alignment vertical="center"/>
    </xf>
    <xf numFmtId="0" fontId="16" fillId="0" borderId="0" xfId="0" applyFont="1" applyAlignment="1">
      <alignment vertical="center"/>
    </xf>
    <xf numFmtId="0" fontId="0" fillId="0" borderId="0" xfId="0" applyAlignment="1">
      <alignment vertical="center"/>
    </xf>
    <xf numFmtId="183" fontId="16" fillId="0" borderId="88" xfId="0" applyNumberFormat="1" applyFont="1" applyBorder="1" applyAlignment="1">
      <alignment vertical="center"/>
    </xf>
    <xf numFmtId="183" fontId="16" fillId="0" borderId="21" xfId="0" applyNumberFormat="1" applyFont="1" applyBorder="1" applyAlignment="1">
      <alignment vertical="center"/>
    </xf>
    <xf numFmtId="183" fontId="16" fillId="0" borderId="89" xfId="0" applyNumberFormat="1" applyFont="1" applyBorder="1" applyAlignment="1">
      <alignment vertical="center"/>
    </xf>
    <xf numFmtId="196" fontId="16" fillId="0" borderId="0" xfId="0" applyNumberFormat="1" applyFont="1" applyAlignment="1">
      <alignment vertical="center"/>
    </xf>
    <xf numFmtId="197" fontId="16" fillId="0" borderId="110" xfId="0" applyNumberFormat="1" applyFont="1" applyFill="1" applyBorder="1" applyAlignment="1">
      <alignment horizontal="center" vertical="center"/>
    </xf>
    <xf numFmtId="197" fontId="16" fillId="0" borderId="27" xfId="0" applyNumberFormat="1" applyFont="1" applyFill="1" applyBorder="1" applyAlignment="1">
      <alignment horizontal="left" vertical="center"/>
    </xf>
    <xf numFmtId="197" fontId="16" fillId="11" borderId="89" xfId="0" applyNumberFormat="1" applyFont="1" applyFill="1" applyBorder="1" applyAlignment="1">
      <alignment horizontal="center" vertical="center"/>
    </xf>
    <xf numFmtId="190" fontId="16" fillId="0" borderId="0" xfId="0" applyNumberFormat="1" applyFont="1" applyFill="1" applyBorder="1" applyAlignment="1">
      <alignment vertical="center"/>
    </xf>
    <xf numFmtId="197" fontId="16" fillId="0" borderId="111" xfId="0" applyNumberFormat="1" applyFont="1" applyBorder="1" applyAlignment="1">
      <alignment horizontal="right" vertical="center"/>
    </xf>
    <xf numFmtId="190" fontId="16" fillId="0" borderId="88" xfId="0" applyNumberFormat="1" applyFont="1" applyBorder="1" applyAlignment="1">
      <alignment vertical="center"/>
    </xf>
    <xf numFmtId="190" fontId="16" fillId="0" borderId="21" xfId="0" applyNumberFormat="1" applyFont="1" applyBorder="1" applyAlignment="1">
      <alignment vertical="center"/>
    </xf>
    <xf numFmtId="190" fontId="16" fillId="19" borderId="89" xfId="0" applyNumberFormat="1" applyFont="1" applyFill="1" applyBorder="1" applyAlignment="1">
      <alignment vertical="center"/>
    </xf>
    <xf numFmtId="190" fontId="47" fillId="0" borderId="0" xfId="0" applyNumberFormat="1" applyFont="1" applyFill="1" applyBorder="1" applyAlignment="1">
      <alignment vertical="center"/>
    </xf>
    <xf numFmtId="197" fontId="16" fillId="0" borderId="110" xfId="0" applyNumberFormat="1" applyFont="1" applyFill="1" applyBorder="1" applyAlignment="1">
      <alignment horizontal="left" vertical="center"/>
    </xf>
    <xf numFmtId="197" fontId="16" fillId="0" borderId="27" xfId="0" applyNumberFormat="1" applyFont="1" applyFill="1" applyBorder="1" applyAlignment="1">
      <alignment horizontal="center" vertical="center"/>
    </xf>
    <xf numFmtId="197" fontId="16" fillId="0" borderId="27" xfId="0" applyNumberFormat="1" applyFont="1" applyFill="1" applyBorder="1" applyAlignment="1">
      <alignment horizontal="justify" vertical="center"/>
    </xf>
    <xf numFmtId="0" fontId="16" fillId="0" borderId="0" xfId="0" applyFont="1" applyFill="1" applyAlignment="1">
      <alignment vertical="center"/>
    </xf>
    <xf numFmtId="196" fontId="16" fillId="0" borderId="0" xfId="0" applyNumberFormat="1" applyFont="1" applyFill="1" applyAlignment="1">
      <alignment vertical="center"/>
    </xf>
    <xf numFmtId="197" fontId="16" fillId="0" borderId="110" xfId="0" applyNumberFormat="1" applyFont="1" applyFill="1" applyBorder="1" applyAlignment="1">
      <alignment horizontal="justify" vertical="center"/>
    </xf>
    <xf numFmtId="197" fontId="16" fillId="11" borderId="115" xfId="0" applyNumberFormat="1" applyFont="1" applyFill="1" applyBorder="1" applyAlignment="1">
      <alignment horizontal="center" vertical="center"/>
    </xf>
    <xf numFmtId="181" fontId="47" fillId="0" borderId="0" xfId="0" applyNumberFormat="1" applyFont="1" applyFill="1" applyBorder="1" applyAlignment="1">
      <alignment vertical="center"/>
    </xf>
    <xf numFmtId="194" fontId="16" fillId="0" borderId="0" xfId="0" applyNumberFormat="1" applyFont="1" applyAlignment="1">
      <alignment vertical="center"/>
    </xf>
    <xf numFmtId="197" fontId="16" fillId="11" borderId="90" xfId="0" applyNumberFormat="1" applyFont="1" applyFill="1" applyBorder="1" applyAlignment="1">
      <alignment horizontal="center" vertical="center"/>
    </xf>
    <xf numFmtId="181" fontId="16" fillId="0" borderId="0" xfId="0" applyNumberFormat="1" applyFont="1" applyFill="1" applyBorder="1" applyAlignment="1">
      <alignment vertical="center"/>
    </xf>
    <xf numFmtId="197" fontId="16" fillId="11" borderId="52" xfId="0" applyNumberFormat="1" applyFont="1" applyFill="1" applyBorder="1" applyAlignment="1">
      <alignment horizontal="right" vertical="center"/>
    </xf>
    <xf numFmtId="190" fontId="47" fillId="0" borderId="4" xfId="0" applyNumberFormat="1" applyFont="1" applyFill="1" applyBorder="1">
      <alignment vertical="center"/>
    </xf>
    <xf numFmtId="0" fontId="16" fillId="0" borderId="0" xfId="0" applyFont="1" applyFill="1">
      <alignment vertical="center"/>
    </xf>
    <xf numFmtId="183" fontId="16" fillId="20" borderId="116" xfId="0" applyNumberFormat="1" applyFont="1" applyFill="1" applyBorder="1">
      <alignment vertical="center"/>
    </xf>
    <xf numFmtId="183" fontId="16" fillId="20" borderId="117" xfId="0" applyNumberFormat="1" applyFont="1" applyFill="1" applyBorder="1">
      <alignment vertical="center"/>
    </xf>
    <xf numFmtId="183" fontId="16" fillId="20" borderId="118" xfId="0" applyNumberFormat="1" applyFont="1" applyFill="1" applyBorder="1">
      <alignment vertical="center"/>
    </xf>
    <xf numFmtId="194" fontId="16" fillId="0" borderId="0" xfId="0" applyNumberFormat="1" applyFont="1">
      <alignment vertical="center"/>
    </xf>
    <xf numFmtId="183" fontId="16" fillId="0" borderId="0" xfId="0" applyNumberFormat="1" applyFont="1" applyFill="1" applyAlignment="1">
      <alignment horizontal="center" vertical="center"/>
    </xf>
    <xf numFmtId="190" fontId="16" fillId="0" borderId="0" xfId="0" applyNumberFormat="1" applyFont="1" applyFill="1" applyBorder="1">
      <alignment vertical="center"/>
    </xf>
    <xf numFmtId="190" fontId="16" fillId="20" borderId="116" xfId="0" applyNumberFormat="1" applyFont="1" applyFill="1" applyBorder="1">
      <alignment vertical="center"/>
    </xf>
    <xf numFmtId="190" fontId="16" fillId="20" borderId="117" xfId="0" applyNumberFormat="1" applyFont="1" applyFill="1" applyBorder="1">
      <alignment vertical="center"/>
    </xf>
    <xf numFmtId="190" fontId="16" fillId="20" borderId="118" xfId="0" applyNumberFormat="1" applyFont="1" applyFill="1" applyBorder="1">
      <alignment vertical="center"/>
    </xf>
    <xf numFmtId="190" fontId="16" fillId="20" borderId="90" xfId="0" applyNumberFormat="1" applyFont="1" applyFill="1" applyBorder="1">
      <alignment vertical="center"/>
    </xf>
    <xf numFmtId="181" fontId="16" fillId="0" borderId="0" xfId="0" applyNumberFormat="1" applyFont="1">
      <alignment vertical="center"/>
    </xf>
    <xf numFmtId="0" fontId="0" fillId="0" borderId="45" xfId="0" applyBorder="1">
      <alignment vertical="center"/>
    </xf>
    <xf numFmtId="0" fontId="0" fillId="0" borderId="0" xfId="0" applyBorder="1">
      <alignment vertical="center"/>
    </xf>
    <xf numFmtId="0" fontId="0" fillId="0" borderId="35" xfId="0" applyBorder="1">
      <alignment vertical="center"/>
    </xf>
    <xf numFmtId="0" fontId="0" fillId="0" borderId="20" xfId="0" applyBorder="1">
      <alignment vertical="center"/>
    </xf>
    <xf numFmtId="0" fontId="0" fillId="0" borderId="21" xfId="0" applyBorder="1">
      <alignment vertical="center"/>
    </xf>
    <xf numFmtId="0" fontId="0" fillId="0" borderId="36" xfId="0" applyBorder="1">
      <alignment vertical="center"/>
    </xf>
    <xf numFmtId="0" fontId="0" fillId="0" borderId="16" xfId="0" applyBorder="1">
      <alignment vertical="center"/>
    </xf>
    <xf numFmtId="0" fontId="42" fillId="0" borderId="0" xfId="0" applyFont="1" applyAlignment="1">
      <alignment horizontal="left" vertical="center"/>
    </xf>
    <xf numFmtId="0" fontId="21" fillId="0" borderId="0" xfId="0" applyFont="1">
      <alignment vertical="center"/>
    </xf>
    <xf numFmtId="177" fontId="21" fillId="0" borderId="0" xfId="1" quotePrefix="1" applyNumberFormat="1" applyFont="1" applyAlignment="1">
      <alignment vertical="center"/>
    </xf>
    <xf numFmtId="0" fontId="41" fillId="2" borderId="8" xfId="3" applyFont="1" applyFill="1" applyBorder="1" applyAlignment="1">
      <alignment horizontal="left" vertical="center"/>
    </xf>
    <xf numFmtId="0" fontId="41" fillId="2" borderId="8" xfId="3" applyFont="1" applyFill="1" applyBorder="1" applyAlignment="1">
      <alignment horizontal="center" vertical="center"/>
    </xf>
    <xf numFmtId="41" fontId="41" fillId="2" borderId="6" xfId="4" applyFont="1" applyFill="1" applyBorder="1" applyAlignment="1">
      <alignment horizontal="center" vertical="center"/>
    </xf>
    <xf numFmtId="41" fontId="41" fillId="2" borderId="19" xfId="4" applyFont="1" applyFill="1" applyBorder="1" applyAlignment="1">
      <alignment horizontal="center" vertical="center"/>
    </xf>
    <xf numFmtId="0" fontId="18" fillId="0" borderId="8" xfId="0" applyFont="1" applyBorder="1" applyAlignment="1">
      <alignment vertical="center" wrapText="1"/>
    </xf>
    <xf numFmtId="0" fontId="58" fillId="0" borderId="0" xfId="0" applyFont="1" applyBorder="1" applyAlignment="1">
      <alignment vertical="center"/>
    </xf>
    <xf numFmtId="0" fontId="41" fillId="2" borderId="8" xfId="3" applyFont="1" applyFill="1" applyBorder="1" applyAlignment="1">
      <alignment horizontal="left" vertical="center"/>
    </xf>
    <xf numFmtId="0" fontId="41" fillId="2" borderId="8" xfId="3" applyFont="1" applyFill="1" applyBorder="1" applyAlignment="1">
      <alignment horizontal="center" vertical="center"/>
    </xf>
    <xf numFmtId="41" fontId="41" fillId="2" borderId="6" xfId="4" applyFont="1" applyFill="1" applyBorder="1" applyAlignment="1">
      <alignment horizontal="center" vertical="center"/>
    </xf>
    <xf numFmtId="41" fontId="41" fillId="2" borderId="19" xfId="4" applyFont="1" applyFill="1" applyBorder="1" applyAlignment="1">
      <alignment horizontal="center" vertical="center"/>
    </xf>
    <xf numFmtId="0" fontId="41" fillId="2" borderId="6" xfId="3" applyFont="1" applyFill="1" applyBorder="1" applyAlignment="1">
      <alignment horizontal="center" vertical="center"/>
    </xf>
    <xf numFmtId="0" fontId="41" fillId="2" borderId="19" xfId="3" applyFont="1" applyFill="1" applyBorder="1" applyAlignment="1">
      <alignment horizontal="center" vertical="center"/>
    </xf>
    <xf numFmtId="0" fontId="16" fillId="0" borderId="0" xfId="3" applyFont="1" applyFill="1" applyAlignment="1">
      <alignment vertical="center"/>
    </xf>
    <xf numFmtId="0" fontId="41" fillId="2" borderId="8" xfId="3" applyFont="1" applyFill="1" applyBorder="1" applyAlignment="1">
      <alignment horizontal="center" vertical="center"/>
    </xf>
    <xf numFmtId="0" fontId="41" fillId="2" borderId="8" xfId="3" applyFont="1" applyFill="1" applyBorder="1" applyAlignment="1">
      <alignment horizontal="left" vertical="center"/>
    </xf>
    <xf numFmtId="41" fontId="41" fillId="2" borderId="6" xfId="4" applyFont="1" applyFill="1" applyBorder="1" applyAlignment="1">
      <alignment horizontal="center" vertical="center"/>
    </xf>
    <xf numFmtId="41" fontId="41" fillId="2" borderId="19" xfId="4" applyFont="1" applyFill="1" applyBorder="1" applyAlignment="1">
      <alignment horizontal="center" vertical="center"/>
    </xf>
    <xf numFmtId="0" fontId="51" fillId="0" borderId="0" xfId="0" applyFont="1">
      <alignment vertical="center"/>
    </xf>
    <xf numFmtId="0" fontId="11" fillId="0" borderId="0" xfId="0" applyFont="1">
      <alignment vertical="center"/>
    </xf>
    <xf numFmtId="0" fontId="51" fillId="22" borderId="0" xfId="0" applyFont="1" applyFill="1">
      <alignment vertical="center"/>
    </xf>
    <xf numFmtId="0" fontId="53" fillId="0" borderId="8" xfId="0" applyFont="1" applyBorder="1" applyAlignment="1">
      <alignment vertical="center"/>
    </xf>
    <xf numFmtId="0" fontId="51" fillId="0" borderId="8" xfId="0" applyFont="1" applyBorder="1" applyAlignment="1">
      <alignment vertical="center"/>
    </xf>
    <xf numFmtId="0" fontId="51" fillId="0" borderId="8" xfId="0" applyFont="1" applyBorder="1">
      <alignment vertical="center"/>
    </xf>
    <xf numFmtId="0" fontId="53" fillId="0" borderId="8" xfId="0" applyFont="1" applyBorder="1">
      <alignment vertical="center"/>
    </xf>
    <xf numFmtId="0" fontId="53" fillId="0" borderId="8" xfId="0" applyFont="1" applyBorder="1" applyAlignment="1">
      <alignment horizontal="center" vertical="center"/>
    </xf>
    <xf numFmtId="177" fontId="53" fillId="0" borderId="8" xfId="0" applyNumberFormat="1" applyFont="1" applyBorder="1">
      <alignment vertical="center"/>
    </xf>
    <xf numFmtId="41" fontId="51" fillId="0" borderId="8" xfId="1" applyFont="1" applyBorder="1">
      <alignment vertical="center"/>
    </xf>
    <xf numFmtId="41" fontId="53" fillId="0" borderId="8" xfId="1" applyFont="1" applyBorder="1">
      <alignment vertical="center"/>
    </xf>
    <xf numFmtId="0" fontId="54" fillId="0" borderId="8" xfId="0" applyFont="1" applyBorder="1" applyAlignment="1">
      <alignment horizontal="center" vertical="center"/>
    </xf>
    <xf numFmtId="177" fontId="51" fillId="0" borderId="0" xfId="0" applyNumberFormat="1" applyFont="1" applyBorder="1">
      <alignment vertical="center"/>
    </xf>
    <xf numFmtId="0" fontId="55" fillId="0" borderId="8" xfId="0" applyFont="1" applyFill="1" applyBorder="1" applyAlignment="1">
      <alignment horizontal="center" vertical="center"/>
    </xf>
    <xf numFmtId="0" fontId="55" fillId="0" borderId="8" xfId="0" applyFont="1" applyFill="1" applyBorder="1">
      <alignment vertical="center"/>
    </xf>
    <xf numFmtId="41" fontId="19" fillId="0" borderId="8" xfId="4" applyFont="1" applyFill="1" applyBorder="1" applyAlignment="1">
      <alignment horizontal="center" vertical="center"/>
    </xf>
    <xf numFmtId="41" fontId="55" fillId="0" borderId="8" xfId="1" applyFont="1" applyFill="1" applyBorder="1">
      <alignment vertical="center"/>
    </xf>
    <xf numFmtId="41" fontId="51" fillId="0" borderId="0" xfId="1" applyFont="1" applyFill="1">
      <alignment vertical="center"/>
    </xf>
    <xf numFmtId="41" fontId="56" fillId="0" borderId="0" xfId="1" applyFont="1" applyFill="1">
      <alignment vertical="center"/>
    </xf>
    <xf numFmtId="41" fontId="51" fillId="0" borderId="0" xfId="0" applyNumberFormat="1" applyFont="1">
      <alignment vertical="center"/>
    </xf>
    <xf numFmtId="193" fontId="51" fillId="0" borderId="0" xfId="5" applyNumberFormat="1" applyFont="1">
      <alignment vertical="center"/>
    </xf>
    <xf numFmtId="0" fontId="51" fillId="7" borderId="8" xfId="0" applyFont="1" applyFill="1" applyBorder="1" applyAlignment="1">
      <alignment horizontal="center" vertical="center"/>
    </xf>
    <xf numFmtId="0" fontId="0" fillId="0" borderId="0" xfId="0">
      <alignment vertical="center"/>
    </xf>
    <xf numFmtId="41" fontId="0" fillId="0" borderId="0" xfId="0" applyNumberFormat="1">
      <alignment vertical="center"/>
    </xf>
    <xf numFmtId="0" fontId="0" fillId="0" borderId="0" xfId="0" quotePrefix="1">
      <alignment vertical="center"/>
    </xf>
    <xf numFmtId="0" fontId="118" fillId="0" borderId="0" xfId="0" applyFont="1">
      <alignment vertical="center"/>
    </xf>
    <xf numFmtId="0" fontId="120" fillId="0" borderId="27" xfId="0" applyFont="1" applyBorder="1" applyAlignment="1">
      <alignment horizontal="center" vertical="center" wrapText="1"/>
    </xf>
    <xf numFmtId="41" fontId="49" fillId="0" borderId="8" xfId="0" applyNumberFormat="1" applyFont="1" applyBorder="1">
      <alignment vertical="center"/>
    </xf>
    <xf numFmtId="0" fontId="121" fillId="0" borderId="0" xfId="0" applyFont="1">
      <alignment vertical="center"/>
    </xf>
    <xf numFmtId="0" fontId="23" fillId="0" borderId="20" xfId="0" applyFont="1" applyBorder="1" applyAlignment="1">
      <alignment vertical="center"/>
    </xf>
    <xf numFmtId="179" fontId="23" fillId="0" borderId="20" xfId="1" applyNumberFormat="1" applyFont="1" applyBorder="1" applyAlignment="1">
      <alignment horizontal="center" vertical="center"/>
    </xf>
    <xf numFmtId="41" fontId="18" fillId="8" borderId="8" xfId="1" applyFont="1" applyFill="1" applyBorder="1" applyAlignment="1">
      <alignment vertical="center"/>
    </xf>
    <xf numFmtId="0" fontId="17" fillId="7" borderId="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7" xfId="0" applyFont="1" applyFill="1" applyBorder="1" applyAlignment="1">
      <alignment horizontal="center" vertical="center"/>
    </xf>
    <xf numFmtId="0" fontId="22" fillId="0" borderId="8" xfId="0" applyFont="1" applyBorder="1" applyAlignment="1">
      <alignment horizontal="center" vertical="center"/>
    </xf>
    <xf numFmtId="0" fontId="18" fillId="7" borderId="8" xfId="0" applyFont="1" applyFill="1" applyBorder="1" applyAlignment="1">
      <alignment horizontal="center" vertical="center"/>
    </xf>
    <xf numFmtId="0" fontId="23" fillId="0" borderId="8" xfId="0" applyFont="1" applyBorder="1" applyAlignment="1">
      <alignment horizontal="center" vertical="center"/>
    </xf>
    <xf numFmtId="0" fontId="23" fillId="0" borderId="0" xfId="15" applyFont="1" applyFill="1" applyAlignment="1" applyProtection="1">
      <alignment horizontal="left" vertical="center"/>
    </xf>
    <xf numFmtId="0" fontId="23" fillId="0" borderId="0" xfId="11" applyFont="1" applyFill="1" applyAlignment="1">
      <alignment horizontal="left" vertical="center"/>
    </xf>
    <xf numFmtId="0" fontId="23" fillId="0" borderId="0" xfId="11" applyFont="1" applyAlignment="1">
      <alignment horizontal="center" vertical="center"/>
    </xf>
    <xf numFmtId="0" fontId="23" fillId="0" borderId="0" xfId="11" applyFont="1" applyFill="1" applyAlignment="1">
      <alignment horizontal="center" vertical="center"/>
    </xf>
    <xf numFmtId="0" fontId="23" fillId="7" borderId="0" xfId="11" applyFont="1" applyFill="1" applyAlignment="1">
      <alignment horizontal="left" vertical="center"/>
    </xf>
    <xf numFmtId="0" fontId="22" fillId="7" borderId="0" xfId="11" applyFont="1" applyFill="1" applyAlignment="1">
      <alignment horizontal="left" vertical="center"/>
    </xf>
    <xf numFmtId="177" fontId="21" fillId="0" borderId="0" xfId="1" applyNumberFormat="1" applyFont="1" applyAlignment="1">
      <alignment horizontal="left" vertical="center"/>
    </xf>
    <xf numFmtId="177" fontId="21" fillId="0" borderId="8" xfId="1" applyNumberFormat="1" applyFont="1" applyBorder="1" applyAlignment="1">
      <alignment horizontal="center" vertical="center"/>
    </xf>
    <xf numFmtId="0" fontId="28" fillId="0" borderId="0" xfId="0" applyFont="1" applyBorder="1" applyAlignment="1">
      <alignment horizontal="left" vertical="center"/>
    </xf>
    <xf numFmtId="41" fontId="29" fillId="0" borderId="7" xfId="1" applyFont="1" applyBorder="1" applyAlignment="1">
      <alignment horizontal="center" vertical="center"/>
    </xf>
    <xf numFmtId="0" fontId="29" fillId="0" borderId="5" xfId="0" applyFont="1" applyBorder="1" applyAlignment="1">
      <alignment horizontal="left" vertical="center"/>
    </xf>
    <xf numFmtId="0" fontId="18" fillId="5" borderId="8" xfId="0" applyFont="1" applyFill="1" applyBorder="1" applyAlignment="1">
      <alignment vertical="center"/>
    </xf>
    <xf numFmtId="0" fontId="50" fillId="0" borderId="0" xfId="0" applyFont="1" applyAlignment="1">
      <alignment vertical="center"/>
    </xf>
    <xf numFmtId="0" fontId="50" fillId="0" borderId="0" xfId="0" applyFont="1" applyAlignment="1">
      <alignment horizontal="center" vertical="center"/>
    </xf>
    <xf numFmtId="0" fontId="50" fillId="0" borderId="8" xfId="0" applyFont="1" applyBorder="1" applyAlignment="1">
      <alignment vertical="center"/>
    </xf>
    <xf numFmtId="183" fontId="50" fillId="0" borderId="8" xfId="0" applyNumberFormat="1" applyFont="1" applyBorder="1" applyAlignment="1">
      <alignment horizontal="center" vertical="center"/>
    </xf>
    <xf numFmtId="41" fontId="50" fillId="0" borderId="8" xfId="1" applyFont="1" applyBorder="1" applyAlignment="1">
      <alignment vertical="center"/>
    </xf>
    <xf numFmtId="178" fontId="50" fillId="0" borderId="8" xfId="0" applyNumberFormat="1" applyFont="1" applyBorder="1" applyAlignment="1">
      <alignment vertical="center"/>
    </xf>
    <xf numFmtId="0" fontId="16" fillId="0" borderId="8" xfId="0" applyFont="1" applyBorder="1" applyAlignment="1">
      <alignment vertical="center"/>
    </xf>
    <xf numFmtId="183" fontId="16" fillId="0" borderId="8" xfId="0" applyNumberFormat="1" applyFont="1" applyBorder="1" applyAlignment="1">
      <alignment horizontal="center" vertical="center"/>
    </xf>
    <xf numFmtId="41" fontId="16" fillId="0" borderId="8" xfId="1" applyFont="1" applyBorder="1" applyAlignment="1">
      <alignment vertical="center"/>
    </xf>
    <xf numFmtId="178" fontId="16" fillId="0" borderId="8" xfId="0" applyNumberFormat="1" applyFont="1" applyBorder="1" applyAlignment="1">
      <alignment vertical="center"/>
    </xf>
    <xf numFmtId="178" fontId="18" fillId="0" borderId="8" xfId="1" applyNumberFormat="1" applyFont="1" applyBorder="1" applyAlignment="1">
      <alignment vertical="center"/>
    </xf>
    <xf numFmtId="178" fontId="17" fillId="0" borderId="8" xfId="1" applyNumberFormat="1" applyFont="1" applyBorder="1" applyAlignment="1">
      <alignment vertical="center"/>
    </xf>
    <xf numFmtId="0" fontId="47" fillId="0" borderId="0" xfId="0" applyFont="1" applyAlignment="1">
      <alignment vertical="center"/>
    </xf>
    <xf numFmtId="183" fontId="50" fillId="0" borderId="0" xfId="0" applyNumberFormat="1" applyFont="1" applyAlignment="1">
      <alignment horizontal="center" vertical="center"/>
    </xf>
    <xf numFmtId="41" fontId="50" fillId="0" borderId="0" xfId="1" applyFont="1" applyAlignment="1">
      <alignment vertical="center"/>
    </xf>
    <xf numFmtId="178" fontId="50" fillId="0" borderId="0" xfId="0" applyNumberFormat="1" applyFont="1" applyAlignment="1">
      <alignment vertical="center"/>
    </xf>
    <xf numFmtId="182" fontId="22" fillId="0" borderId="0" xfId="1" applyNumberFormat="1" applyFont="1" applyAlignment="1">
      <alignment vertical="center"/>
    </xf>
    <xf numFmtId="179" fontId="22" fillId="0" borderId="0" xfId="1" applyNumberFormat="1" applyFont="1" applyAlignment="1">
      <alignment vertical="center"/>
    </xf>
    <xf numFmtId="0" fontId="17" fillId="12" borderId="71" xfId="0" applyFont="1" applyFill="1" applyBorder="1" applyAlignment="1">
      <alignment horizontal="center" vertical="center" wrapText="1"/>
    </xf>
    <xf numFmtId="0" fontId="18" fillId="0" borderId="72"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27"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73" xfId="0" applyFont="1" applyBorder="1" applyAlignment="1">
      <alignment horizontal="center" vertical="center" wrapText="1"/>
    </xf>
    <xf numFmtId="0" fontId="18" fillId="0" borderId="27" xfId="0" applyFont="1" applyBorder="1" applyAlignment="1">
      <alignment horizontal="justify" vertical="center" wrapText="1"/>
    </xf>
    <xf numFmtId="0" fontId="18" fillId="0" borderId="76" xfId="0" applyFont="1" applyBorder="1" applyAlignment="1">
      <alignment horizontal="justify" vertical="center" wrapText="1"/>
    </xf>
    <xf numFmtId="0" fontId="18" fillId="0" borderId="73" xfId="0" applyFont="1" applyBorder="1" applyAlignment="1">
      <alignment vertical="center" wrapText="1"/>
    </xf>
    <xf numFmtId="0" fontId="18" fillId="0" borderId="28"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96" xfId="0" applyFont="1" applyBorder="1" applyAlignment="1">
      <alignment horizontal="center" vertical="center" wrapText="1"/>
    </xf>
    <xf numFmtId="0" fontId="17" fillId="0" borderId="28" xfId="0" applyFont="1" applyBorder="1" applyAlignment="1">
      <alignment horizontal="center" vertical="center" wrapText="1"/>
    </xf>
    <xf numFmtId="0" fontId="18" fillId="0" borderId="74" xfId="0" applyFont="1" applyBorder="1" applyAlignment="1">
      <alignment vertical="center" wrapText="1"/>
    </xf>
    <xf numFmtId="0" fontId="17" fillId="0" borderId="77"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83"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68" xfId="0" applyFont="1" applyBorder="1" applyAlignment="1">
      <alignment horizontal="justify" vertical="center" wrapText="1"/>
    </xf>
    <xf numFmtId="178" fontId="23" fillId="0" borderId="0" xfId="0" applyNumberFormat="1" applyFont="1" applyBorder="1" applyAlignment="1">
      <alignment vertical="center"/>
    </xf>
    <xf numFmtId="0" fontId="23" fillId="0" borderId="12" xfId="0" applyFont="1" applyBorder="1" applyAlignment="1">
      <alignment vertical="center"/>
    </xf>
    <xf numFmtId="41" fontId="18" fillId="0" borderId="0" xfId="1" applyFont="1" applyAlignment="1">
      <alignment horizontal="center" vertical="center"/>
    </xf>
    <xf numFmtId="0" fontId="18" fillId="0" borderId="0" xfId="0" applyFont="1" applyBorder="1" applyAlignment="1">
      <alignment horizontal="left" vertical="center"/>
    </xf>
    <xf numFmtId="0" fontId="17" fillId="0" borderId="8" xfId="0" applyFont="1" applyBorder="1" applyAlignment="1">
      <alignment horizontal="center" vertical="center" wrapText="1"/>
    </xf>
    <xf numFmtId="178" fontId="18" fillId="0" borderId="8" xfId="0" applyNumberFormat="1" applyFont="1" applyBorder="1" applyAlignment="1">
      <alignment vertical="center" wrapText="1"/>
    </xf>
    <xf numFmtId="178" fontId="18" fillId="0" borderId="8" xfId="1" applyNumberFormat="1" applyFont="1" applyBorder="1" applyAlignment="1">
      <alignment vertical="center" wrapText="1"/>
    </xf>
    <xf numFmtId="0" fontId="18" fillId="0" borderId="0" xfId="0" applyFont="1" applyBorder="1" applyAlignment="1">
      <alignment vertical="center"/>
    </xf>
    <xf numFmtId="0" fontId="18" fillId="7" borderId="5" xfId="0" applyFont="1" applyFill="1" applyBorder="1" applyAlignment="1">
      <alignment horizontal="center" vertical="center"/>
    </xf>
    <xf numFmtId="181" fontId="18" fillId="0" borderId="8" xfId="0" applyNumberFormat="1" applyFont="1" applyBorder="1" applyAlignment="1">
      <alignment horizontal="center" vertical="center"/>
    </xf>
    <xf numFmtId="181" fontId="18" fillId="0" borderId="5" xfId="0" applyNumberFormat="1" applyFont="1" applyBorder="1" applyAlignment="1">
      <alignment horizontal="center" vertical="center"/>
    </xf>
    <xf numFmtId="0" fontId="18" fillId="8" borderId="0" xfId="0" applyFont="1" applyFill="1" applyBorder="1" applyAlignment="1">
      <alignment horizontal="left" vertical="center"/>
    </xf>
    <xf numFmtId="0" fontId="18" fillId="0" borderId="8" xfId="0" applyFont="1" applyBorder="1">
      <alignment vertical="center"/>
    </xf>
    <xf numFmtId="178" fontId="18" fillId="0" borderId="8" xfId="0" applyNumberFormat="1" applyFont="1" applyBorder="1">
      <alignment vertical="center"/>
    </xf>
    <xf numFmtId="178" fontId="18" fillId="0" borderId="8" xfId="1" applyNumberFormat="1" applyFont="1" applyBorder="1">
      <alignment vertical="center"/>
    </xf>
    <xf numFmtId="182" fontId="17" fillId="7" borderId="0" xfId="1" applyNumberFormat="1" applyFont="1" applyFill="1" applyAlignment="1">
      <alignment horizontal="center" vertical="center"/>
    </xf>
    <xf numFmtId="0" fontId="18" fillId="0" borderId="0" xfId="0" applyFont="1" applyBorder="1">
      <alignment vertical="center"/>
    </xf>
    <xf numFmtId="41" fontId="18" fillId="0" borderId="0" xfId="1" applyFont="1" applyBorder="1">
      <alignment vertical="center"/>
    </xf>
    <xf numFmtId="0" fontId="50" fillId="0" borderId="0" xfId="0" applyFont="1" applyBorder="1" applyAlignment="1">
      <alignment vertical="center"/>
    </xf>
    <xf numFmtId="0" fontId="18" fillId="7" borderId="8" xfId="0" applyFont="1" applyFill="1" applyBorder="1" applyAlignment="1">
      <alignment horizontal="center" vertical="center" wrapText="1"/>
    </xf>
    <xf numFmtId="0" fontId="18" fillId="0" borderId="0" xfId="0" applyFont="1" applyBorder="1" applyAlignment="1">
      <alignment horizontal="center" vertical="center" wrapText="1"/>
    </xf>
    <xf numFmtId="9" fontId="18" fillId="0" borderId="8" xfId="5" applyFont="1" applyBorder="1" applyAlignment="1">
      <alignment horizontal="center" vertical="center" wrapText="1"/>
    </xf>
    <xf numFmtId="0" fontId="18" fillId="0" borderId="8" xfId="0" applyFont="1" applyBorder="1" applyAlignment="1">
      <alignment horizontal="justify" vertical="center" wrapText="1"/>
    </xf>
    <xf numFmtId="0" fontId="18" fillId="0" borderId="0" xfId="0" applyFont="1" applyBorder="1" applyAlignment="1">
      <alignment horizontal="justify" vertical="center" wrapText="1"/>
    </xf>
    <xf numFmtId="0" fontId="17" fillId="0" borderId="0"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7" fillId="7" borderId="8" xfId="11" applyFont="1" applyFill="1" applyBorder="1" applyAlignment="1">
      <alignment horizontal="center" vertical="center" wrapText="1"/>
    </xf>
    <xf numFmtId="3" fontId="18" fillId="0" borderId="8" xfId="11" applyNumberFormat="1" applyFont="1" applyBorder="1" applyAlignment="1">
      <alignment horizontal="right" vertical="center" wrapText="1"/>
    </xf>
    <xf numFmtId="0" fontId="17" fillId="0" borderId="8" xfId="11" applyFont="1" applyBorder="1" applyAlignment="1">
      <alignment horizontal="center" vertical="center" wrapText="1"/>
    </xf>
    <xf numFmtId="3" fontId="17" fillId="5" borderId="8" xfId="11" applyNumberFormat="1" applyFont="1" applyFill="1" applyBorder="1" applyAlignment="1">
      <alignment horizontal="right" vertical="center" wrapText="1"/>
    </xf>
    <xf numFmtId="3" fontId="18" fillId="0" borderId="8" xfId="11" applyNumberFormat="1" applyFont="1" applyFill="1" applyBorder="1" applyAlignment="1">
      <alignment horizontal="right" vertical="center" wrapText="1"/>
    </xf>
    <xf numFmtId="181" fontId="18" fillId="0" borderId="8" xfId="11" applyNumberFormat="1" applyFont="1" applyFill="1" applyBorder="1" applyAlignment="1">
      <alignment horizontal="center" vertical="center" wrapText="1"/>
    </xf>
    <xf numFmtId="185" fontId="17" fillId="0" borderId="8" xfId="11" applyNumberFormat="1" applyFont="1" applyFill="1" applyBorder="1" applyAlignment="1">
      <alignment horizontal="center" vertical="center" wrapText="1"/>
    </xf>
    <xf numFmtId="41" fontId="18" fillId="0" borderId="8" xfId="11" applyNumberFormat="1" applyFont="1" applyFill="1" applyBorder="1" applyAlignment="1">
      <alignment horizontal="right" vertical="center" wrapText="1"/>
    </xf>
    <xf numFmtId="41" fontId="18" fillId="0" borderId="8" xfId="1" applyFont="1" applyFill="1" applyBorder="1" applyAlignment="1">
      <alignment horizontal="right" vertical="center" wrapText="1"/>
    </xf>
    <xf numFmtId="185" fontId="17" fillId="0" borderId="0" xfId="11" applyNumberFormat="1" applyFont="1" applyFill="1">
      <alignment vertical="center"/>
    </xf>
    <xf numFmtId="0" fontId="23" fillId="0" borderId="54" xfId="11" applyFont="1" applyFill="1" applyBorder="1" applyAlignment="1">
      <alignment horizontal="center" vertical="center" wrapText="1"/>
    </xf>
    <xf numFmtId="0" fontId="23" fillId="0" borderId="55" xfId="11" applyFont="1" applyFill="1" applyBorder="1" applyAlignment="1">
      <alignment horizontal="center" vertical="center" wrapText="1"/>
    </xf>
    <xf numFmtId="0" fontId="23" fillId="0" borderId="56" xfId="11" applyFont="1" applyFill="1" applyBorder="1" applyAlignment="1">
      <alignment horizontal="center" vertical="center" wrapText="1"/>
    </xf>
    <xf numFmtId="0" fontId="23" fillId="0" borderId="130" xfId="11" applyFont="1" applyFill="1" applyBorder="1" applyAlignment="1">
      <alignment horizontal="center" vertical="center" wrapText="1"/>
    </xf>
    <xf numFmtId="0" fontId="23" fillId="0" borderId="131" xfId="11" applyFont="1" applyFill="1" applyBorder="1" applyAlignment="1">
      <alignment horizontal="center" vertical="center" wrapText="1"/>
    </xf>
    <xf numFmtId="0" fontId="23" fillId="0" borderId="132" xfId="11" applyFont="1" applyFill="1" applyBorder="1" applyAlignment="1">
      <alignment horizontal="center" vertical="center" wrapText="1"/>
    </xf>
    <xf numFmtId="0" fontId="23" fillId="0" borderId="127" xfId="11" applyFont="1" applyFill="1" applyBorder="1" applyAlignment="1">
      <alignment horizontal="center" vertical="center" wrapText="1"/>
    </xf>
    <xf numFmtId="0" fontId="23" fillId="0" borderId="128" xfId="11" applyFont="1" applyFill="1" applyBorder="1" applyAlignment="1">
      <alignment horizontal="center" vertical="center" wrapText="1"/>
    </xf>
    <xf numFmtId="0" fontId="23" fillId="0" borderId="129" xfId="11" applyFont="1" applyFill="1" applyBorder="1" applyAlignment="1">
      <alignment horizontal="center" vertical="center" wrapText="1"/>
    </xf>
    <xf numFmtId="0" fontId="23" fillId="0" borderId="57" xfId="11" applyFont="1" applyFill="1" applyBorder="1" applyAlignment="1">
      <alignment horizontal="center" vertical="center" wrapText="1"/>
    </xf>
    <xf numFmtId="0" fontId="22" fillId="0" borderId="58" xfId="11" applyFont="1" applyFill="1" applyBorder="1" applyAlignment="1">
      <alignment horizontal="center" vertical="center" wrapText="1"/>
    </xf>
    <xf numFmtId="0" fontId="23" fillId="0" borderId="59" xfId="11" applyFont="1" applyFill="1" applyBorder="1" applyAlignment="1">
      <alignment horizontal="center" vertical="center" wrapText="1"/>
    </xf>
    <xf numFmtId="0" fontId="22" fillId="0" borderId="0" xfId="11" applyFont="1" applyAlignment="1">
      <alignment vertical="center"/>
    </xf>
    <xf numFmtId="3" fontId="22" fillId="5" borderId="0" xfId="11" applyNumberFormat="1" applyFont="1" applyFill="1" applyAlignment="1">
      <alignment vertical="center"/>
    </xf>
    <xf numFmtId="41" fontId="23" fillId="0" borderId="0" xfId="1" applyNumberFormat="1" applyFont="1" applyAlignment="1">
      <alignment horizontal="left" vertical="center"/>
    </xf>
    <xf numFmtId="3" fontId="23" fillId="0" borderId="0" xfId="11" applyNumberFormat="1" applyFont="1" applyFill="1" applyAlignment="1">
      <alignment vertical="center"/>
    </xf>
    <xf numFmtId="182" fontId="23" fillId="0" borderId="0" xfId="1" applyNumberFormat="1" applyFont="1" applyAlignment="1">
      <alignment horizontal="left" vertical="center"/>
    </xf>
    <xf numFmtId="176" fontId="23" fillId="0" borderId="8" xfId="1" applyNumberFormat="1" applyFont="1" applyBorder="1" applyAlignment="1">
      <alignment vertical="center"/>
    </xf>
    <xf numFmtId="0" fontId="122" fillId="3" borderId="0" xfId="16" applyFont="1" applyFill="1" applyBorder="1" applyAlignment="1">
      <alignment horizontal="center" vertical="center" wrapText="1"/>
    </xf>
    <xf numFmtId="178" fontId="122" fillId="3" borderId="0" xfId="16" applyNumberFormat="1" applyFont="1" applyFill="1" applyBorder="1" applyAlignment="1">
      <alignment horizontal="center" vertical="center" wrapText="1"/>
    </xf>
    <xf numFmtId="0" fontId="122" fillId="0" borderId="0" xfId="16" applyFont="1" applyBorder="1" applyAlignment="1">
      <alignment horizontal="center" vertical="center" wrapText="1"/>
    </xf>
    <xf numFmtId="178" fontId="122" fillId="0" borderId="0" xfId="16" applyNumberFormat="1" applyFont="1" applyBorder="1" applyAlignment="1">
      <alignment horizontal="right" vertical="center" wrapText="1"/>
    </xf>
    <xf numFmtId="10" fontId="122" fillId="0" borderId="0" xfId="16" applyNumberFormat="1" applyFont="1" applyBorder="1" applyAlignment="1">
      <alignment horizontal="right" vertical="center" wrapText="1"/>
    </xf>
    <xf numFmtId="41" fontId="122" fillId="0" borderId="0" xfId="1" applyFont="1" applyBorder="1" applyAlignment="1">
      <alignment horizontal="right" vertical="center" wrapText="1"/>
    </xf>
    <xf numFmtId="41" fontId="21" fillId="5" borderId="31" xfId="1" applyFont="1" applyFill="1" applyBorder="1" applyAlignment="1">
      <alignment vertical="center"/>
    </xf>
    <xf numFmtId="189" fontId="29" fillId="0" borderId="0" xfId="1" applyNumberFormat="1" applyFont="1" applyAlignment="1">
      <alignment vertical="center"/>
    </xf>
    <xf numFmtId="0" fontId="122" fillId="0" borderId="0" xfId="16" applyFont="1" applyBorder="1" applyAlignment="1">
      <alignment horizontal="justify" vertical="center" wrapText="1"/>
    </xf>
    <xf numFmtId="189" fontId="21" fillId="0" borderId="0" xfId="1" applyNumberFormat="1" applyFont="1" applyBorder="1" applyAlignment="1">
      <alignment horizontal="left" vertical="center"/>
    </xf>
    <xf numFmtId="183" fontId="21" fillId="0" borderId="41" xfId="1" applyNumberFormat="1" applyFont="1" applyBorder="1" applyAlignment="1">
      <alignment horizontal="center" vertical="center"/>
    </xf>
    <xf numFmtId="3" fontId="21" fillId="0" borderId="16" xfId="7" applyNumberFormat="1" applyFont="1" applyBorder="1" applyAlignment="1">
      <alignment vertical="center"/>
    </xf>
    <xf numFmtId="0" fontId="47" fillId="0" borderId="0" xfId="0" applyFont="1">
      <alignment vertical="center"/>
    </xf>
    <xf numFmtId="177" fontId="123" fillId="0" borderId="7" xfId="1" applyNumberFormat="1" applyFont="1" applyBorder="1" applyAlignment="1">
      <alignment horizontal="center" vertical="center" wrapText="1"/>
    </xf>
    <xf numFmtId="9" fontId="21" fillId="0" borderId="0" xfId="1" applyNumberFormat="1" applyFont="1" applyFill="1" applyBorder="1" applyAlignment="1">
      <alignment vertical="center"/>
    </xf>
    <xf numFmtId="0" fontId="124" fillId="0" borderId="8" xfId="0" applyFont="1" applyBorder="1">
      <alignment vertical="center"/>
    </xf>
    <xf numFmtId="0" fontId="19" fillId="0" borderId="27" xfId="0" applyFont="1" applyBorder="1" applyAlignment="1">
      <alignment horizontal="center" vertical="center" wrapText="1"/>
    </xf>
    <xf numFmtId="0" fontId="124" fillId="0" borderId="27" xfId="0" applyFont="1" applyBorder="1" applyAlignment="1">
      <alignment vertical="center" wrapText="1"/>
    </xf>
    <xf numFmtId="41" fontId="124" fillId="0" borderId="27" xfId="1" applyFont="1" applyBorder="1" applyAlignment="1">
      <alignment vertical="center" wrapText="1"/>
    </xf>
    <xf numFmtId="0" fontId="124" fillId="0" borderId="28" xfId="0" applyFont="1" applyBorder="1" applyAlignment="1">
      <alignment vertical="center" wrapText="1"/>
    </xf>
    <xf numFmtId="41" fontId="124" fillId="0" borderId="28" xfId="1" applyFont="1" applyBorder="1" applyAlignment="1">
      <alignment vertical="center" wrapText="1"/>
    </xf>
    <xf numFmtId="41" fontId="124" fillId="0" borderId="8" xfId="1" applyFont="1" applyBorder="1">
      <alignment vertical="center"/>
    </xf>
    <xf numFmtId="179" fontId="128" fillId="0" borderId="0" xfId="1" applyNumberFormat="1" applyFont="1" applyAlignment="1">
      <alignment vertical="center"/>
    </xf>
    <xf numFmtId="178" fontId="14" fillId="0" borderId="8" xfId="0" applyNumberFormat="1" applyFont="1" applyBorder="1" applyAlignment="1">
      <alignment vertical="center"/>
    </xf>
    <xf numFmtId="0" fontId="120" fillId="0" borderId="27" xfId="0" applyFont="1" applyFill="1" applyBorder="1" applyAlignment="1">
      <alignment horizontal="center" vertical="center" wrapText="1"/>
    </xf>
    <xf numFmtId="178" fontId="14" fillId="0" borderId="8" xfId="1" applyNumberFormat="1" applyFont="1" applyBorder="1">
      <alignment vertical="center"/>
    </xf>
    <xf numFmtId="0" fontId="14" fillId="0" borderId="8" xfId="0" applyFont="1" applyBorder="1" applyAlignment="1">
      <alignment vertical="center"/>
    </xf>
    <xf numFmtId="178" fontId="14" fillId="0" borderId="8" xfId="0" applyNumberFormat="1" applyFont="1" applyBorder="1">
      <alignment vertical="center"/>
    </xf>
    <xf numFmtId="0" fontId="14" fillId="0" borderId="8" xfId="0" applyFont="1" applyBorder="1">
      <alignment vertical="center"/>
    </xf>
    <xf numFmtId="178" fontId="14" fillId="0" borderId="8" xfId="1" applyNumberFormat="1" applyFont="1" applyBorder="1" applyAlignment="1">
      <alignment vertical="center" wrapText="1"/>
    </xf>
    <xf numFmtId="178" fontId="14" fillId="0" borderId="8" xfId="0" applyNumberFormat="1" applyFont="1" applyBorder="1" applyAlignment="1">
      <alignment vertical="center" wrapText="1"/>
    </xf>
    <xf numFmtId="0" fontId="14" fillId="0" borderId="8" xfId="0" applyFont="1" applyBorder="1" applyAlignment="1">
      <alignment vertical="center" wrapText="1"/>
    </xf>
    <xf numFmtId="0" fontId="15" fillId="0" borderId="8" xfId="0" applyFont="1" applyBorder="1" applyAlignment="1">
      <alignment horizontal="center" vertical="center" wrapText="1"/>
    </xf>
    <xf numFmtId="0" fontId="0" fillId="0" borderId="0" xfId="0">
      <alignment vertical="center"/>
    </xf>
    <xf numFmtId="0" fontId="23" fillId="0" borderId="36" xfId="7" applyFont="1" applyBorder="1" applyAlignment="1">
      <alignment vertical="center"/>
    </xf>
    <xf numFmtId="0" fontId="23" fillId="0" borderId="0" xfId="11" applyFont="1" applyFill="1">
      <alignment vertical="center"/>
    </xf>
    <xf numFmtId="0" fontId="23" fillId="0" borderId="0" xfId="11" applyFont="1" applyFill="1" applyAlignment="1">
      <alignment vertical="center"/>
    </xf>
    <xf numFmtId="0" fontId="23" fillId="0" borderId="0" xfId="15" applyFont="1" applyFill="1" applyAlignment="1" applyProtection="1">
      <alignment vertical="center"/>
    </xf>
    <xf numFmtId="0" fontId="120" fillId="5" borderId="27" xfId="0" applyFont="1" applyFill="1" applyBorder="1" applyAlignment="1">
      <alignment horizontal="center" vertical="center" wrapText="1"/>
    </xf>
    <xf numFmtId="0" fontId="23" fillId="0" borderId="0" xfId="11" applyFont="1" applyFill="1" applyAlignment="1">
      <alignment horizontal="left" vertical="center"/>
    </xf>
    <xf numFmtId="41" fontId="23" fillId="11" borderId="8" xfId="1" applyFont="1" applyFill="1" applyBorder="1" applyAlignment="1">
      <alignment horizontal="center" vertical="center"/>
    </xf>
    <xf numFmtId="0" fontId="28" fillId="0" borderId="0" xfId="0" applyFont="1" applyBorder="1" applyAlignment="1">
      <alignment horizontal="left" vertical="center"/>
    </xf>
    <xf numFmtId="0" fontId="0" fillId="0" borderId="0" xfId="0" applyAlignment="1">
      <alignment horizontal="center" vertical="center"/>
    </xf>
    <xf numFmtId="183" fontId="0" fillId="0" borderId="0" xfId="0" applyNumberFormat="1" applyFont="1" applyAlignment="1">
      <alignment horizontal="right" vertical="center"/>
    </xf>
    <xf numFmtId="0" fontId="131" fillId="0" borderId="0" xfId="0" applyNumberFormat="1" applyFont="1" applyFill="1" applyBorder="1" applyAlignment="1" applyProtection="1">
      <alignment horizontal="center" vertical="center"/>
    </xf>
    <xf numFmtId="0" fontId="132" fillId="0" borderId="0" xfId="0" applyNumberFormat="1" applyFont="1" applyFill="1" applyBorder="1" applyAlignment="1" applyProtection="1">
      <alignment horizontal="right" vertical="center"/>
    </xf>
    <xf numFmtId="0" fontId="21" fillId="29" borderId="150" xfId="0" applyNumberFormat="1" applyFont="1" applyFill="1" applyBorder="1" applyAlignment="1" applyProtection="1">
      <alignment vertical="center"/>
    </xf>
    <xf numFmtId="0" fontId="22" fillId="0" borderId="0" xfId="0" applyNumberFormat="1" applyFont="1" applyFill="1" applyBorder="1" applyAlignment="1" applyProtection="1">
      <alignment horizontal="left" vertical="center"/>
    </xf>
    <xf numFmtId="0" fontId="29" fillId="0" borderId="0" xfId="0" applyNumberFormat="1" applyFont="1" applyFill="1" applyBorder="1" applyAlignment="1" applyProtection="1">
      <alignment horizontal="center" vertical="center"/>
    </xf>
    <xf numFmtId="0" fontId="107" fillId="0" borderId="0" xfId="0" applyNumberFormat="1" applyFont="1" applyFill="1" applyBorder="1" applyAlignment="1" applyProtection="1">
      <alignment horizontal="left" vertical="center"/>
    </xf>
    <xf numFmtId="0" fontId="107" fillId="0" borderId="0" xfId="0" applyNumberFormat="1" applyFont="1" applyFill="1" applyBorder="1" applyAlignment="1" applyProtection="1">
      <alignment vertical="center"/>
    </xf>
    <xf numFmtId="279" fontId="23" fillId="29" borderId="153" xfId="0" applyNumberFormat="1" applyFont="1" applyFill="1" applyBorder="1" applyAlignment="1" applyProtection="1">
      <alignment horizontal="right" vertical="center"/>
    </xf>
    <xf numFmtId="0" fontId="23" fillId="29" borderId="154" xfId="0" applyNumberFormat="1" applyFont="1" applyFill="1" applyBorder="1" applyAlignment="1" applyProtection="1">
      <alignment horizontal="left" vertical="center"/>
    </xf>
    <xf numFmtId="180" fontId="0" fillId="0" borderId="0" xfId="0" applyNumberFormat="1">
      <alignment vertical="center"/>
    </xf>
    <xf numFmtId="0" fontId="28" fillId="0" borderId="0" xfId="0" applyNumberFormat="1" applyFont="1" applyFill="1" applyBorder="1" applyAlignment="1" applyProtection="1">
      <alignment horizontal="left" vertical="center"/>
    </xf>
    <xf numFmtId="0" fontId="134" fillId="0" borderId="0" xfId="0" applyFont="1" applyFill="1">
      <alignment vertical="center"/>
    </xf>
    <xf numFmtId="183" fontId="0" fillId="0" borderId="0" xfId="0" applyNumberFormat="1" applyFont="1" applyBorder="1" applyAlignment="1">
      <alignment horizontal="right" vertical="center"/>
    </xf>
    <xf numFmtId="0" fontId="137" fillId="0" borderId="0" xfId="0" applyFont="1" applyFill="1" applyBorder="1" applyAlignment="1">
      <alignment vertical="center"/>
    </xf>
    <xf numFmtId="0" fontId="133" fillId="0" borderId="150" xfId="0" applyNumberFormat="1" applyFont="1" applyFill="1" applyBorder="1" applyAlignment="1" applyProtection="1">
      <alignment horizontal="center" vertical="center"/>
    </xf>
    <xf numFmtId="201" fontId="135" fillId="0" borderId="150" xfId="0" applyNumberFormat="1" applyFont="1" applyFill="1" applyBorder="1" applyAlignment="1" applyProtection="1">
      <alignment vertical="center"/>
    </xf>
    <xf numFmtId="201" fontId="135" fillId="29" borderId="150" xfId="0" applyNumberFormat="1" applyFont="1" applyFill="1" applyBorder="1" applyAlignment="1" applyProtection="1">
      <alignment vertical="center"/>
    </xf>
    <xf numFmtId="201" fontId="135" fillId="29" borderId="156" xfId="0" applyNumberFormat="1" applyFont="1" applyFill="1" applyBorder="1" applyAlignment="1" applyProtection="1">
      <alignment vertical="center"/>
    </xf>
    <xf numFmtId="202" fontId="135" fillId="0" borderId="150" xfId="0" applyNumberFormat="1" applyFont="1" applyFill="1" applyBorder="1" applyAlignment="1" applyProtection="1">
      <alignment horizontal="right" vertical="center"/>
    </xf>
    <xf numFmtId="202" fontId="135" fillId="29" borderId="150" xfId="0" applyNumberFormat="1" applyFont="1" applyFill="1" applyBorder="1" applyAlignment="1" applyProtection="1">
      <alignment horizontal="center" vertical="center"/>
    </xf>
    <xf numFmtId="199" fontId="139" fillId="0" borderId="150" xfId="0" applyNumberFormat="1" applyFont="1" applyFill="1" applyBorder="1" applyAlignment="1" applyProtection="1">
      <alignment horizontal="center" vertical="center"/>
    </xf>
    <xf numFmtId="202" fontId="135" fillId="29" borderId="156" xfId="0" applyNumberFormat="1" applyFont="1" applyFill="1" applyBorder="1" applyAlignment="1" applyProtection="1">
      <alignment horizontal="center" vertical="center"/>
    </xf>
    <xf numFmtId="0" fontId="133" fillId="0" borderId="0" xfId="0" applyNumberFormat="1" applyFont="1" applyFill="1" applyBorder="1" applyAlignment="1" applyProtection="1">
      <alignment horizontal="center" vertical="center"/>
    </xf>
    <xf numFmtId="280" fontId="107" fillId="0" borderId="0" xfId="0" applyNumberFormat="1" applyFont="1" applyFill="1" applyBorder="1" applyAlignment="1" applyProtection="1">
      <alignment horizontal="center" vertical="center"/>
    </xf>
    <xf numFmtId="280" fontId="107" fillId="0" borderId="0" xfId="0" applyNumberFormat="1" applyFont="1" applyFill="1" applyBorder="1" applyAlignment="1" applyProtection="1">
      <alignment vertical="center"/>
    </xf>
    <xf numFmtId="0" fontId="140" fillId="0" borderId="0" xfId="0" applyNumberFormat="1" applyFont="1" applyFill="1" applyBorder="1" applyAlignment="1" applyProtection="1">
      <alignment vertical="center"/>
    </xf>
    <xf numFmtId="0" fontId="141" fillId="0" borderId="0" xfId="0" applyNumberFormat="1" applyFont="1" applyFill="1" applyBorder="1" applyAlignment="1" applyProtection="1">
      <alignment vertical="center"/>
    </xf>
    <xf numFmtId="0" fontId="14" fillId="0" borderId="0" xfId="0" applyFont="1">
      <alignment vertical="center"/>
    </xf>
    <xf numFmtId="183" fontId="14" fillId="0" borderId="0" xfId="0" applyNumberFormat="1" applyFont="1" applyAlignment="1">
      <alignment horizontal="right" vertical="center"/>
    </xf>
    <xf numFmtId="0" fontId="142" fillId="0" borderId="0" xfId="0" applyNumberFormat="1" applyFont="1" applyFill="1" applyBorder="1" applyAlignment="1" applyProtection="1">
      <alignment vertical="center"/>
    </xf>
    <xf numFmtId="0" fontId="134" fillId="0" borderId="0" xfId="0" applyFont="1" applyFill="1" applyAlignment="1">
      <alignment vertical="center"/>
    </xf>
    <xf numFmtId="0" fontId="143" fillId="0" borderId="0" xfId="0" applyFont="1">
      <alignment vertical="center"/>
    </xf>
    <xf numFmtId="0" fontId="144" fillId="0" borderId="0" xfId="0" applyNumberFormat="1" applyFont="1" applyFill="1" applyBorder="1" applyAlignment="1" applyProtection="1">
      <alignment vertical="center"/>
    </xf>
    <xf numFmtId="0" fontId="145" fillId="0" borderId="0" xfId="0" applyNumberFormat="1" applyFont="1" applyFill="1" applyBorder="1" applyAlignment="1" applyProtection="1">
      <alignment vertical="center"/>
    </xf>
    <xf numFmtId="0" fontId="140" fillId="30" borderId="100" xfId="0" applyNumberFormat="1" applyFont="1" applyFill="1" applyBorder="1" applyAlignment="1" applyProtection="1">
      <alignment horizontal="center" vertical="center"/>
    </xf>
    <xf numFmtId="0" fontId="140" fillId="30" borderId="90" xfId="0" applyNumberFormat="1" applyFont="1" applyFill="1" applyBorder="1" applyAlignment="1" applyProtection="1">
      <alignment horizontal="center" vertical="center"/>
    </xf>
    <xf numFmtId="183" fontId="143" fillId="0" borderId="0" xfId="0" applyNumberFormat="1" applyFont="1" applyAlignment="1">
      <alignment horizontal="right" vertical="center"/>
    </xf>
    <xf numFmtId="0" fontId="142" fillId="0" borderId="0" xfId="0" applyNumberFormat="1" applyFont="1" applyFill="1" applyBorder="1" applyAlignment="1" applyProtection="1">
      <alignment horizontal="left" vertical="center"/>
    </xf>
    <xf numFmtId="0" fontId="107" fillId="0" borderId="0" xfId="0" applyNumberFormat="1" applyFont="1" applyFill="1" applyBorder="1" applyAlignment="1" applyProtection="1">
      <alignment horizontal="center" vertical="center"/>
    </xf>
    <xf numFmtId="0" fontId="141" fillId="0" borderId="0" xfId="0" applyNumberFormat="1" applyFont="1" applyFill="1" applyBorder="1" applyAlignment="1" applyProtection="1">
      <alignment horizontal="left" vertical="center"/>
    </xf>
    <xf numFmtId="0" fontId="143" fillId="0" borderId="0" xfId="0" applyFont="1" applyAlignment="1">
      <alignment vertical="center" wrapText="1"/>
    </xf>
    <xf numFmtId="0" fontId="146" fillId="0" borderId="0" xfId="0" applyFont="1">
      <alignment vertical="center"/>
    </xf>
    <xf numFmtId="183" fontId="146" fillId="0" borderId="0" xfId="0" applyNumberFormat="1" applyFont="1" applyAlignment="1">
      <alignment horizontal="right" vertical="center"/>
    </xf>
    <xf numFmtId="0" fontId="147" fillId="0" borderId="0" xfId="0" applyNumberFormat="1" applyFont="1" applyFill="1" applyBorder="1" applyAlignment="1" applyProtection="1">
      <alignment horizontal="left" vertical="center"/>
    </xf>
    <xf numFmtId="0" fontId="46" fillId="0" borderId="0" xfId="0" applyNumberFormat="1" applyFont="1" applyFill="1" applyBorder="1" applyAlignment="1" applyProtection="1">
      <alignment vertical="center"/>
    </xf>
    <xf numFmtId="0" fontId="49" fillId="31" borderId="150" xfId="0" applyFont="1" applyFill="1" applyBorder="1" applyAlignment="1">
      <alignment horizontal="center" vertical="center"/>
    </xf>
    <xf numFmtId="0" fontId="0" fillId="0" borderId="150" xfId="0" applyBorder="1">
      <alignment vertical="center"/>
    </xf>
    <xf numFmtId="0" fontId="14" fillId="0" borderId="21" xfId="0" applyFont="1" applyFill="1" applyBorder="1">
      <alignment vertical="center"/>
    </xf>
    <xf numFmtId="0" fontId="14" fillId="0" borderId="167" xfId="0" applyFont="1" applyFill="1" applyBorder="1">
      <alignment vertical="center"/>
    </xf>
    <xf numFmtId="0" fontId="14" fillId="0" borderId="150" xfId="0" applyFont="1" applyFill="1" applyBorder="1">
      <alignment vertical="center"/>
    </xf>
    <xf numFmtId="0" fontId="14" fillId="0" borderId="150" xfId="0" applyFont="1" applyFill="1" applyBorder="1" applyAlignment="1">
      <alignment horizontal="center" vertical="center"/>
    </xf>
    <xf numFmtId="41" fontId="14" fillId="0" borderId="150" xfId="0" applyNumberFormat="1" applyFont="1" applyFill="1" applyBorder="1">
      <alignment vertical="center"/>
    </xf>
    <xf numFmtId="0" fontId="14" fillId="0" borderId="20" xfId="0" applyFont="1" applyFill="1" applyBorder="1">
      <alignment vertical="center"/>
    </xf>
    <xf numFmtId="41" fontId="14" fillId="0" borderId="150" xfId="1" applyFont="1" applyFill="1" applyBorder="1">
      <alignment vertical="center"/>
    </xf>
    <xf numFmtId="0" fontId="14" fillId="0" borderId="153" xfId="0" applyFont="1" applyFill="1" applyBorder="1" applyAlignment="1">
      <alignment vertical="center"/>
    </xf>
    <xf numFmtId="0" fontId="14" fillId="0" borderId="154" xfId="0" applyFont="1" applyFill="1" applyBorder="1" applyAlignment="1">
      <alignment vertical="center"/>
    </xf>
    <xf numFmtId="9" fontId="14" fillId="0" borderId="150" xfId="5" applyFont="1" applyFill="1" applyBorder="1">
      <alignment vertical="center"/>
    </xf>
    <xf numFmtId="0" fontId="14" fillId="0" borderId="153" xfId="0" applyFont="1" applyFill="1" applyBorder="1" applyAlignment="1">
      <alignment horizontal="left" vertical="center"/>
    </xf>
    <xf numFmtId="0" fontId="14" fillId="0" borderId="154" xfId="0" applyFont="1" applyFill="1" applyBorder="1" applyAlignment="1">
      <alignment horizontal="left" vertical="center"/>
    </xf>
    <xf numFmtId="41" fontId="15" fillId="0" borderId="150" xfId="1" applyFont="1" applyFill="1" applyBorder="1">
      <alignment vertical="center"/>
    </xf>
    <xf numFmtId="0" fontId="15" fillId="0" borderId="150" xfId="0" applyFont="1" applyFill="1" applyBorder="1">
      <alignment vertical="center"/>
    </xf>
    <xf numFmtId="0" fontId="15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150" xfId="0" applyBorder="1" applyAlignment="1">
      <alignment horizontal="left" vertical="center"/>
    </xf>
    <xf numFmtId="0" fontId="0" fillId="0" borderId="150" xfId="0" applyBorder="1" applyAlignment="1">
      <alignment horizontal="center" vertical="center"/>
    </xf>
    <xf numFmtId="0" fontId="0" fillId="0" borderId="150" xfId="0" applyBorder="1" applyAlignment="1">
      <alignment horizontal="right" vertical="center"/>
    </xf>
    <xf numFmtId="41" fontId="0" fillId="0" borderId="150" xfId="1" applyFont="1" applyBorder="1">
      <alignment vertical="center"/>
    </xf>
    <xf numFmtId="0" fontId="0" fillId="0" borderId="167" xfId="0" applyBorder="1">
      <alignment vertical="center"/>
    </xf>
    <xf numFmtId="181" fontId="0" fillId="0" borderId="150" xfId="0" applyNumberFormat="1" applyBorder="1" applyAlignment="1">
      <alignment horizontal="right" vertical="center"/>
    </xf>
    <xf numFmtId="41" fontId="151" fillId="0" borderId="150" xfId="1" applyFont="1" applyFill="1" applyBorder="1" applyAlignment="1">
      <alignment vertical="center"/>
    </xf>
    <xf numFmtId="41" fontId="151" fillId="0" borderId="150" xfId="1" applyFont="1" applyFill="1" applyBorder="1" applyAlignment="1">
      <alignment horizontal="center" vertical="center"/>
    </xf>
    <xf numFmtId="0" fontId="0" fillId="0" borderId="154" xfId="0" applyBorder="1">
      <alignment vertical="center"/>
    </xf>
    <xf numFmtId="0" fontId="0" fillId="0" borderId="163" xfId="0" applyBorder="1">
      <alignment vertical="center"/>
    </xf>
    <xf numFmtId="195" fontId="152" fillId="0" borderId="0" xfId="0" applyNumberFormat="1" applyFont="1" applyFill="1" applyBorder="1" applyAlignment="1">
      <alignment horizontal="center" vertical="center"/>
    </xf>
    <xf numFmtId="0" fontId="152" fillId="14" borderId="104" xfId="0" applyFont="1" applyFill="1" applyBorder="1" applyAlignment="1">
      <alignment horizontal="center" vertical="center"/>
    </xf>
    <xf numFmtId="0" fontId="152" fillId="14" borderId="105" xfId="0" applyFont="1" applyFill="1" applyBorder="1" applyAlignment="1">
      <alignment horizontal="center" vertical="center"/>
    </xf>
    <xf numFmtId="195" fontId="152" fillId="15" borderId="106" xfId="0" applyNumberFormat="1" applyFont="1" applyFill="1" applyBorder="1" applyAlignment="1">
      <alignment horizontal="center" vertical="center"/>
    </xf>
    <xf numFmtId="195" fontId="152" fillId="15" borderId="107" xfId="0" applyNumberFormat="1" applyFont="1" applyFill="1" applyBorder="1" applyAlignment="1">
      <alignment horizontal="center" vertical="center"/>
    </xf>
    <xf numFmtId="195" fontId="152" fillId="15" borderId="104" xfId="0" applyNumberFormat="1" applyFont="1" applyFill="1" applyBorder="1" applyAlignment="1">
      <alignment horizontal="center" vertical="center"/>
    </xf>
    <xf numFmtId="195" fontId="152" fillId="15" borderId="105" xfId="0" applyNumberFormat="1" applyFont="1" applyFill="1" applyBorder="1" applyAlignment="1">
      <alignment horizontal="center" vertical="center"/>
    </xf>
    <xf numFmtId="183" fontId="33" fillId="16" borderId="106" xfId="0" applyNumberFormat="1" applyFont="1" applyFill="1" applyBorder="1" applyAlignment="1">
      <alignment horizontal="center" vertical="center"/>
    </xf>
    <xf numFmtId="183" fontId="33" fillId="16" borderId="104" xfId="0" applyNumberFormat="1" applyFont="1" applyFill="1" applyBorder="1" applyAlignment="1">
      <alignment horizontal="center" vertical="center"/>
    </xf>
    <xf numFmtId="183" fontId="153" fillId="16" borderId="105" xfId="0" applyNumberFormat="1" applyFont="1" applyFill="1" applyBorder="1" applyAlignment="1">
      <alignment horizontal="center" vertical="center"/>
    </xf>
    <xf numFmtId="195" fontId="152" fillId="18" borderId="106" xfId="0" applyNumberFormat="1" applyFont="1" applyFill="1" applyBorder="1" applyAlignment="1">
      <alignment horizontal="center" vertical="center"/>
    </xf>
    <xf numFmtId="195" fontId="152" fillId="18" borderId="104" xfId="0" applyNumberFormat="1" applyFont="1" applyFill="1" applyBorder="1" applyAlignment="1">
      <alignment horizontal="center" vertical="center"/>
    </xf>
    <xf numFmtId="195" fontId="152" fillId="18" borderId="105" xfId="0" applyNumberFormat="1" applyFont="1" applyFill="1" applyBorder="1" applyAlignment="1">
      <alignment horizontal="center" vertical="center"/>
    </xf>
    <xf numFmtId="0" fontId="47" fillId="14" borderId="155" xfId="0" applyFont="1" applyFill="1" applyBorder="1" applyAlignment="1">
      <alignment horizontal="center" vertical="center"/>
    </xf>
    <xf numFmtId="0" fontId="47" fillId="14" borderId="150" xfId="0" applyFont="1" applyFill="1" applyBorder="1" applyAlignment="1">
      <alignment horizontal="center" vertical="center"/>
    </xf>
    <xf numFmtId="0" fontId="47" fillId="14" borderId="156" xfId="0" applyFont="1" applyFill="1" applyBorder="1" applyAlignment="1">
      <alignment horizontal="center" vertical="center"/>
    </xf>
    <xf numFmtId="0" fontId="18" fillId="0" borderId="167" xfId="0" applyFont="1" applyBorder="1" applyAlignment="1">
      <alignment horizontal="justify" vertical="center"/>
    </xf>
    <xf numFmtId="0" fontId="16" fillId="0" borderId="170" xfId="0" applyFont="1" applyBorder="1" applyAlignment="1">
      <alignment horizontal="center" vertical="center"/>
    </xf>
    <xf numFmtId="0" fontId="18" fillId="0" borderId="155" xfId="0" applyFont="1" applyFill="1" applyBorder="1" applyAlignment="1">
      <alignment horizontal="justify" vertical="center"/>
    </xf>
    <xf numFmtId="177" fontId="18" fillId="0" borderId="150" xfId="0" applyNumberFormat="1" applyFont="1" applyBorder="1" applyAlignment="1">
      <alignment horizontal="right" vertical="center"/>
    </xf>
    <xf numFmtId="198" fontId="18" fillId="0" borderId="156" xfId="0" applyNumberFormat="1" applyFont="1" applyBorder="1" applyAlignment="1">
      <alignment horizontal="center" vertical="center"/>
    </xf>
    <xf numFmtId="0" fontId="18" fillId="0" borderId="150" xfId="0" applyFont="1" applyBorder="1" applyAlignment="1">
      <alignment horizontal="justify" vertical="center"/>
    </xf>
    <xf numFmtId="0" fontId="16" fillId="0" borderId="156" xfId="0" applyFont="1" applyBorder="1" applyAlignment="1">
      <alignment horizontal="center" vertical="center"/>
    </xf>
    <xf numFmtId="183" fontId="16" fillId="0" borderId="155" xfId="0" applyNumberFormat="1" applyFont="1" applyBorder="1" applyAlignment="1">
      <alignment vertical="center"/>
    </xf>
    <xf numFmtId="183" fontId="16" fillId="0" borderId="150" xfId="0" applyNumberFormat="1" applyFont="1" applyBorder="1" applyAlignment="1">
      <alignment vertical="center"/>
    </xf>
    <xf numFmtId="183" fontId="16" fillId="0" borderId="156" xfId="0" applyNumberFormat="1" applyFont="1" applyBorder="1" applyAlignment="1">
      <alignment vertical="center"/>
    </xf>
    <xf numFmtId="197" fontId="16" fillId="0" borderId="171" xfId="0" applyNumberFormat="1" applyFont="1" applyBorder="1" applyAlignment="1">
      <alignment horizontal="right" vertical="center"/>
    </xf>
    <xf numFmtId="190" fontId="16" fillId="0" borderId="155" xfId="0" applyNumberFormat="1" applyFont="1" applyBorder="1" applyAlignment="1">
      <alignment vertical="center"/>
    </xf>
    <xf numFmtId="190" fontId="16" fillId="0" borderId="150" xfId="0" applyNumberFormat="1" applyFont="1" applyBorder="1" applyAlignment="1">
      <alignment vertical="center"/>
    </xf>
    <xf numFmtId="190" fontId="16" fillId="19" borderId="156" xfId="0" applyNumberFormat="1" applyFont="1" applyFill="1" applyBorder="1" applyAlignment="1">
      <alignment vertical="center"/>
    </xf>
    <xf numFmtId="0" fontId="151" fillId="11" borderId="155" xfId="0" applyFont="1" applyFill="1" applyBorder="1" applyAlignment="1">
      <alignment horizontal="center" vertical="center"/>
    </xf>
    <xf numFmtId="0" fontId="18" fillId="11" borderId="150" xfId="0" applyFont="1" applyFill="1" applyBorder="1" applyAlignment="1">
      <alignment vertical="center"/>
    </xf>
    <xf numFmtId="0" fontId="16" fillId="11" borderId="156" xfId="0" applyFont="1" applyFill="1" applyBorder="1" applyAlignment="1">
      <alignment horizontal="center" vertical="center"/>
    </xf>
    <xf numFmtId="183" fontId="16" fillId="11" borderId="155" xfId="0" applyNumberFormat="1" applyFont="1" applyFill="1" applyBorder="1" applyAlignment="1">
      <alignment vertical="center"/>
    </xf>
    <xf numFmtId="183" fontId="16" fillId="11" borderId="150" xfId="0" applyNumberFormat="1" applyFont="1" applyFill="1" applyBorder="1" applyAlignment="1">
      <alignment vertical="center"/>
    </xf>
    <xf numFmtId="183" fontId="16" fillId="11" borderId="156" xfId="0" applyNumberFormat="1" applyFont="1" applyFill="1" applyBorder="1" applyAlignment="1">
      <alignment vertical="center"/>
    </xf>
    <xf numFmtId="197" fontId="16" fillId="11" borderId="155" xfId="0" applyNumberFormat="1" applyFont="1" applyFill="1" applyBorder="1" applyAlignment="1">
      <alignment horizontal="center" vertical="center"/>
    </xf>
    <xf numFmtId="197" fontId="16" fillId="11" borderId="150" xfId="0" applyNumberFormat="1" applyFont="1" applyFill="1" applyBorder="1" applyAlignment="1">
      <alignment horizontal="center" vertical="center"/>
    </xf>
    <xf numFmtId="197" fontId="16" fillId="11" borderId="156" xfId="0" applyNumberFormat="1" applyFont="1" applyFill="1" applyBorder="1" applyAlignment="1">
      <alignment horizontal="center" vertical="center"/>
    </xf>
    <xf numFmtId="197" fontId="16" fillId="11" borderId="171" xfId="0" applyNumberFormat="1" applyFont="1" applyFill="1" applyBorder="1" applyAlignment="1">
      <alignment horizontal="right" vertical="center"/>
    </xf>
    <xf numFmtId="190" fontId="16" fillId="11" borderId="155" xfId="0" applyNumberFormat="1" applyFont="1" applyFill="1" applyBorder="1" applyAlignment="1">
      <alignment vertical="center"/>
    </xf>
    <xf numFmtId="190" fontId="16" fillId="11" borderId="150" xfId="0" applyNumberFormat="1" applyFont="1" applyFill="1" applyBorder="1" applyAlignment="1">
      <alignment vertical="center"/>
    </xf>
    <xf numFmtId="190" fontId="16" fillId="11" borderId="156" xfId="0" applyNumberFormat="1" applyFont="1" applyFill="1" applyBorder="1" applyAlignment="1">
      <alignment vertical="center"/>
    </xf>
    <xf numFmtId="0" fontId="18" fillId="11" borderId="155" xfId="0" applyFont="1" applyFill="1" applyBorder="1" applyAlignment="1">
      <alignment vertical="center"/>
    </xf>
    <xf numFmtId="177" fontId="18" fillId="11" borderId="150" xfId="0" applyNumberFormat="1" applyFont="1" applyFill="1" applyBorder="1" applyAlignment="1">
      <alignment horizontal="right" vertical="center"/>
    </xf>
    <xf numFmtId="198" fontId="18" fillId="11" borderId="156" xfId="0" applyNumberFormat="1" applyFont="1" applyFill="1" applyBorder="1" applyAlignment="1">
      <alignment horizontal="center" vertical="center"/>
    </xf>
    <xf numFmtId="0" fontId="18" fillId="0" borderId="150" xfId="0" applyFont="1" applyFill="1" applyBorder="1" applyAlignment="1">
      <alignment horizontal="justify" vertical="center"/>
    </xf>
    <xf numFmtId="0" fontId="16" fillId="0" borderId="156" xfId="0" applyFont="1" applyFill="1" applyBorder="1" applyAlignment="1">
      <alignment horizontal="center" vertical="center"/>
    </xf>
    <xf numFmtId="0" fontId="18" fillId="0" borderId="150" xfId="0" applyFont="1" applyFill="1" applyBorder="1" applyAlignment="1">
      <alignment horizontal="left" vertical="center"/>
    </xf>
    <xf numFmtId="183" fontId="16" fillId="0" borderId="155" xfId="0" applyNumberFormat="1" applyFont="1" applyFill="1" applyBorder="1" applyAlignment="1">
      <alignment vertical="center"/>
    </xf>
    <xf numFmtId="183" fontId="16" fillId="0" borderId="150" xfId="0" applyNumberFormat="1" applyFont="1" applyFill="1" applyBorder="1" applyAlignment="1">
      <alignment vertical="center"/>
    </xf>
    <xf numFmtId="183" fontId="16" fillId="0" borderId="156" xfId="0" applyNumberFormat="1" applyFont="1" applyFill="1" applyBorder="1" applyAlignment="1">
      <alignment vertical="center"/>
    </xf>
    <xf numFmtId="0" fontId="18" fillId="0" borderId="167" xfId="0" applyFont="1" applyFill="1" applyBorder="1" applyAlignment="1">
      <alignment horizontal="left" vertical="center"/>
    </xf>
    <xf numFmtId="0" fontId="16" fillId="0" borderId="170" xfId="0" applyFont="1" applyFill="1" applyBorder="1" applyAlignment="1">
      <alignment horizontal="center" vertical="center"/>
    </xf>
    <xf numFmtId="0" fontId="18" fillId="0" borderId="150" xfId="0" applyFont="1" applyFill="1" applyBorder="1" applyAlignment="1">
      <alignment vertical="center"/>
    </xf>
    <xf numFmtId="0" fontId="18" fillId="0" borderId="155" xfId="0" applyFont="1" applyFill="1" applyBorder="1" applyAlignment="1">
      <alignment vertical="center"/>
    </xf>
    <xf numFmtId="183" fontId="154" fillId="0" borderId="155" xfId="0" applyNumberFormat="1" applyFont="1" applyBorder="1" applyAlignment="1">
      <alignment vertical="center"/>
    </xf>
    <xf numFmtId="183" fontId="154" fillId="0" borderId="150" xfId="0" applyNumberFormat="1" applyFont="1" applyBorder="1" applyAlignment="1">
      <alignment vertical="center"/>
    </xf>
    <xf numFmtId="183" fontId="154" fillId="0" borderId="156" xfId="0" applyNumberFormat="1" applyFont="1" applyBorder="1" applyAlignment="1">
      <alignment vertical="center"/>
    </xf>
    <xf numFmtId="0" fontId="18" fillId="0" borderId="155" xfId="0" applyFont="1" applyFill="1" applyBorder="1" applyAlignment="1">
      <alignment horizontal="left" vertical="center"/>
    </xf>
    <xf numFmtId="183" fontId="16" fillId="0" borderId="172" xfId="0" applyNumberFormat="1" applyFont="1" applyBorder="1" applyAlignment="1">
      <alignment vertical="center"/>
    </xf>
    <xf numFmtId="183" fontId="16" fillId="0" borderId="167" xfId="0" applyNumberFormat="1" applyFont="1" applyBorder="1" applyAlignment="1">
      <alignment vertical="center"/>
    </xf>
    <xf numFmtId="183" fontId="16" fillId="0" borderId="170" xfId="0" applyNumberFormat="1" applyFont="1" applyBorder="1" applyAlignment="1">
      <alignment vertical="center"/>
    </xf>
    <xf numFmtId="197" fontId="16" fillId="0" borderId="173" xfId="0" applyNumberFormat="1" applyFont="1" applyFill="1" applyBorder="1" applyAlignment="1">
      <alignment horizontal="center" vertical="center"/>
    </xf>
    <xf numFmtId="197" fontId="16" fillId="0" borderId="150" xfId="0" applyNumberFormat="1" applyFont="1" applyFill="1" applyBorder="1" applyAlignment="1">
      <alignment horizontal="left" vertical="center"/>
    </xf>
    <xf numFmtId="197" fontId="16" fillId="0" borderId="150" xfId="0" applyNumberFormat="1" applyFont="1" applyFill="1" applyBorder="1" applyAlignment="1">
      <alignment horizontal="center" vertical="center"/>
    </xf>
    <xf numFmtId="197" fontId="16" fillId="0" borderId="174" xfId="0" applyNumberFormat="1" applyFont="1" applyBorder="1" applyAlignment="1">
      <alignment horizontal="right" vertical="center"/>
    </xf>
    <xf numFmtId="0" fontId="151" fillId="11" borderId="90" xfId="0" applyFont="1" applyFill="1" applyBorder="1" applyAlignment="1">
      <alignment horizontal="center" vertical="center"/>
    </xf>
    <xf numFmtId="0" fontId="18" fillId="11" borderId="151" xfId="0" applyFont="1" applyFill="1" applyBorder="1" applyAlignment="1">
      <alignment vertical="center"/>
    </xf>
    <xf numFmtId="0" fontId="16" fillId="11" borderId="152" xfId="0" applyFont="1" applyFill="1" applyBorder="1" applyAlignment="1">
      <alignment horizontal="center" vertical="center"/>
    </xf>
    <xf numFmtId="183" fontId="16" fillId="11" borderId="172" xfId="0" applyNumberFormat="1" applyFont="1" applyFill="1" applyBorder="1" applyAlignment="1">
      <alignment vertical="center"/>
    </xf>
    <xf numFmtId="183" fontId="16" fillId="11" borderId="167" xfId="0" applyNumberFormat="1" applyFont="1" applyFill="1" applyBorder="1" applyAlignment="1">
      <alignment vertical="center"/>
    </xf>
    <xf numFmtId="183" fontId="16" fillId="11" borderId="170" xfId="0" applyNumberFormat="1" applyFont="1" applyFill="1" applyBorder="1" applyAlignment="1">
      <alignment vertical="center"/>
    </xf>
    <xf numFmtId="197" fontId="16" fillId="11" borderId="151" xfId="0" applyNumberFormat="1" applyFont="1" applyFill="1" applyBorder="1" applyAlignment="1">
      <alignment horizontal="center" vertical="center"/>
    </xf>
    <xf numFmtId="197" fontId="16" fillId="11" borderId="152" xfId="0" applyNumberFormat="1" applyFont="1" applyFill="1" applyBorder="1" applyAlignment="1">
      <alignment horizontal="center" vertical="center"/>
    </xf>
    <xf numFmtId="181" fontId="16" fillId="11" borderId="172" xfId="0" applyNumberFormat="1" applyFont="1" applyFill="1" applyBorder="1" applyAlignment="1">
      <alignment vertical="center"/>
    </xf>
    <xf numFmtId="181" fontId="16" fillId="11" borderId="167" xfId="0" applyNumberFormat="1" applyFont="1" applyFill="1" applyBorder="1" applyAlignment="1">
      <alignment vertical="center"/>
    </xf>
    <xf numFmtId="181" fontId="16" fillId="11" borderId="170" xfId="0" applyNumberFormat="1" applyFont="1" applyFill="1" applyBorder="1" applyAlignment="1">
      <alignment vertical="center"/>
    </xf>
    <xf numFmtId="177" fontId="16" fillId="20" borderId="151" xfId="0" applyNumberFormat="1" applyFont="1" applyFill="1" applyBorder="1" applyAlignment="1">
      <alignment horizontal="right" vertical="center"/>
    </xf>
    <xf numFmtId="176" fontId="16" fillId="20" borderId="152" xfId="0" applyNumberFormat="1" applyFont="1" applyFill="1" applyBorder="1">
      <alignment vertical="center"/>
    </xf>
    <xf numFmtId="41" fontId="0" fillId="0" borderId="0" xfId="1" applyFont="1">
      <alignment vertical="center"/>
    </xf>
    <xf numFmtId="41" fontId="0" fillId="0" borderId="0" xfId="1" applyFont="1" applyFill="1">
      <alignment vertical="center"/>
    </xf>
    <xf numFmtId="197" fontId="0" fillId="0" borderId="0" xfId="5" applyNumberFormat="1" applyFont="1">
      <alignment vertical="center"/>
    </xf>
    <xf numFmtId="0" fontId="14" fillId="0" borderId="150" xfId="0" applyFont="1" applyBorder="1" applyAlignment="1">
      <alignment horizontal="center" vertical="center"/>
    </xf>
    <xf numFmtId="41" fontId="0" fillId="7" borderId="104" xfId="1" applyFont="1" applyFill="1" applyBorder="1" applyAlignment="1">
      <alignment horizontal="center" vertical="center"/>
    </xf>
    <xf numFmtId="197" fontId="0" fillId="7" borderId="104" xfId="5" applyNumberFormat="1" applyFont="1" applyFill="1" applyBorder="1" applyAlignment="1">
      <alignment horizontal="center" vertical="center"/>
    </xf>
    <xf numFmtId="178" fontId="0" fillId="0" borderId="21" xfId="0" applyNumberFormat="1" applyFont="1" applyBorder="1">
      <alignment vertical="center"/>
    </xf>
    <xf numFmtId="177" fontId="50" fillId="5" borderId="21" xfId="0" applyNumberFormat="1" applyFont="1" applyFill="1" applyBorder="1">
      <alignment vertical="center"/>
    </xf>
    <xf numFmtId="192" fontId="0" fillId="0" borderId="21" xfId="0" applyNumberFormat="1" applyBorder="1">
      <alignment vertical="center"/>
    </xf>
    <xf numFmtId="197" fontId="0" fillId="0" borderId="21" xfId="0" applyNumberFormat="1" applyFont="1" applyBorder="1">
      <alignment vertical="center"/>
    </xf>
    <xf numFmtId="177" fontId="0" fillId="0" borderId="21" xfId="0" applyNumberFormat="1" applyFont="1" applyBorder="1">
      <alignment vertical="center"/>
    </xf>
    <xf numFmtId="189" fontId="0" fillId="0" borderId="21" xfId="0" applyNumberFormat="1" applyFont="1" applyBorder="1">
      <alignment vertical="center"/>
    </xf>
    <xf numFmtId="180" fontId="0" fillId="32" borderId="21" xfId="0" applyNumberFormat="1" applyFill="1" applyBorder="1">
      <alignment vertical="center"/>
    </xf>
    <xf numFmtId="178" fontId="0" fillId="0" borderId="0" xfId="1" applyNumberFormat="1" applyFont="1" applyFill="1">
      <alignment vertical="center"/>
    </xf>
    <xf numFmtId="192" fontId="0" fillId="0" borderId="0" xfId="0" applyNumberFormat="1" applyFill="1">
      <alignment vertical="center"/>
    </xf>
    <xf numFmtId="197" fontId="0" fillId="0" borderId="0" xfId="5" applyNumberFormat="1" applyFont="1" applyFill="1">
      <alignment vertical="center"/>
    </xf>
    <xf numFmtId="180" fontId="0" fillId="0" borderId="0" xfId="0" applyNumberFormat="1" applyFill="1">
      <alignment vertical="center"/>
    </xf>
    <xf numFmtId="41" fontId="157" fillId="0" borderId="104" xfId="1" applyFont="1" applyBorder="1" applyAlignment="1">
      <alignment horizontal="center" vertical="center" wrapText="1"/>
    </xf>
    <xf numFmtId="0" fontId="157" fillId="0" borderId="119" xfId="0" applyFont="1" applyBorder="1" applyAlignment="1">
      <alignment horizontal="center" vertical="center" wrapText="1"/>
    </xf>
    <xf numFmtId="0" fontId="157" fillId="0" borderId="120" xfId="0" applyFont="1" applyBorder="1" applyAlignment="1">
      <alignment horizontal="center" vertical="center" wrapText="1"/>
    </xf>
    <xf numFmtId="41" fontId="157" fillId="0" borderId="96" xfId="1" applyFont="1" applyBorder="1" applyAlignment="1">
      <alignment horizontal="right" vertical="center" wrapText="1"/>
    </xf>
    <xf numFmtId="0" fontId="157" fillId="0" borderId="121" xfId="0" applyFont="1" applyBorder="1" applyAlignment="1">
      <alignment horizontal="center" vertical="center" wrapText="1"/>
    </xf>
    <xf numFmtId="41" fontId="115" fillId="0" borderId="150" xfId="1" applyFont="1" applyBorder="1">
      <alignment vertical="center"/>
    </xf>
    <xf numFmtId="180" fontId="157" fillId="0" borderId="27" xfId="0" applyNumberFormat="1" applyFont="1" applyBorder="1" applyAlignment="1">
      <alignment horizontal="center" vertical="center" wrapText="1"/>
    </xf>
    <xf numFmtId="0" fontId="49" fillId="21" borderId="150" xfId="0" applyFont="1" applyFill="1" applyBorder="1" applyAlignment="1">
      <alignment horizontal="center" vertical="center"/>
    </xf>
    <xf numFmtId="0" fontId="157" fillId="0" borderId="96" xfId="0" applyFont="1" applyBorder="1" applyAlignment="1">
      <alignment horizontal="center" vertical="center" wrapText="1"/>
    </xf>
    <xf numFmtId="0" fontId="0" fillId="0" borderId="167" xfId="0" applyBorder="1" applyAlignment="1">
      <alignment horizontal="center" vertical="center"/>
    </xf>
    <xf numFmtId="0" fontId="0" fillId="0" borderId="153" xfId="0" applyBorder="1">
      <alignment vertical="center"/>
    </xf>
    <xf numFmtId="0" fontId="0" fillId="0" borderId="166" xfId="0" applyBorder="1">
      <alignment vertical="center"/>
    </xf>
    <xf numFmtId="0" fontId="0" fillId="0" borderId="150" xfId="0" applyBorder="1" applyAlignment="1">
      <alignment vertical="center"/>
    </xf>
    <xf numFmtId="41" fontId="0" fillId="0" borderId="150" xfId="1" applyFont="1" applyBorder="1" applyAlignment="1">
      <alignment vertical="center"/>
    </xf>
    <xf numFmtId="0" fontId="0" fillId="0" borderId="20" xfId="0" applyBorder="1" applyAlignment="1">
      <alignment horizontal="center" vertical="center"/>
    </xf>
    <xf numFmtId="0" fontId="0" fillId="0" borderId="153" xfId="0" applyBorder="1" applyAlignment="1">
      <alignment horizontal="left" vertical="center"/>
    </xf>
    <xf numFmtId="0" fontId="0" fillId="0" borderId="166" xfId="0" applyBorder="1" applyAlignment="1">
      <alignment horizontal="left" vertical="center"/>
    </xf>
    <xf numFmtId="0" fontId="0" fillId="0" borderId="154" xfId="0" applyBorder="1" applyAlignment="1">
      <alignment horizontal="left" vertical="center"/>
    </xf>
    <xf numFmtId="181" fontId="0" fillId="0" borderId="150" xfId="0" applyNumberFormat="1" applyBorder="1" applyAlignment="1">
      <alignment vertical="center"/>
    </xf>
    <xf numFmtId="0" fontId="157" fillId="0" borderId="77" xfId="0" applyFont="1" applyBorder="1" applyAlignment="1">
      <alignment horizontal="center" vertical="center" wrapText="1"/>
    </xf>
    <xf numFmtId="41" fontId="157" fillId="0" borderId="167" xfId="1" applyFont="1" applyBorder="1" applyAlignment="1">
      <alignment horizontal="right" vertical="center" wrapText="1"/>
    </xf>
    <xf numFmtId="0" fontId="157" fillId="0" borderId="82" xfId="0" applyFont="1" applyBorder="1" applyAlignment="1">
      <alignment horizontal="center" vertical="center" wrapText="1"/>
    </xf>
    <xf numFmtId="0" fontId="157" fillId="0" borderId="28" xfId="0" applyFont="1" applyBorder="1" applyAlignment="1">
      <alignment horizontal="center" vertical="center" wrapText="1"/>
    </xf>
    <xf numFmtId="41" fontId="157" fillId="0" borderId="20" xfId="1" applyFont="1" applyBorder="1" applyAlignment="1">
      <alignment horizontal="right" vertical="center" wrapText="1"/>
    </xf>
    <xf numFmtId="0" fontId="157" fillId="0" borderId="94" xfId="0" applyFont="1" applyBorder="1" applyAlignment="1">
      <alignment horizontal="center" vertical="center" wrapText="1"/>
    </xf>
    <xf numFmtId="0" fontId="0" fillId="0" borderId="21" xfId="0" applyBorder="1" applyAlignment="1">
      <alignment horizontal="center" vertical="center"/>
    </xf>
    <xf numFmtId="41" fontId="0" fillId="0" borderId="150" xfId="1" applyFont="1" applyFill="1" applyBorder="1">
      <alignment vertical="center"/>
    </xf>
    <xf numFmtId="41" fontId="157" fillId="0" borderId="21" xfId="1" applyFont="1" applyBorder="1" applyAlignment="1">
      <alignment horizontal="right" vertical="center" wrapText="1"/>
    </xf>
    <xf numFmtId="0" fontId="157" fillId="0" borderId="95" xfId="0" applyFont="1" applyBorder="1" applyAlignment="1">
      <alignment horizontal="center" vertical="center" wrapText="1"/>
    </xf>
    <xf numFmtId="0" fontId="0" fillId="0" borderId="104" xfId="0" applyFont="1" applyBorder="1" applyAlignment="1">
      <alignment horizontal="center" vertical="center"/>
    </xf>
    <xf numFmtId="41" fontId="115" fillId="0" borderId="104" xfId="1" applyFont="1" applyBorder="1" applyAlignment="1">
      <alignment horizontal="center" vertical="center"/>
    </xf>
    <xf numFmtId="0" fontId="115" fillId="0" borderId="21" xfId="0" applyFont="1" applyBorder="1" applyAlignment="1">
      <alignment horizontal="center" vertical="center"/>
    </xf>
    <xf numFmtId="41" fontId="157" fillId="0" borderId="21" xfId="1" applyFont="1" applyBorder="1" applyAlignment="1">
      <alignment horizontal="center" vertical="center" wrapText="1"/>
    </xf>
    <xf numFmtId="0" fontId="0" fillId="21" borderId="153" xfId="0" applyFill="1" applyBorder="1" applyAlignment="1">
      <alignment horizontal="center" vertical="center"/>
    </xf>
    <xf numFmtId="0" fontId="0" fillId="21" borderId="166" xfId="0" applyFill="1" applyBorder="1" applyAlignment="1">
      <alignment horizontal="center" vertical="center"/>
    </xf>
    <xf numFmtId="0" fontId="0" fillId="21" borderId="154" xfId="0" applyFill="1" applyBorder="1" applyAlignment="1">
      <alignment horizontal="center" vertical="center"/>
    </xf>
    <xf numFmtId="41" fontId="48" fillId="21" borderId="150" xfId="18" applyNumberFormat="1" applyFill="1" applyBorder="1">
      <alignment vertical="center"/>
    </xf>
    <xf numFmtId="0" fontId="0" fillId="0" borderId="150" xfId="0" applyFont="1" applyBorder="1" applyAlignment="1">
      <alignment vertical="center"/>
    </xf>
    <xf numFmtId="0" fontId="49" fillId="21" borderId="153" xfId="0" applyFont="1" applyFill="1" applyBorder="1" applyAlignment="1">
      <alignment horizontal="center" vertical="center"/>
    </xf>
    <xf numFmtId="0" fontId="49" fillId="21" borderId="166" xfId="0" applyFont="1" applyFill="1" applyBorder="1" applyAlignment="1">
      <alignment horizontal="center" vertical="center"/>
    </xf>
    <xf numFmtId="0" fontId="49" fillId="21" borderId="154" xfId="0" applyFont="1" applyFill="1" applyBorder="1" applyAlignment="1">
      <alignment horizontal="center" vertical="center"/>
    </xf>
    <xf numFmtId="41" fontId="157" fillId="0" borderId="122" xfId="1" applyFont="1" applyBorder="1" applyAlignment="1">
      <alignment horizontal="right" vertical="center" wrapText="1"/>
    </xf>
    <xf numFmtId="0" fontId="157" fillId="0" borderId="122" xfId="0" applyFont="1" applyBorder="1" applyAlignment="1">
      <alignment horizontal="center" vertical="center" wrapText="1"/>
    </xf>
    <xf numFmtId="0" fontId="158" fillId="0" borderId="0" xfId="0" applyFont="1" applyBorder="1" applyAlignment="1">
      <alignment horizontal="right" vertical="center" wrapText="1" indent="1"/>
    </xf>
    <xf numFmtId="180" fontId="0" fillId="0" borderId="35" xfId="0" applyNumberFormat="1" applyBorder="1">
      <alignment vertical="center"/>
    </xf>
    <xf numFmtId="180" fontId="0" fillId="0" borderId="154" xfId="0" applyNumberFormat="1" applyBorder="1">
      <alignment vertical="center"/>
    </xf>
    <xf numFmtId="0" fontId="159" fillId="0" borderId="0" xfId="0" applyFont="1" applyBorder="1" applyAlignment="1">
      <alignment horizontal="right" vertical="center" wrapText="1" indent="1"/>
    </xf>
    <xf numFmtId="0" fontId="51" fillId="0" borderId="0" xfId="0" applyFont="1" applyAlignment="1">
      <alignment horizontal="left" vertical="center"/>
    </xf>
    <xf numFmtId="192" fontId="0" fillId="0" borderId="0" xfId="0" applyNumberFormat="1">
      <alignment vertical="center"/>
    </xf>
    <xf numFmtId="206" fontId="0" fillId="0" borderId="0" xfId="0" applyNumberFormat="1">
      <alignment vertical="center"/>
    </xf>
    <xf numFmtId="176" fontId="0" fillId="0" borderId="0" xfId="1" applyNumberFormat="1" applyFont="1" applyAlignment="1">
      <alignment horizontal="right" vertical="center"/>
    </xf>
    <xf numFmtId="0" fontId="161" fillId="0" borderId="0" xfId="0" applyNumberFormat="1" applyFont="1" applyBorder="1" applyAlignment="1">
      <alignment horizontal="left" vertical="center"/>
    </xf>
    <xf numFmtId="0" fontId="162" fillId="0" borderId="0" xfId="0" applyFont="1" applyFill="1" applyAlignment="1">
      <alignment horizontal="center" vertical="center"/>
    </xf>
    <xf numFmtId="0" fontId="42" fillId="0" borderId="0" xfId="0" applyNumberFormat="1" applyFont="1" applyBorder="1" applyAlignment="1">
      <alignment vertical="center"/>
    </xf>
    <xf numFmtId="0" fontId="163" fillId="0" borderId="0" xfId="0" applyNumberFormat="1" applyFont="1" applyBorder="1" applyAlignment="1">
      <alignment horizontal="left" vertical="center"/>
    </xf>
    <xf numFmtId="0" fontId="164" fillId="0" borderId="0" xfId="0" applyNumberFormat="1" applyFont="1">
      <alignment vertical="center"/>
    </xf>
    <xf numFmtId="0" fontId="23" fillId="0" borderId="150" xfId="0" applyFont="1" applyBorder="1" applyAlignment="1">
      <alignment horizontal="center" vertical="center"/>
    </xf>
    <xf numFmtId="0" fontId="21" fillId="0" borderId="150" xfId="0" applyFont="1" applyBorder="1" applyAlignment="1">
      <alignment horizontal="center" vertical="center"/>
    </xf>
    <xf numFmtId="0" fontId="21" fillId="0" borderId="150" xfId="0" quotePrefix="1" applyFont="1" applyBorder="1" applyAlignment="1">
      <alignment horizontal="center" vertical="center"/>
    </xf>
    <xf numFmtId="0" fontId="165" fillId="0" borderId="0" xfId="0" applyNumberFormat="1" applyFont="1" applyBorder="1" applyAlignment="1">
      <alignment horizontal="left" vertical="center"/>
    </xf>
    <xf numFmtId="0" fontId="41" fillId="0" borderId="0" xfId="0" applyNumberFormat="1" applyFont="1" applyBorder="1" applyAlignment="1">
      <alignment horizontal="left" vertical="center"/>
    </xf>
    <xf numFmtId="0" fontId="41" fillId="0" borderId="0" xfId="0" applyNumberFormat="1" applyFont="1">
      <alignment vertical="center"/>
    </xf>
    <xf numFmtId="41" fontId="23" fillId="0" borderId="150" xfId="1" applyFont="1" applyBorder="1" applyAlignment="1">
      <alignment vertical="center"/>
    </xf>
    <xf numFmtId="0" fontId="23" fillId="0" borderId="150" xfId="0" applyFont="1" applyBorder="1" applyAlignment="1">
      <alignment vertical="center"/>
    </xf>
    <xf numFmtId="41" fontId="21" fillId="0" borderId="150" xfId="1" applyFont="1" applyBorder="1" applyAlignment="1">
      <alignment horizontal="center" vertical="center"/>
    </xf>
    <xf numFmtId="0" fontId="166" fillId="0" borderId="0" xfId="0" applyFont="1">
      <alignment vertical="center"/>
    </xf>
    <xf numFmtId="41" fontId="167" fillId="0" borderId="150" xfId="1" applyFont="1" applyBorder="1" applyAlignment="1">
      <alignment horizontal="center" vertical="center"/>
    </xf>
    <xf numFmtId="41" fontId="128" fillId="0" borderId="150" xfId="1" applyFont="1" applyBorder="1" applyAlignment="1">
      <alignment vertical="center"/>
    </xf>
    <xf numFmtId="0" fontId="40" fillId="0" borderId="0" xfId="0" applyFont="1">
      <alignment vertical="center"/>
    </xf>
    <xf numFmtId="0" fontId="28" fillId="0" borderId="0" xfId="0" applyFont="1" applyFill="1" applyBorder="1">
      <alignment vertical="center"/>
    </xf>
    <xf numFmtId="0" fontId="29" fillId="0" borderId="0" xfId="0" applyFont="1" applyFill="1" applyBorder="1" applyAlignment="1">
      <alignment vertical="center"/>
    </xf>
    <xf numFmtId="0" fontId="21" fillId="0" borderId="0" xfId="0" applyFont="1" applyFill="1" applyBorder="1" applyAlignment="1">
      <alignment vertical="center"/>
    </xf>
    <xf numFmtId="0" fontId="0" fillId="0" borderId="0" xfId="0" applyFill="1" applyBorder="1">
      <alignment vertical="center"/>
    </xf>
    <xf numFmtId="0" fontId="24" fillId="0" borderId="0" xfId="0" applyFont="1">
      <alignment vertical="center"/>
    </xf>
    <xf numFmtId="0" fontId="115" fillId="0" borderId="0" xfId="0" applyFont="1" applyBorder="1">
      <alignment vertical="center"/>
    </xf>
    <xf numFmtId="0" fontId="29" fillId="0" borderId="0" xfId="0" applyFont="1" applyFill="1" applyBorder="1" applyAlignment="1">
      <alignment horizontal="center" vertical="center"/>
    </xf>
    <xf numFmtId="0" fontId="29" fillId="0" borderId="16" xfId="0" applyFont="1" applyFill="1" applyBorder="1" applyAlignment="1">
      <alignment horizontal="center" vertical="center"/>
    </xf>
    <xf numFmtId="0" fontId="165" fillId="0" borderId="16" xfId="0" applyFont="1" applyBorder="1">
      <alignment vertical="center"/>
    </xf>
    <xf numFmtId="0" fontId="29" fillId="31" borderId="150" xfId="0" applyFont="1" applyFill="1" applyBorder="1" applyAlignment="1">
      <alignment horizontal="center" vertical="center"/>
    </xf>
    <xf numFmtId="0" fontId="29" fillId="0" borderId="150" xfId="0" applyFont="1" applyFill="1" applyBorder="1" applyAlignment="1">
      <alignment horizontal="center" vertical="center"/>
    </xf>
    <xf numFmtId="0" fontId="21" fillId="0" borderId="150" xfId="0" applyFont="1" applyBorder="1" applyAlignment="1">
      <alignment vertical="center"/>
    </xf>
    <xf numFmtId="0" fontId="29" fillId="0" borderId="0" xfId="0" applyFont="1" applyBorder="1" applyAlignment="1">
      <alignment vertical="center"/>
    </xf>
    <xf numFmtId="0" fontId="21" fillId="0" borderId="0" xfId="0" applyFont="1" applyBorder="1" applyAlignment="1">
      <alignment horizontal="left" vertical="center"/>
    </xf>
    <xf numFmtId="3" fontId="21" fillId="33" borderId="0" xfId="0" applyNumberFormat="1" applyFont="1" applyFill="1" applyBorder="1" applyAlignment="1">
      <alignment vertical="center"/>
    </xf>
    <xf numFmtId="0" fontId="21" fillId="0" borderId="0" xfId="0" applyFont="1" applyFill="1" applyBorder="1" applyAlignment="1">
      <alignment horizontal="left" vertical="center"/>
    </xf>
    <xf numFmtId="3" fontId="21" fillId="0" borderId="0" xfId="0" applyNumberFormat="1" applyFont="1" applyFill="1" applyBorder="1" applyAlignment="1">
      <alignment vertical="center"/>
    </xf>
    <xf numFmtId="0" fontId="21" fillId="0" borderId="0" xfId="0" applyFont="1" applyFill="1" applyBorder="1" applyAlignment="1">
      <alignment horizontal="right" vertical="center"/>
    </xf>
    <xf numFmtId="0" fontId="21" fillId="0" borderId="16" xfId="0" applyFont="1" applyBorder="1" applyAlignment="1">
      <alignment vertical="center"/>
    </xf>
    <xf numFmtId="41" fontId="29" fillId="0" borderId="16" xfId="0" applyNumberFormat="1" applyFont="1" applyBorder="1" applyAlignment="1">
      <alignment horizontal="center" vertical="center"/>
    </xf>
    <xf numFmtId="0" fontId="3" fillId="0" borderId="16" xfId="0" applyFont="1" applyBorder="1">
      <alignment vertical="center"/>
    </xf>
    <xf numFmtId="179" fontId="29" fillId="31" borderId="150" xfId="0" applyNumberFormat="1" applyFont="1" applyFill="1" applyBorder="1" applyAlignment="1">
      <alignment horizontal="centerContinuous" vertical="center"/>
    </xf>
    <xf numFmtId="0" fontId="21" fillId="31" borderId="150" xfId="0" applyFont="1" applyFill="1" applyBorder="1" applyAlignment="1">
      <alignment horizontal="centerContinuous" vertical="center"/>
    </xf>
    <xf numFmtId="41" fontId="29" fillId="0" borderId="150" xfId="0" applyNumberFormat="1" applyFont="1" applyFill="1" applyBorder="1" applyAlignment="1">
      <alignment horizontal="center" vertical="center"/>
    </xf>
    <xf numFmtId="41" fontId="21" fillId="0" borderId="150" xfId="1" applyFont="1" applyBorder="1" applyAlignment="1">
      <alignment vertical="center"/>
    </xf>
    <xf numFmtId="0" fontId="165" fillId="0" borderId="0" xfId="0" applyFont="1">
      <alignment vertical="center"/>
    </xf>
    <xf numFmtId="0" fontId="0" fillId="0" borderId="0" xfId="0" applyAlignment="1" applyProtection="1">
      <alignment vertical="center"/>
    </xf>
    <xf numFmtId="0" fontId="168" fillId="0" borderId="27" xfId="0" applyFont="1" applyBorder="1" applyAlignment="1">
      <alignment horizontal="center" vertical="center" wrapText="1"/>
    </xf>
    <xf numFmtId="177" fontId="168" fillId="0" borderId="27" xfId="0" applyNumberFormat="1" applyFont="1" applyBorder="1" applyAlignment="1">
      <alignment horizontal="center" vertical="center" wrapText="1"/>
    </xf>
    <xf numFmtId="0" fontId="16" fillId="0" borderId="0" xfId="0" applyNumberFormat="1" applyFont="1" applyBorder="1" applyAlignment="1">
      <alignment horizontal="left" vertical="center"/>
    </xf>
    <xf numFmtId="0" fontId="16" fillId="0" borderId="0" xfId="0" applyNumberFormat="1" applyFont="1">
      <alignment vertical="center"/>
    </xf>
    <xf numFmtId="0" fontId="47" fillId="0" borderId="0" xfId="0" applyNumberFormat="1" applyFont="1" applyBorder="1" applyAlignment="1">
      <alignment vertical="center"/>
    </xf>
    <xf numFmtId="0" fontId="47" fillId="0" borderId="0" xfId="0" applyNumberFormat="1" applyFont="1" applyBorder="1" applyAlignment="1">
      <alignment horizontal="left" vertical="center"/>
    </xf>
    <xf numFmtId="0" fontId="16" fillId="0" borderId="0" xfId="0" applyFont="1" applyFill="1" applyAlignment="1">
      <alignment horizontal="center"/>
    </xf>
    <xf numFmtId="0" fontId="47" fillId="0" borderId="0" xfId="0" applyFont="1" applyFill="1">
      <alignment vertical="center"/>
    </xf>
    <xf numFmtId="0" fontId="115" fillId="0" borderId="0" xfId="0" applyFont="1">
      <alignment vertical="center"/>
    </xf>
    <xf numFmtId="0" fontId="16" fillId="0" borderId="0" xfId="0" applyFont="1" applyAlignment="1">
      <alignment horizontal="right" vertical="center"/>
    </xf>
    <xf numFmtId="281" fontId="16" fillId="0" borderId="0" xfId="0" applyNumberFormat="1" applyFont="1" applyAlignment="1">
      <alignment horizontal="center" vertical="center"/>
    </xf>
    <xf numFmtId="281" fontId="16" fillId="0" borderId="0" xfId="0" applyNumberFormat="1" applyFont="1">
      <alignment vertical="center"/>
    </xf>
    <xf numFmtId="0" fontId="16" fillId="0" borderId="31" xfId="0" applyFont="1" applyBorder="1">
      <alignment vertical="center"/>
    </xf>
    <xf numFmtId="0" fontId="16" fillId="0" borderId="26" xfId="0" applyFont="1" applyBorder="1">
      <alignment vertical="center"/>
    </xf>
    <xf numFmtId="0" fontId="16" fillId="0" borderId="26" xfId="0" applyFont="1" applyBorder="1" applyAlignment="1">
      <alignment horizontal="center" vertical="center"/>
    </xf>
    <xf numFmtId="0" fontId="16" fillId="0" borderId="37" xfId="0" applyFont="1" applyBorder="1">
      <alignment vertical="center"/>
    </xf>
    <xf numFmtId="0" fontId="16" fillId="0" borderId="32" xfId="0" applyFont="1" applyFill="1" applyBorder="1" applyAlignment="1">
      <alignment horizontal="center" vertical="center"/>
    </xf>
    <xf numFmtId="0" fontId="16" fillId="0" borderId="42" xfId="0" applyFont="1" applyBorder="1">
      <alignment vertical="center"/>
    </xf>
    <xf numFmtId="0" fontId="16" fillId="0" borderId="42" xfId="0" applyFont="1" applyBorder="1" applyAlignment="1">
      <alignment horizontal="center" vertical="center"/>
    </xf>
    <xf numFmtId="0" fontId="16" fillId="0" borderId="39" xfId="0" applyFont="1" applyBorder="1">
      <alignment vertical="center"/>
    </xf>
    <xf numFmtId="0" fontId="16" fillId="0" borderId="33" xfId="0" applyFont="1" applyFill="1" applyBorder="1" applyAlignment="1">
      <alignment horizontal="center" vertical="center"/>
    </xf>
    <xf numFmtId="0" fontId="16" fillId="0" borderId="43" xfId="0" applyFont="1" applyBorder="1">
      <alignment vertical="center"/>
    </xf>
    <xf numFmtId="0" fontId="16" fillId="0" borderId="43" xfId="0" applyFont="1" applyBorder="1" applyAlignment="1">
      <alignment horizontal="center" vertical="center"/>
    </xf>
    <xf numFmtId="0" fontId="16" fillId="0" borderId="44" xfId="0" applyFont="1" applyBorder="1">
      <alignment vertical="center"/>
    </xf>
    <xf numFmtId="0" fontId="41" fillId="0" borderId="0" xfId="0" applyFont="1" applyFill="1">
      <alignment vertical="center"/>
    </xf>
    <xf numFmtId="0" fontId="41" fillId="0" borderId="0" xfId="0" applyFont="1">
      <alignment vertical="center"/>
    </xf>
    <xf numFmtId="0" fontId="47" fillId="0" borderId="0" xfId="0" applyFont="1" applyFill="1" applyAlignment="1">
      <alignment horizontal="left" vertical="center"/>
    </xf>
    <xf numFmtId="193" fontId="16" fillId="0" borderId="0" xfId="0" applyNumberFormat="1" applyFont="1" applyFill="1" applyAlignment="1">
      <alignment vertical="center"/>
    </xf>
    <xf numFmtId="0" fontId="47" fillId="0" borderId="41" xfId="0" applyFont="1" applyFill="1" applyBorder="1" applyAlignment="1">
      <alignment horizontal="center" vertical="center"/>
    </xf>
    <xf numFmtId="0" fontId="128" fillId="0" borderId="0" xfId="0" applyFont="1">
      <alignment vertical="center"/>
    </xf>
    <xf numFmtId="0" fontId="14" fillId="0" borderId="0" xfId="0" applyFont="1" applyAlignment="1" applyProtection="1">
      <alignment vertical="center"/>
    </xf>
    <xf numFmtId="0" fontId="49" fillId="0" borderId="0" xfId="0" applyFont="1">
      <alignment vertical="center"/>
    </xf>
    <xf numFmtId="0" fontId="15" fillId="7" borderId="21" xfId="0" applyFont="1" applyFill="1" applyBorder="1" applyAlignment="1">
      <alignment horizontal="center" vertical="center"/>
    </xf>
    <xf numFmtId="9" fontId="15" fillId="0" borderId="150" xfId="5" applyFont="1" applyFill="1" applyBorder="1">
      <alignment vertical="center"/>
    </xf>
    <xf numFmtId="41" fontId="15" fillId="0" borderId="150" xfId="0" applyNumberFormat="1" applyFont="1" applyFill="1" applyBorder="1">
      <alignment vertical="center"/>
    </xf>
    <xf numFmtId="0" fontId="15" fillId="0" borderId="150" xfId="0" applyFont="1" applyFill="1" applyBorder="1" applyAlignment="1">
      <alignment horizontal="center" vertical="center"/>
    </xf>
    <xf numFmtId="0" fontId="15" fillId="0" borderId="154" xfId="0" applyFont="1" applyFill="1" applyBorder="1" applyAlignment="1">
      <alignment horizontal="left" vertical="center"/>
    </xf>
    <xf numFmtId="0" fontId="15" fillId="0" borderId="166" xfId="0" applyFont="1" applyFill="1" applyBorder="1" applyAlignment="1">
      <alignment horizontal="left" vertical="center"/>
    </xf>
    <xf numFmtId="0" fontId="15" fillId="0" borderId="153" xfId="0" applyFont="1" applyFill="1" applyBorder="1" applyAlignment="1">
      <alignment horizontal="left" vertical="center"/>
    </xf>
    <xf numFmtId="9" fontId="15" fillId="7" borderId="150" xfId="5" applyFont="1" applyFill="1" applyBorder="1">
      <alignment vertical="center"/>
    </xf>
    <xf numFmtId="41" fontId="15" fillId="7" borderId="21" xfId="0" applyNumberFormat="1" applyFont="1" applyFill="1" applyBorder="1">
      <alignment vertical="center"/>
    </xf>
    <xf numFmtId="43" fontId="0" fillId="0" borderId="0" xfId="0" applyNumberFormat="1" applyBorder="1" applyAlignment="1">
      <alignment horizontal="center" vertical="center"/>
    </xf>
    <xf numFmtId="41" fontId="0" fillId="0" borderId="0" xfId="0" applyNumberFormat="1" applyBorder="1" applyAlignment="1">
      <alignment horizontal="center" vertical="center"/>
    </xf>
    <xf numFmtId="0" fontId="0" fillId="0" borderId="0" xfId="0" applyBorder="1" applyAlignment="1">
      <alignment horizontal="center" vertical="center"/>
    </xf>
    <xf numFmtId="0" fontId="15" fillId="7" borderId="21" xfId="0" applyFont="1" applyFill="1" applyBorder="1">
      <alignment vertical="center"/>
    </xf>
    <xf numFmtId="0" fontId="15" fillId="34" borderId="104" xfId="0" applyFont="1" applyFill="1" applyBorder="1" applyAlignment="1">
      <alignment horizontal="center" vertical="center"/>
    </xf>
    <xf numFmtId="41" fontId="15" fillId="7" borderId="150" xfId="0" applyNumberFormat="1" applyFont="1" applyFill="1" applyBorder="1">
      <alignment vertical="center"/>
    </xf>
    <xf numFmtId="0" fontId="15" fillId="7" borderId="150" xfId="0" applyFont="1" applyFill="1" applyBorder="1" applyAlignment="1">
      <alignment horizontal="center" vertical="center"/>
    </xf>
    <xf numFmtId="0" fontId="15" fillId="7" borderId="150" xfId="0" applyFont="1" applyFill="1" applyBorder="1">
      <alignment vertical="center"/>
    </xf>
    <xf numFmtId="0" fontId="0" fillId="0" borderId="0" xfId="0">
      <alignment vertical="center"/>
    </xf>
    <xf numFmtId="0" fontId="23" fillId="0" borderId="0" xfId="9" applyFont="1" applyFill="1" applyAlignment="1">
      <alignment vertical="center"/>
    </xf>
    <xf numFmtId="0" fontId="16" fillId="0" borderId="0" xfId="0" applyFont="1" applyFill="1">
      <alignment vertical="center"/>
    </xf>
    <xf numFmtId="0" fontId="49" fillId="22" borderId="0" xfId="0" applyFont="1" applyFill="1">
      <alignment vertical="center"/>
    </xf>
    <xf numFmtId="0" fontId="0" fillId="22" borderId="0" xfId="0" applyFill="1">
      <alignment vertical="center"/>
    </xf>
    <xf numFmtId="0" fontId="29" fillId="17" borderId="150" xfId="0" applyFont="1" applyFill="1" applyBorder="1" applyAlignment="1">
      <alignment horizontal="center" vertical="center"/>
    </xf>
    <xf numFmtId="0" fontId="21" fillId="0" borderId="178" xfId="0" applyFont="1" applyBorder="1" applyAlignment="1">
      <alignment vertical="center"/>
    </xf>
    <xf numFmtId="41" fontId="21" fillId="0" borderId="0" xfId="1" applyFont="1" applyBorder="1" applyAlignment="1">
      <alignment horizontal="center" vertical="center"/>
    </xf>
    <xf numFmtId="0" fontId="0" fillId="22" borderId="178" xfId="0" applyFill="1" applyBorder="1">
      <alignment vertical="center"/>
    </xf>
    <xf numFmtId="41" fontId="21" fillId="0" borderId="178" xfId="1" applyFont="1" applyBorder="1" applyAlignment="1">
      <alignment horizontal="center" vertical="center"/>
    </xf>
    <xf numFmtId="0" fontId="21" fillId="0" borderId="178" xfId="0" applyFont="1" applyBorder="1" applyAlignment="1">
      <alignment horizontal="center" vertical="center"/>
    </xf>
    <xf numFmtId="0" fontId="0" fillId="0" borderId="0" xfId="0">
      <alignment vertical="center"/>
    </xf>
    <xf numFmtId="0" fontId="21" fillId="0" borderId="0" xfId="0" applyFont="1" applyBorder="1" applyAlignment="1">
      <alignment vertical="center"/>
    </xf>
    <xf numFmtId="0" fontId="176" fillId="0" borderId="0" xfId="16" applyFont="1">
      <alignment vertical="center"/>
    </xf>
    <xf numFmtId="0" fontId="3" fillId="35" borderId="181" xfId="16" applyFont="1" applyFill="1" applyBorder="1" applyAlignment="1">
      <alignment horizontal="left" vertical="center" indent="1"/>
    </xf>
    <xf numFmtId="41" fontId="3" fillId="35" borderId="181" xfId="4" applyFont="1" applyFill="1" applyBorder="1" applyAlignment="1">
      <alignment horizontal="left" vertical="center" indent="1"/>
    </xf>
    <xf numFmtId="41" fontId="3" fillId="35" borderId="178" xfId="4" applyFont="1" applyFill="1" applyBorder="1" applyAlignment="1">
      <alignment horizontal="left" vertical="center" indent="1"/>
    </xf>
    <xf numFmtId="0" fontId="3" fillId="35" borderId="178" xfId="16" applyFont="1" applyFill="1" applyBorder="1" applyAlignment="1">
      <alignment horizontal="left" vertical="center" indent="1"/>
    </xf>
    <xf numFmtId="0" fontId="3" fillId="35" borderId="179" xfId="16" applyFont="1" applyFill="1" applyBorder="1" applyAlignment="1">
      <alignment horizontal="left" vertical="center" indent="1"/>
    </xf>
    <xf numFmtId="0" fontId="3" fillId="0" borderId="37" xfId="16" applyFill="1" applyBorder="1" applyAlignment="1">
      <alignment horizontal="left" vertical="center" indent="2"/>
    </xf>
    <xf numFmtId="0" fontId="3" fillId="0" borderId="38" xfId="16" applyFont="1" applyFill="1" applyBorder="1">
      <alignment vertical="center"/>
    </xf>
    <xf numFmtId="0" fontId="3" fillId="0" borderId="38" xfId="16" applyFont="1" applyFill="1" applyBorder="1" applyAlignment="1">
      <alignment horizontal="center" vertical="center"/>
    </xf>
    <xf numFmtId="41" fontId="3" fillId="0" borderId="38" xfId="4" applyFont="1" applyFill="1" applyBorder="1">
      <alignment vertical="center"/>
    </xf>
    <xf numFmtId="0" fontId="3" fillId="0" borderId="31" xfId="16" applyFill="1" applyBorder="1" applyAlignment="1">
      <alignment horizontal="center" vertical="center"/>
    </xf>
    <xf numFmtId="0" fontId="3" fillId="0" borderId="39" xfId="16" applyFill="1" applyBorder="1" applyAlignment="1">
      <alignment horizontal="left" vertical="center" indent="2"/>
    </xf>
    <xf numFmtId="0" fontId="3" fillId="0" borderId="40" xfId="16" applyFont="1" applyFill="1" applyBorder="1">
      <alignment vertical="center"/>
    </xf>
    <xf numFmtId="0" fontId="3" fillId="0" borderId="40" xfId="16" applyFont="1" applyFill="1" applyBorder="1" applyAlignment="1">
      <alignment horizontal="center" vertical="center"/>
    </xf>
    <xf numFmtId="41" fontId="3" fillId="0" borderId="40" xfId="4" applyFont="1" applyFill="1" applyBorder="1">
      <alignment vertical="center"/>
    </xf>
    <xf numFmtId="0" fontId="3" fillId="0" borderId="32" xfId="16" applyFill="1" applyBorder="1" applyAlignment="1">
      <alignment horizontal="center" vertical="center"/>
    </xf>
    <xf numFmtId="0" fontId="3" fillId="35" borderId="178" xfId="16" applyFont="1" applyFill="1" applyBorder="1">
      <alignment vertical="center"/>
    </xf>
    <xf numFmtId="41" fontId="3" fillId="35" borderId="178" xfId="4" applyFont="1" applyFill="1" applyBorder="1">
      <alignment vertical="center"/>
    </xf>
    <xf numFmtId="0" fontId="3" fillId="35" borderId="179" xfId="16" applyFont="1" applyFill="1" applyBorder="1" applyAlignment="1">
      <alignment horizontal="center" vertical="center"/>
    </xf>
    <xf numFmtId="0" fontId="3" fillId="0" borderId="37" xfId="16" applyFont="1" applyBorder="1" applyAlignment="1">
      <alignment horizontal="left" vertical="center" indent="2"/>
    </xf>
    <xf numFmtId="0" fontId="3" fillId="0" borderId="38" xfId="16" applyFont="1" applyBorder="1">
      <alignment vertical="center"/>
    </xf>
    <xf numFmtId="0" fontId="3" fillId="0" borderId="38" xfId="16" applyFont="1" applyBorder="1" applyAlignment="1">
      <alignment horizontal="center" vertical="center"/>
    </xf>
    <xf numFmtId="41" fontId="3" fillId="0" borderId="38" xfId="4" applyFont="1" applyBorder="1">
      <alignment vertical="center"/>
    </xf>
    <xf numFmtId="0" fontId="3" fillId="0" borderId="185" xfId="16" applyFont="1" applyBorder="1" applyAlignment="1">
      <alignment horizontal="left" vertical="center" indent="2"/>
    </xf>
    <xf numFmtId="0" fontId="3" fillId="0" borderId="186" xfId="16" applyFont="1" applyBorder="1">
      <alignment vertical="center"/>
    </xf>
    <xf numFmtId="0" fontId="3" fillId="0" borderId="186" xfId="16" applyFont="1" applyBorder="1" applyAlignment="1">
      <alignment horizontal="center" vertical="center"/>
    </xf>
    <xf numFmtId="41" fontId="3" fillId="0" borderId="186" xfId="4" applyFont="1" applyBorder="1">
      <alignment vertical="center"/>
    </xf>
    <xf numFmtId="0" fontId="3" fillId="0" borderId="0" xfId="16" applyFont="1" applyBorder="1">
      <alignment vertical="center"/>
    </xf>
    <xf numFmtId="0" fontId="3" fillId="0" borderId="39" xfId="16" applyFont="1" applyBorder="1" applyAlignment="1">
      <alignment horizontal="left" vertical="center" indent="2"/>
    </xf>
    <xf numFmtId="0" fontId="3" fillId="0" borderId="40" xfId="16" applyFont="1" applyBorder="1">
      <alignment vertical="center"/>
    </xf>
    <xf numFmtId="0" fontId="3" fillId="0" borderId="40" xfId="16" applyFont="1" applyBorder="1" applyAlignment="1">
      <alignment horizontal="center" vertical="center"/>
    </xf>
    <xf numFmtId="41" fontId="3" fillId="0" borderId="40" xfId="4" applyFont="1" applyBorder="1">
      <alignment vertical="center"/>
    </xf>
    <xf numFmtId="0" fontId="3" fillId="0" borderId="44" xfId="16" applyBorder="1" applyAlignment="1">
      <alignment horizontal="left" vertical="center" indent="2"/>
    </xf>
    <xf numFmtId="0" fontId="3" fillId="0" borderId="41" xfId="16" applyFont="1" applyBorder="1">
      <alignment vertical="center"/>
    </xf>
    <xf numFmtId="0" fontId="3" fillId="0" borderId="41" xfId="16" applyFont="1" applyBorder="1" applyAlignment="1">
      <alignment horizontal="center" vertical="center"/>
    </xf>
    <xf numFmtId="41" fontId="3" fillId="0" borderId="41" xfId="4" applyFont="1" applyBorder="1">
      <alignment vertical="center"/>
    </xf>
    <xf numFmtId="0" fontId="3" fillId="35" borderId="181" xfId="16" applyFill="1" applyBorder="1" applyAlignment="1">
      <alignment horizontal="left" vertical="center" indent="1"/>
    </xf>
    <xf numFmtId="0" fontId="3" fillId="35" borderId="178" xfId="16" applyFont="1" applyFill="1" applyBorder="1" applyAlignment="1">
      <alignment horizontal="center" vertical="center"/>
    </xf>
    <xf numFmtId="0" fontId="3" fillId="35" borderId="179" xfId="16" applyFill="1" applyBorder="1" applyAlignment="1">
      <alignment horizontal="center" vertical="center"/>
    </xf>
    <xf numFmtId="0" fontId="3" fillId="0" borderId="181" xfId="16" applyBorder="1" applyAlignment="1">
      <alignment horizontal="center" vertical="center"/>
    </xf>
    <xf numFmtId="0" fontId="3" fillId="0" borderId="178" xfId="16" applyFont="1" applyBorder="1">
      <alignment vertical="center"/>
    </xf>
    <xf numFmtId="41" fontId="3" fillId="0" borderId="178" xfId="4" applyFont="1" applyBorder="1">
      <alignment vertical="center"/>
    </xf>
    <xf numFmtId="0" fontId="3" fillId="0" borderId="179" xfId="16" applyBorder="1" applyAlignment="1">
      <alignment horizontal="center" vertical="center" wrapText="1"/>
    </xf>
    <xf numFmtId="178" fontId="3" fillId="0" borderId="0" xfId="16" applyNumberFormat="1" applyFont="1">
      <alignment vertical="center"/>
    </xf>
    <xf numFmtId="0" fontId="3" fillId="0" borderId="165" xfId="16" applyBorder="1" applyAlignment="1">
      <alignment horizontal="center" vertical="center"/>
    </xf>
    <xf numFmtId="0" fontId="3" fillId="0" borderId="167" xfId="16" applyFont="1" applyBorder="1">
      <alignment vertical="center"/>
    </xf>
    <xf numFmtId="41" fontId="3" fillId="0" borderId="167" xfId="4" applyFont="1" applyBorder="1">
      <alignment vertical="center"/>
    </xf>
    <xf numFmtId="0" fontId="3" fillId="0" borderId="163" xfId="16" applyBorder="1" applyAlignment="1">
      <alignment horizontal="center" vertical="center" wrapText="1"/>
    </xf>
    <xf numFmtId="0" fontId="3" fillId="35" borderId="159" xfId="16" applyFill="1" applyBorder="1" applyAlignment="1">
      <alignment horizontal="left" vertical="center" indent="1"/>
    </xf>
    <xf numFmtId="0" fontId="3" fillId="35" borderId="187" xfId="16" applyFont="1" applyFill="1" applyBorder="1">
      <alignment vertical="center"/>
    </xf>
    <xf numFmtId="41" fontId="3" fillId="35" borderId="187" xfId="4" applyFont="1" applyFill="1" applyBorder="1">
      <alignment vertical="center"/>
    </xf>
    <xf numFmtId="192" fontId="3" fillId="35" borderId="187" xfId="4" applyNumberFormat="1" applyFont="1" applyFill="1" applyBorder="1">
      <alignment vertical="center"/>
    </xf>
    <xf numFmtId="0" fontId="3" fillId="35" borderId="188" xfId="16" applyFill="1" applyBorder="1" applyAlignment="1">
      <alignment horizontal="center" vertical="center"/>
    </xf>
    <xf numFmtId="0" fontId="3" fillId="0" borderId="35" xfId="16" applyFont="1" applyBorder="1" applyAlignment="1">
      <alignment horizontal="center" vertical="center"/>
    </xf>
    <xf numFmtId="0" fontId="3" fillId="0" borderId="21" xfId="16" applyFont="1" applyBorder="1">
      <alignment vertical="center"/>
    </xf>
    <xf numFmtId="41" fontId="3" fillId="0" borderId="21" xfId="4" applyFont="1" applyBorder="1">
      <alignment vertical="center"/>
    </xf>
    <xf numFmtId="0" fontId="3" fillId="0" borderId="36" xfId="16" applyBorder="1" applyAlignment="1">
      <alignment horizontal="center" vertical="center"/>
    </xf>
    <xf numFmtId="41" fontId="3" fillId="0" borderId="0" xfId="16" applyNumberFormat="1" applyFont="1">
      <alignment vertical="center"/>
    </xf>
    <xf numFmtId="43" fontId="3" fillId="0" borderId="0" xfId="16" applyNumberFormat="1" applyFont="1">
      <alignment vertical="center"/>
    </xf>
    <xf numFmtId="0" fontId="3" fillId="0" borderId="0" xfId="16">
      <alignment vertical="center"/>
    </xf>
    <xf numFmtId="0" fontId="177" fillId="0" borderId="16" xfId="16" applyFont="1" applyBorder="1" applyAlignment="1">
      <alignment vertical="center"/>
    </xf>
    <xf numFmtId="177" fontId="3" fillId="0" borderId="16" xfId="16" applyNumberFormat="1" applyBorder="1">
      <alignment vertical="center"/>
    </xf>
    <xf numFmtId="177" fontId="3" fillId="0" borderId="16" xfId="16" applyNumberFormat="1" applyBorder="1" applyAlignment="1">
      <alignment horizontal="center" vertical="center"/>
    </xf>
    <xf numFmtId="177" fontId="3" fillId="35" borderId="136" xfId="16" applyNumberFormat="1" applyFill="1" applyBorder="1" applyAlignment="1">
      <alignment horizontal="center" vertical="center"/>
    </xf>
    <xf numFmtId="177" fontId="178" fillId="0" borderId="31" xfId="16" applyNumberFormat="1" applyFont="1" applyBorder="1">
      <alignment vertical="center"/>
    </xf>
    <xf numFmtId="177" fontId="176" fillId="0" borderId="135" xfId="16" applyNumberFormat="1" applyFont="1" applyBorder="1">
      <alignment vertical="center"/>
    </xf>
    <xf numFmtId="177" fontId="176" fillId="0" borderId="47" xfId="16" applyNumberFormat="1" applyFont="1" applyBorder="1" applyAlignment="1">
      <alignment horizontal="center" vertical="center"/>
    </xf>
    <xf numFmtId="177" fontId="176" fillId="0" borderId="47" xfId="16" applyNumberFormat="1" applyFont="1" applyBorder="1">
      <alignment vertical="center"/>
    </xf>
    <xf numFmtId="177" fontId="176" fillId="0" borderId="48" xfId="16" applyNumberFormat="1" applyFont="1" applyBorder="1">
      <alignment vertical="center"/>
    </xf>
    <xf numFmtId="177" fontId="3" fillId="0" borderId="32" xfId="16" applyNumberFormat="1" applyBorder="1">
      <alignment vertical="center"/>
    </xf>
    <xf numFmtId="177" fontId="3" fillId="0" borderId="133" xfId="16" applyNumberFormat="1" applyBorder="1">
      <alignment vertical="center"/>
    </xf>
    <xf numFmtId="189" fontId="3" fillId="0" borderId="25" xfId="16" applyNumberFormat="1" applyBorder="1" applyAlignment="1">
      <alignment horizontal="center" vertical="center"/>
    </xf>
    <xf numFmtId="177" fontId="3" fillId="0" borderId="25" xfId="16" applyNumberFormat="1" applyBorder="1" applyAlignment="1">
      <alignment horizontal="center" vertical="center"/>
    </xf>
    <xf numFmtId="177" fontId="3" fillId="0" borderId="25" xfId="16" applyNumberFormat="1" applyBorder="1">
      <alignment vertical="center"/>
    </xf>
    <xf numFmtId="177" fontId="3" fillId="0" borderId="138" xfId="16" applyNumberFormat="1" applyBorder="1">
      <alignment vertical="center"/>
    </xf>
    <xf numFmtId="190" fontId="3" fillId="0" borderId="25" xfId="16" applyNumberFormat="1" applyBorder="1" applyAlignment="1">
      <alignment horizontal="center" vertical="center"/>
    </xf>
    <xf numFmtId="177" fontId="178" fillId="0" borderId="53" xfId="16" applyNumberFormat="1" applyFont="1" applyFill="1" applyBorder="1">
      <alignment vertical="center"/>
    </xf>
    <xf numFmtId="177" fontId="176" fillId="0" borderId="193" xfId="16" applyNumberFormat="1" applyFont="1" applyFill="1" applyBorder="1">
      <alignment vertical="center"/>
    </xf>
    <xf numFmtId="190" fontId="176" fillId="0" borderId="24" xfId="16" applyNumberFormat="1" applyFont="1" applyFill="1" applyBorder="1" applyAlignment="1">
      <alignment horizontal="center" vertical="center"/>
    </xf>
    <xf numFmtId="177" fontId="176" fillId="0" borderId="24" xfId="16" applyNumberFormat="1" applyFont="1" applyFill="1" applyBorder="1" applyAlignment="1">
      <alignment horizontal="center" vertical="center"/>
    </xf>
    <xf numFmtId="177" fontId="176" fillId="0" borderId="24" xfId="16" applyNumberFormat="1" applyFont="1" applyFill="1" applyBorder="1">
      <alignment vertical="center"/>
    </xf>
    <xf numFmtId="177" fontId="176" fillId="0" borderId="194" xfId="16" applyNumberFormat="1" applyFont="1" applyFill="1" applyBorder="1">
      <alignment vertical="center"/>
    </xf>
    <xf numFmtId="177" fontId="3" fillId="0" borderId="32" xfId="16" applyNumberFormat="1" applyFill="1" applyBorder="1">
      <alignment vertical="center"/>
    </xf>
    <xf numFmtId="177" fontId="3" fillId="0" borderId="133" xfId="16" applyNumberFormat="1" applyFill="1" applyBorder="1">
      <alignment vertical="center"/>
    </xf>
    <xf numFmtId="177" fontId="3" fillId="0" borderId="25" xfId="16" applyNumberFormat="1" applyFill="1" applyBorder="1" applyAlignment="1">
      <alignment horizontal="center" vertical="center"/>
    </xf>
    <xf numFmtId="177" fontId="3" fillId="0" borderId="25" xfId="16" applyNumberFormat="1" applyFill="1" applyBorder="1">
      <alignment vertical="center"/>
    </xf>
    <xf numFmtId="177" fontId="3" fillId="0" borderId="138" xfId="16" applyNumberFormat="1" applyFill="1" applyBorder="1">
      <alignment vertical="center"/>
    </xf>
    <xf numFmtId="189" fontId="3" fillId="0" borderId="25" xfId="16" applyNumberFormat="1" applyFill="1" applyBorder="1" applyAlignment="1">
      <alignment horizontal="center" vertical="center"/>
    </xf>
    <xf numFmtId="177" fontId="178" fillId="0" borderId="32" xfId="16" applyNumberFormat="1" applyFont="1" applyBorder="1">
      <alignment vertical="center"/>
    </xf>
    <xf numFmtId="177" fontId="176" fillId="0" borderId="133" xfId="16" applyNumberFormat="1" applyFont="1" applyBorder="1">
      <alignment vertical="center"/>
    </xf>
    <xf numFmtId="190" fontId="176" fillId="0" borderId="25" xfId="16" applyNumberFormat="1" applyFont="1" applyBorder="1" applyAlignment="1">
      <alignment horizontal="center" vertical="center"/>
    </xf>
    <xf numFmtId="177" fontId="176" fillId="0" borderId="25" xfId="16" applyNumberFormat="1" applyFont="1" applyBorder="1" applyAlignment="1">
      <alignment horizontal="center" vertical="center"/>
    </xf>
    <xf numFmtId="177" fontId="176" fillId="0" borderId="25" xfId="16" applyNumberFormat="1" applyFont="1" applyBorder="1">
      <alignment vertical="center"/>
    </xf>
    <xf numFmtId="177" fontId="176" fillId="0" borderId="138" xfId="16" applyNumberFormat="1" applyFont="1" applyBorder="1">
      <alignment vertical="center"/>
    </xf>
    <xf numFmtId="177" fontId="3" fillId="0" borderId="33" xfId="16" applyNumberFormat="1" applyBorder="1">
      <alignment vertical="center"/>
    </xf>
    <xf numFmtId="177" fontId="3" fillId="0" borderId="195" xfId="16" applyNumberFormat="1" applyBorder="1">
      <alignment vertical="center"/>
    </xf>
    <xf numFmtId="189" fontId="3" fillId="0" borderId="136" xfId="16" applyNumberFormat="1" applyBorder="1" applyAlignment="1">
      <alignment horizontal="center" vertical="center"/>
    </xf>
    <xf numFmtId="177" fontId="3" fillId="0" borderId="136" xfId="16" applyNumberFormat="1" applyBorder="1" applyAlignment="1">
      <alignment horizontal="center" vertical="center"/>
    </xf>
    <xf numFmtId="177" fontId="3" fillId="0" borderId="136" xfId="16" applyNumberFormat="1" applyBorder="1">
      <alignment vertical="center"/>
    </xf>
    <xf numFmtId="177" fontId="3" fillId="0" borderId="137" xfId="16" applyNumberFormat="1" applyBorder="1">
      <alignment vertical="center"/>
    </xf>
    <xf numFmtId="190" fontId="176" fillId="0" borderId="47" xfId="16" applyNumberFormat="1" applyFont="1" applyBorder="1" applyAlignment="1">
      <alignment horizontal="center" vertical="center"/>
    </xf>
    <xf numFmtId="177" fontId="3" fillId="0" borderId="196" xfId="16" applyNumberFormat="1" applyFill="1" applyBorder="1">
      <alignment vertical="center"/>
    </xf>
    <xf numFmtId="177" fontId="3" fillId="0" borderId="197" xfId="16" applyNumberFormat="1" applyFill="1" applyBorder="1">
      <alignment vertical="center"/>
    </xf>
    <xf numFmtId="177" fontId="3" fillId="0" borderId="139" xfId="16" applyNumberFormat="1" applyFill="1" applyBorder="1">
      <alignment vertical="center"/>
    </xf>
    <xf numFmtId="177" fontId="3" fillId="0" borderId="140" xfId="16" applyNumberFormat="1" applyFill="1" applyBorder="1">
      <alignment vertical="center"/>
    </xf>
    <xf numFmtId="190" fontId="3" fillId="0" borderId="25" xfId="16" applyNumberFormat="1" applyFill="1" applyBorder="1" applyAlignment="1">
      <alignment horizontal="center" vertical="center"/>
    </xf>
    <xf numFmtId="177" fontId="178" fillId="0" borderId="53" xfId="16" applyNumberFormat="1" applyFont="1" applyBorder="1">
      <alignment vertical="center"/>
    </xf>
    <xf numFmtId="177" fontId="176" fillId="0" borderId="193" xfId="16" applyNumberFormat="1" applyFont="1" applyBorder="1">
      <alignment vertical="center"/>
    </xf>
    <xf numFmtId="177" fontId="176" fillId="0" borderId="24" xfId="16" applyNumberFormat="1" applyFont="1" applyBorder="1" applyAlignment="1">
      <alignment horizontal="center" vertical="center"/>
    </xf>
    <xf numFmtId="177" fontId="176" fillId="0" borderId="24" xfId="16" applyNumberFormat="1" applyFont="1" applyBorder="1">
      <alignment vertical="center"/>
    </xf>
    <xf numFmtId="177" fontId="176" fillId="0" borderId="194" xfId="16" applyNumberFormat="1" applyFont="1" applyBorder="1">
      <alignment vertical="center"/>
    </xf>
    <xf numFmtId="177" fontId="3" fillId="0" borderId="53" xfId="16" applyNumberFormat="1" applyBorder="1">
      <alignment vertical="center"/>
    </xf>
    <xf numFmtId="177" fontId="3" fillId="0" borderId="193" xfId="16" applyNumberFormat="1" applyBorder="1">
      <alignment vertical="center"/>
    </xf>
    <xf numFmtId="177" fontId="3" fillId="0" borderId="24" xfId="16" applyNumberFormat="1" applyBorder="1" applyAlignment="1">
      <alignment horizontal="center" vertical="center"/>
    </xf>
    <xf numFmtId="177" fontId="3" fillId="0" borderId="24" xfId="16" applyNumberFormat="1" applyBorder="1">
      <alignment vertical="center"/>
    </xf>
    <xf numFmtId="177" fontId="3" fillId="0" borderId="194" xfId="16" applyNumberFormat="1" applyBorder="1">
      <alignment vertical="center"/>
    </xf>
    <xf numFmtId="177" fontId="179" fillId="0" borderId="194" xfId="16" applyNumberFormat="1" applyFont="1" applyBorder="1">
      <alignment vertical="center"/>
    </xf>
    <xf numFmtId="177" fontId="3" fillId="0" borderId="133" xfId="16" applyNumberFormat="1" applyFont="1" applyBorder="1">
      <alignment vertical="center"/>
    </xf>
    <xf numFmtId="177" fontId="3" fillId="0" borderId="25" xfId="16" applyNumberFormat="1" applyFont="1" applyBorder="1" applyAlignment="1">
      <alignment horizontal="center" vertical="center"/>
    </xf>
    <xf numFmtId="177" fontId="3" fillId="0" borderId="25" xfId="16" applyNumberFormat="1" applyFont="1" applyBorder="1">
      <alignment vertical="center"/>
    </xf>
    <xf numFmtId="177" fontId="180" fillId="0" borderId="138" xfId="16" applyNumberFormat="1" applyFont="1" applyBorder="1">
      <alignment vertical="center"/>
    </xf>
    <xf numFmtId="177" fontId="3" fillId="0" borderId="32" xfId="16" applyNumberFormat="1" applyFont="1" applyBorder="1">
      <alignment vertical="center"/>
    </xf>
    <xf numFmtId="177" fontId="3" fillId="0" borderId="32" xfId="16" applyNumberFormat="1" applyFont="1" applyFill="1" applyBorder="1">
      <alignment vertical="center"/>
    </xf>
    <xf numFmtId="177" fontId="3" fillId="0" borderId="133" xfId="16" applyNumberFormat="1" applyFont="1" applyFill="1" applyBorder="1">
      <alignment vertical="center"/>
    </xf>
    <xf numFmtId="190" fontId="3" fillId="0" borderId="25" xfId="16" applyNumberFormat="1" applyFont="1" applyFill="1" applyBorder="1" applyAlignment="1">
      <alignment horizontal="center" vertical="center"/>
    </xf>
    <xf numFmtId="177" fontId="3" fillId="0" borderId="25" xfId="16" applyNumberFormat="1" applyFont="1" applyFill="1" applyBorder="1" applyAlignment="1">
      <alignment horizontal="center" vertical="center"/>
    </xf>
    <xf numFmtId="177" fontId="3" fillId="0" borderId="25" xfId="16" applyNumberFormat="1" applyFont="1" applyFill="1" applyBorder="1">
      <alignment vertical="center"/>
    </xf>
    <xf numFmtId="177" fontId="180" fillId="0" borderId="138" xfId="16" applyNumberFormat="1" applyFont="1" applyFill="1" applyBorder="1">
      <alignment vertical="center"/>
    </xf>
    <xf numFmtId="177" fontId="109" fillId="0" borderId="138" xfId="16" applyNumberFormat="1" applyFont="1" applyBorder="1">
      <alignment vertical="center"/>
    </xf>
    <xf numFmtId="0" fontId="14" fillId="0" borderId="0" xfId="16" applyFont="1">
      <alignment vertical="center"/>
    </xf>
    <xf numFmtId="0" fontId="15" fillId="0" borderId="0" xfId="16" quotePrefix="1" applyFont="1" applyAlignment="1">
      <alignment horizontal="left" vertical="center"/>
    </xf>
    <xf numFmtId="0" fontId="15" fillId="5" borderId="0" xfId="16" applyFont="1" applyFill="1">
      <alignment vertical="center"/>
    </xf>
    <xf numFmtId="3" fontId="15" fillId="5" borderId="0" xfId="16" applyNumberFormat="1" applyFont="1" applyFill="1">
      <alignment vertical="center"/>
    </xf>
    <xf numFmtId="0" fontId="15" fillId="0" borderId="0" xfId="16" applyFont="1" applyBorder="1" applyAlignment="1">
      <alignment vertical="center"/>
    </xf>
    <xf numFmtId="0" fontId="14" fillId="0" borderId="0" xfId="16" applyFont="1" applyBorder="1" applyAlignment="1">
      <alignment vertical="center" wrapText="1"/>
    </xf>
    <xf numFmtId="0" fontId="182" fillId="0" borderId="0" xfId="16" applyFont="1" applyFill="1" applyBorder="1" applyAlignment="1">
      <alignment vertical="center" wrapText="1"/>
    </xf>
    <xf numFmtId="0" fontId="14" fillId="0" borderId="0" xfId="16" applyFont="1" applyBorder="1">
      <alignment vertical="center"/>
    </xf>
    <xf numFmtId="0" fontId="182" fillId="12" borderId="27" xfId="16" applyFont="1" applyFill="1" applyBorder="1" applyAlignment="1">
      <alignment horizontal="center" vertical="center" wrapText="1"/>
    </xf>
    <xf numFmtId="0" fontId="182" fillId="0" borderId="0" xfId="16" applyFont="1" applyFill="1" applyBorder="1" applyAlignment="1">
      <alignment horizontal="center" vertical="center" wrapText="1"/>
    </xf>
    <xf numFmtId="0" fontId="182" fillId="0" borderId="110" xfId="16" applyFont="1" applyBorder="1" applyAlignment="1">
      <alignment horizontal="justify" vertical="center" wrapText="1"/>
    </xf>
    <xf numFmtId="179" fontId="182" fillId="0" borderId="27" xfId="4" applyNumberFormat="1" applyFont="1" applyBorder="1" applyAlignment="1">
      <alignment vertical="center" wrapText="1"/>
    </xf>
    <xf numFmtId="0" fontId="182" fillId="0" borderId="202" xfId="16" applyFont="1" applyBorder="1" applyAlignment="1">
      <alignment horizontal="center" vertical="center" wrapText="1"/>
    </xf>
    <xf numFmtId="0" fontId="182" fillId="0" borderId="0" xfId="16" applyFont="1" applyBorder="1" applyAlignment="1">
      <alignment horizontal="center" vertical="center" wrapText="1"/>
    </xf>
    <xf numFmtId="0" fontId="182" fillId="0" borderId="203" xfId="16" applyFont="1" applyBorder="1" applyAlignment="1">
      <alignment horizontal="center" vertical="center" wrapText="1"/>
    </xf>
    <xf numFmtId="179" fontId="182" fillId="0" borderId="204" xfId="4" applyNumberFormat="1" applyFont="1" applyBorder="1" applyAlignment="1">
      <alignment vertical="center" wrapText="1"/>
    </xf>
    <xf numFmtId="0" fontId="182" fillId="0" borderId="205" xfId="16" applyFont="1" applyBorder="1" applyAlignment="1">
      <alignment horizontal="center" vertical="center" wrapText="1"/>
    </xf>
    <xf numFmtId="0" fontId="14" fillId="0" borderId="0" xfId="16" applyFont="1" applyAlignment="1">
      <alignment horizontal="center" vertical="center"/>
    </xf>
    <xf numFmtId="0" fontId="183" fillId="0" borderId="0" xfId="16" applyFont="1" applyFill="1" applyBorder="1" applyAlignment="1">
      <alignment horizontal="justify" vertical="center" wrapText="1"/>
    </xf>
    <xf numFmtId="180" fontId="15" fillId="0" borderId="0" xfId="16" applyNumberFormat="1" applyFont="1" applyFill="1">
      <alignment vertical="center"/>
    </xf>
    <xf numFmtId="0" fontId="14" fillId="0" borderId="0" xfId="16" quotePrefix="1" applyFont="1" applyAlignment="1">
      <alignment horizontal="left" vertical="center"/>
    </xf>
    <xf numFmtId="0" fontId="182" fillId="0" borderId="0" xfId="16" applyFont="1" applyFill="1" applyBorder="1" applyAlignment="1">
      <alignment horizontal="justify" vertical="center" wrapText="1"/>
    </xf>
    <xf numFmtId="0" fontId="15" fillId="0" borderId="0" xfId="16" applyFont="1">
      <alignment vertical="center"/>
    </xf>
    <xf numFmtId="0" fontId="15" fillId="0" borderId="0" xfId="16" applyFont="1" applyAlignment="1">
      <alignment vertical="center" wrapText="1"/>
    </xf>
    <xf numFmtId="0" fontId="14" fillId="0" borderId="0" xfId="16" quotePrefix="1" applyFont="1">
      <alignment vertical="center"/>
    </xf>
    <xf numFmtId="181" fontId="15" fillId="0" borderId="0" xfId="16" applyNumberFormat="1" applyFont="1" applyFill="1">
      <alignment vertical="center"/>
    </xf>
    <xf numFmtId="0" fontId="14" fillId="0" borderId="0" xfId="16" applyFont="1" applyAlignment="1">
      <alignment horizontal="right" vertical="center"/>
    </xf>
    <xf numFmtId="0" fontId="182" fillId="0" borderId="27" xfId="16" applyFont="1" applyBorder="1" applyAlignment="1">
      <alignment horizontal="center" vertical="center" wrapText="1"/>
    </xf>
    <xf numFmtId="0" fontId="14" fillId="0" borderId="27" xfId="16" applyFont="1" applyBorder="1" applyAlignment="1">
      <alignment horizontal="center" vertical="center"/>
    </xf>
    <xf numFmtId="0" fontId="15" fillId="0" borderId="0" xfId="16" applyFont="1" applyAlignment="1">
      <alignment vertical="center"/>
    </xf>
    <xf numFmtId="0" fontId="14" fillId="0" borderId="0" xfId="16" applyFont="1" applyAlignment="1">
      <alignment vertical="center"/>
    </xf>
    <xf numFmtId="0" fontId="182" fillId="6" borderId="178" xfId="16" applyFont="1" applyFill="1" applyBorder="1" applyAlignment="1">
      <alignment horizontal="center" vertical="center" wrapText="1"/>
    </xf>
    <xf numFmtId="0" fontId="182" fillId="6" borderId="179" xfId="16" applyFont="1" applyFill="1" applyBorder="1" applyAlignment="1">
      <alignment horizontal="center" vertical="center" wrapText="1"/>
    </xf>
    <xf numFmtId="0" fontId="14" fillId="6" borderId="178" xfId="16" applyFont="1" applyFill="1" applyBorder="1" applyAlignment="1">
      <alignment horizontal="center" vertical="center"/>
    </xf>
    <xf numFmtId="0" fontId="182" fillId="0" borderId="210" xfId="16" applyFont="1" applyBorder="1" applyAlignment="1">
      <alignment horizontal="justify" vertical="center" wrapText="1"/>
    </xf>
    <xf numFmtId="176" fontId="182" fillId="0" borderId="77" xfId="4" applyNumberFormat="1" applyFont="1" applyBorder="1" applyAlignment="1">
      <alignment horizontal="center" vertical="center" wrapText="1"/>
    </xf>
    <xf numFmtId="176" fontId="182" fillId="0" borderId="211" xfId="4" applyNumberFormat="1" applyFont="1" applyBorder="1" applyAlignment="1">
      <alignment horizontal="center" vertical="center" wrapText="1"/>
    </xf>
    <xf numFmtId="176" fontId="14" fillId="0" borderId="178" xfId="4" applyNumberFormat="1" applyFont="1" applyBorder="1">
      <alignment vertical="center"/>
    </xf>
    <xf numFmtId="41" fontId="14" fillId="0" borderId="178" xfId="4" applyFont="1" applyBorder="1">
      <alignment vertical="center"/>
    </xf>
    <xf numFmtId="0" fontId="182" fillId="0" borderId="156" xfId="16" applyFont="1" applyBorder="1" applyAlignment="1">
      <alignment horizontal="center" vertical="center" wrapText="1"/>
    </xf>
    <xf numFmtId="0" fontId="182" fillId="0" borderId="110" xfId="16" applyFont="1" applyBorder="1" applyAlignment="1">
      <alignment horizontal="center" vertical="center" wrapText="1"/>
    </xf>
    <xf numFmtId="176" fontId="182" fillId="0" borderId="27" xfId="4" applyNumberFormat="1" applyFont="1" applyBorder="1" applyAlignment="1">
      <alignment horizontal="center" vertical="center" wrapText="1"/>
    </xf>
    <xf numFmtId="41" fontId="14" fillId="0" borderId="178" xfId="4" applyFont="1" applyFill="1" applyBorder="1">
      <alignment vertical="center"/>
    </xf>
    <xf numFmtId="0" fontId="14" fillId="0" borderId="110" xfId="16" applyFont="1" applyBorder="1" applyAlignment="1">
      <alignment vertical="center"/>
    </xf>
    <xf numFmtId="41" fontId="14" fillId="0" borderId="27" xfId="4" applyFont="1" applyBorder="1" applyAlignment="1">
      <alignment vertical="center"/>
    </xf>
    <xf numFmtId="41" fontId="14" fillId="0" borderId="206" xfId="4" applyFont="1" applyBorder="1" applyAlignment="1">
      <alignment vertical="center"/>
    </xf>
    <xf numFmtId="0" fontId="14" fillId="0" borderId="178" xfId="16" applyFont="1" applyBorder="1">
      <alignment vertical="center"/>
    </xf>
    <xf numFmtId="0" fontId="14" fillId="0" borderId="212" xfId="16" applyFont="1" applyBorder="1" applyAlignment="1">
      <alignment horizontal="center" vertical="center"/>
    </xf>
    <xf numFmtId="0" fontId="14" fillId="0" borderId="173" xfId="16" applyFont="1" applyBorder="1" applyAlignment="1">
      <alignment vertical="center"/>
    </xf>
    <xf numFmtId="41" fontId="14" fillId="0" borderId="28" xfId="4" applyFont="1" applyBorder="1" applyAlignment="1">
      <alignment vertical="center"/>
    </xf>
    <xf numFmtId="41" fontId="14" fillId="0" borderId="213" xfId="4" applyFont="1" applyBorder="1" applyAlignment="1">
      <alignment vertical="center"/>
    </xf>
    <xf numFmtId="0" fontId="14" fillId="0" borderId="214" xfId="16" applyFont="1" applyBorder="1" applyAlignment="1">
      <alignment horizontal="center" vertical="center"/>
    </xf>
    <xf numFmtId="0" fontId="14" fillId="0" borderId="198" xfId="16" applyFont="1" applyBorder="1" applyAlignment="1">
      <alignment vertical="center"/>
    </xf>
    <xf numFmtId="0" fontId="14" fillId="0" borderId="199" xfId="16" applyFont="1" applyBorder="1">
      <alignment vertical="center"/>
    </xf>
    <xf numFmtId="0" fontId="14" fillId="0" borderId="200" xfId="16" applyFont="1" applyBorder="1" applyAlignment="1">
      <alignment vertical="center"/>
    </xf>
    <xf numFmtId="41" fontId="15" fillId="0" borderId="200" xfId="4" applyFont="1" applyFill="1" applyBorder="1" applyAlignment="1">
      <alignment vertical="center"/>
    </xf>
    <xf numFmtId="0" fontId="14" fillId="0" borderId="101" xfId="16" applyFont="1" applyBorder="1">
      <alignment vertical="center"/>
    </xf>
    <xf numFmtId="41" fontId="14" fillId="0" borderId="101" xfId="16" applyNumberFormat="1" applyFont="1" applyBorder="1">
      <alignment vertical="center"/>
    </xf>
    <xf numFmtId="0" fontId="14" fillId="0" borderId="215" xfId="16" applyFont="1" applyBorder="1" applyAlignment="1">
      <alignment horizontal="center" vertical="center"/>
    </xf>
    <xf numFmtId="0" fontId="14" fillId="0" borderId="110" xfId="16" applyFont="1" applyBorder="1">
      <alignment vertical="center"/>
    </xf>
    <xf numFmtId="0" fontId="14" fillId="0" borderId="206" xfId="16" applyFont="1" applyBorder="1">
      <alignment vertical="center"/>
    </xf>
    <xf numFmtId="0" fontId="14" fillId="0" borderId="207" xfId="16" applyFont="1" applyBorder="1">
      <alignment vertical="center"/>
    </xf>
    <xf numFmtId="0" fontId="15" fillId="0" borderId="207" xfId="16" applyFont="1" applyFill="1" applyBorder="1">
      <alignment vertical="center"/>
    </xf>
    <xf numFmtId="0" fontId="14" fillId="0" borderId="216" xfId="16" applyFont="1" applyBorder="1">
      <alignment vertical="center"/>
    </xf>
    <xf numFmtId="41" fontId="15" fillId="0" borderId="207" xfId="4" applyFont="1" applyFill="1" applyBorder="1">
      <alignment vertical="center"/>
    </xf>
    <xf numFmtId="0" fontId="14" fillId="0" borderId="216" xfId="16" applyFont="1" applyBorder="1" applyAlignment="1">
      <alignment horizontal="center" vertical="center"/>
    </xf>
    <xf numFmtId="0" fontId="14" fillId="0" borderId="203" xfId="16" applyFont="1" applyBorder="1">
      <alignment vertical="center"/>
    </xf>
    <xf numFmtId="0" fontId="14" fillId="0" borderId="217" xfId="16" applyFont="1" applyBorder="1">
      <alignment vertical="center"/>
    </xf>
    <xf numFmtId="0" fontId="14" fillId="0" borderId="218" xfId="16" applyFont="1" applyBorder="1">
      <alignment vertical="center"/>
    </xf>
    <xf numFmtId="41" fontId="15" fillId="0" borderId="218" xfId="16" applyNumberFormat="1" applyFont="1" applyFill="1" applyBorder="1">
      <alignment vertical="center"/>
    </xf>
    <xf numFmtId="0" fontId="14" fillId="0" borderId="187" xfId="16" applyFont="1" applyBorder="1">
      <alignment vertical="center"/>
    </xf>
    <xf numFmtId="41" fontId="14" fillId="0" borderId="187" xfId="4" applyFont="1" applyBorder="1">
      <alignment vertical="center"/>
    </xf>
    <xf numFmtId="0" fontId="14" fillId="0" borderId="219" xfId="16" applyFont="1" applyBorder="1" applyAlignment="1">
      <alignment horizontal="center" vertical="center"/>
    </xf>
    <xf numFmtId="0" fontId="184" fillId="0" borderId="0" xfId="16" applyFont="1" applyAlignment="1">
      <alignment vertical="center"/>
    </xf>
    <xf numFmtId="0" fontId="3" fillId="0" borderId="0" xfId="16" applyFont="1" applyAlignment="1">
      <alignment vertical="center"/>
    </xf>
    <xf numFmtId="41" fontId="3" fillId="0" borderId="0" xfId="16" applyNumberFormat="1" applyFont="1" applyBorder="1" applyAlignment="1">
      <alignment vertical="center"/>
    </xf>
    <xf numFmtId="0" fontId="3" fillId="0" borderId="0" xfId="16" applyFont="1" applyBorder="1" applyAlignment="1">
      <alignment vertical="center"/>
    </xf>
    <xf numFmtId="0" fontId="176" fillId="0" borderId="0" xfId="16" applyFont="1" applyAlignment="1">
      <alignment vertical="center"/>
    </xf>
    <xf numFmtId="0" fontId="180" fillId="0" borderId="0" xfId="16" applyFont="1">
      <alignment vertical="center"/>
    </xf>
    <xf numFmtId="0" fontId="3" fillId="36" borderId="220" xfId="16" applyFont="1" applyFill="1" applyBorder="1" applyAlignment="1">
      <alignment horizontal="center" vertical="center"/>
    </xf>
    <xf numFmtId="0" fontId="3" fillId="36" borderId="222" xfId="16" applyFont="1" applyFill="1" applyBorder="1" applyAlignment="1">
      <alignment horizontal="center" vertical="center"/>
    </xf>
    <xf numFmtId="177" fontId="3" fillId="0" borderId="23" xfId="16" applyNumberFormat="1" applyFont="1" applyBorder="1" applyAlignment="1">
      <alignment vertical="center"/>
    </xf>
    <xf numFmtId="177" fontId="3" fillId="0" borderId="194" xfId="16" applyNumberFormat="1" applyFont="1" applyBorder="1" applyAlignment="1">
      <alignment vertical="center"/>
    </xf>
    <xf numFmtId="177" fontId="3" fillId="0" borderId="140" xfId="16" applyNumberFormat="1" applyFont="1" applyBorder="1" applyAlignment="1">
      <alignment vertical="center"/>
    </xf>
    <xf numFmtId="177" fontId="176" fillId="4" borderId="222" xfId="16" applyNumberFormat="1" applyFont="1" applyFill="1" applyBorder="1" applyAlignment="1">
      <alignment vertical="center"/>
    </xf>
    <xf numFmtId="0" fontId="0" fillId="0" borderId="0" xfId="584" applyFont="1" applyBorder="1" applyAlignment="1">
      <alignment vertical="center"/>
    </xf>
    <xf numFmtId="0" fontId="3" fillId="0" borderId="0" xfId="16" applyFont="1" applyFill="1" applyBorder="1" applyAlignment="1">
      <alignment horizontal="center" vertical="center"/>
    </xf>
    <xf numFmtId="177" fontId="176" fillId="0" borderId="0" xfId="16" applyNumberFormat="1" applyFont="1" applyFill="1" applyBorder="1" applyAlignment="1">
      <alignment vertical="center"/>
    </xf>
    <xf numFmtId="0" fontId="59" fillId="0" borderId="0" xfId="16" applyFont="1" applyBorder="1" applyAlignment="1">
      <alignment horizontal="center" vertical="center" wrapText="1"/>
    </xf>
    <xf numFmtId="283" fontId="59" fillId="0" borderId="0" xfId="16" applyNumberFormat="1" applyFont="1" applyBorder="1" applyAlignment="1">
      <alignment horizontal="center" vertical="center"/>
    </xf>
    <xf numFmtId="178" fontId="3" fillId="0" borderId="194" xfId="16" applyNumberFormat="1" applyFont="1" applyBorder="1" applyAlignment="1">
      <alignment vertical="center"/>
    </xf>
    <xf numFmtId="178" fontId="3" fillId="0" borderId="140" xfId="16" applyNumberFormat="1" applyFont="1" applyBorder="1" applyAlignment="1">
      <alignment vertical="center"/>
    </xf>
    <xf numFmtId="178" fontId="3" fillId="0" borderId="138" xfId="16" applyNumberFormat="1" applyFont="1" applyBorder="1" applyAlignment="1">
      <alignment vertical="center"/>
    </xf>
    <xf numFmtId="0" fontId="3" fillId="0" borderId="0" xfId="16" applyAlignment="1">
      <alignment vertical="center"/>
    </xf>
    <xf numFmtId="0" fontId="3" fillId="0" borderId="0" xfId="584" applyFont="1" applyBorder="1" applyAlignment="1">
      <alignment vertical="center"/>
    </xf>
    <xf numFmtId="178" fontId="3" fillId="0" borderId="0" xfId="16" applyNumberFormat="1" applyFont="1" applyBorder="1" applyAlignment="1">
      <alignment horizontal="right" vertical="center" wrapText="1"/>
    </xf>
    <xf numFmtId="178" fontId="3" fillId="0" borderId="0" xfId="16" applyNumberFormat="1" applyFont="1" applyBorder="1" applyAlignment="1">
      <alignment vertical="center" wrapText="1"/>
    </xf>
    <xf numFmtId="178" fontId="3" fillId="0" borderId="0" xfId="16" applyNumberFormat="1" applyFont="1" applyBorder="1" applyAlignment="1">
      <alignment horizontal="center" vertical="center" wrapText="1"/>
    </xf>
    <xf numFmtId="178" fontId="3" fillId="0" borderId="0" xfId="16" applyNumberFormat="1" applyFont="1" applyBorder="1" applyAlignment="1">
      <alignment horizontal="center" vertical="center"/>
    </xf>
    <xf numFmtId="178" fontId="3" fillId="0" borderId="0" xfId="4" applyNumberFormat="1" applyFont="1" applyBorder="1" applyAlignment="1">
      <alignment horizontal="right" vertical="center"/>
    </xf>
    <xf numFmtId="0" fontId="3" fillId="36" borderId="224" xfId="16" applyFont="1" applyFill="1" applyBorder="1" applyAlignment="1">
      <alignment horizontal="center" vertical="center" wrapText="1"/>
    </xf>
    <xf numFmtId="178" fontId="3" fillId="0" borderId="24" xfId="16" applyNumberFormat="1" applyFont="1" applyFill="1" applyBorder="1" applyAlignment="1">
      <alignment horizontal="center" vertical="center"/>
    </xf>
    <xf numFmtId="177" fontId="3" fillId="0" borderId="194" xfId="16" applyNumberFormat="1" applyFont="1" applyFill="1" applyBorder="1" applyAlignment="1">
      <alignment vertical="center"/>
    </xf>
    <xf numFmtId="178" fontId="3" fillId="0" borderId="139" xfId="16" applyNumberFormat="1" applyFont="1" applyFill="1" applyBorder="1" applyAlignment="1">
      <alignment horizontal="center" vertical="center"/>
    </xf>
    <xf numFmtId="177" fontId="3" fillId="0" borderId="138" xfId="16" applyNumberFormat="1" applyFont="1" applyFill="1" applyBorder="1" applyAlignment="1">
      <alignment vertical="center"/>
    </xf>
    <xf numFmtId="177" fontId="3" fillId="0" borderId="140" xfId="16" applyNumberFormat="1" applyFont="1" applyFill="1" applyBorder="1" applyAlignment="1">
      <alignment vertical="center"/>
    </xf>
    <xf numFmtId="0" fontId="3" fillId="36" borderId="220" xfId="16" applyFont="1" applyFill="1" applyBorder="1" applyAlignment="1">
      <alignment horizontal="center" vertical="center" wrapText="1"/>
    </xf>
    <xf numFmtId="178" fontId="3" fillId="0" borderId="193" xfId="16" applyNumberFormat="1" applyFont="1" applyFill="1" applyBorder="1" applyAlignment="1">
      <alignment horizontal="center" vertical="center" wrapText="1"/>
    </xf>
    <xf numFmtId="178" fontId="3" fillId="0" borderId="197" xfId="16" applyNumberFormat="1" applyFont="1" applyFill="1" applyBorder="1" applyAlignment="1">
      <alignment horizontal="center" vertical="center" wrapText="1"/>
    </xf>
    <xf numFmtId="0" fontId="21" fillId="2" borderId="0" xfId="19" applyFont="1" applyFill="1" applyBorder="1" applyAlignment="1">
      <alignment vertical="center"/>
    </xf>
    <xf numFmtId="0" fontId="186" fillId="0" borderId="0" xfId="16" applyFont="1" applyBorder="1" applyAlignment="1">
      <alignment horizontal="left" vertical="center"/>
    </xf>
    <xf numFmtId="0" fontId="53" fillId="0" borderId="0" xfId="16" applyFont="1" applyBorder="1" applyAlignment="1">
      <alignment horizontal="left" vertical="center"/>
    </xf>
    <xf numFmtId="0" fontId="186" fillId="0" borderId="0" xfId="16" applyFont="1" applyAlignment="1">
      <alignment horizontal="left" vertical="center"/>
    </xf>
    <xf numFmtId="0" fontId="54" fillId="0" borderId="0" xfId="16" applyFont="1" applyAlignment="1">
      <alignment vertical="center"/>
    </xf>
    <xf numFmtId="284" fontId="53" fillId="0" borderId="178" xfId="16" applyNumberFormat="1" applyFont="1" applyFill="1" applyBorder="1" applyAlignment="1">
      <alignment horizontal="center" vertical="center"/>
    </xf>
    <xf numFmtId="284" fontId="53" fillId="0" borderId="178" xfId="16" applyNumberFormat="1" applyFont="1" applyBorder="1" applyAlignment="1">
      <alignment horizontal="center" vertical="center"/>
    </xf>
    <xf numFmtId="197" fontId="53" fillId="0" borderId="178" xfId="16" applyNumberFormat="1" applyFont="1" applyBorder="1" applyAlignment="1">
      <alignment horizontal="center" vertical="center"/>
    </xf>
    <xf numFmtId="176" fontId="53" fillId="0" borderId="178" xfId="4" applyNumberFormat="1" applyFont="1" applyFill="1" applyBorder="1" applyAlignment="1">
      <alignment horizontal="center" vertical="center"/>
    </xf>
    <xf numFmtId="0" fontId="187" fillId="0" borderId="0" xfId="16" applyFont="1" applyAlignment="1">
      <alignment vertical="center"/>
    </xf>
    <xf numFmtId="197" fontId="53" fillId="0" borderId="178" xfId="16" applyNumberFormat="1" applyFont="1" applyBorder="1" applyAlignment="1">
      <alignment horizontal="distributed" vertical="center" indent="4"/>
    </xf>
    <xf numFmtId="176" fontId="53" fillId="0" borderId="178" xfId="4" applyNumberFormat="1" applyFont="1" applyBorder="1" applyAlignment="1">
      <alignment horizontal="center" vertical="center"/>
    </xf>
    <xf numFmtId="176" fontId="53" fillId="3" borderId="178" xfId="4" applyNumberFormat="1" applyFont="1" applyFill="1" applyBorder="1" applyAlignment="1">
      <alignment horizontal="center" vertical="center"/>
    </xf>
    <xf numFmtId="176" fontId="53" fillId="3" borderId="167" xfId="4" applyNumberFormat="1" applyFont="1" applyFill="1" applyBorder="1" applyAlignment="1">
      <alignment horizontal="center" vertical="center"/>
    </xf>
    <xf numFmtId="176" fontId="53" fillId="37" borderId="178" xfId="4" applyNumberFormat="1" applyFont="1" applyFill="1" applyBorder="1" applyAlignment="1">
      <alignment horizontal="center" vertical="center"/>
    </xf>
    <xf numFmtId="176" fontId="53" fillId="3" borderId="20" xfId="4" applyNumberFormat="1" applyFont="1" applyFill="1" applyBorder="1" applyAlignment="1">
      <alignment horizontal="center" vertical="center"/>
    </xf>
    <xf numFmtId="176" fontId="54" fillId="3" borderId="178" xfId="4" applyNumberFormat="1" applyFont="1" applyFill="1" applyBorder="1" applyAlignment="1">
      <alignment horizontal="center" vertical="center"/>
    </xf>
    <xf numFmtId="176" fontId="54" fillId="3" borderId="21" xfId="4" applyNumberFormat="1" applyFont="1" applyFill="1" applyBorder="1" applyAlignment="1">
      <alignment horizontal="center" vertical="center"/>
    </xf>
    <xf numFmtId="197" fontId="53" fillId="2" borderId="178" xfId="16" applyNumberFormat="1" applyFont="1" applyFill="1" applyBorder="1" applyAlignment="1">
      <alignment horizontal="distributed" vertical="center" indent="4"/>
    </xf>
    <xf numFmtId="176" fontId="53" fillId="2" borderId="178" xfId="4" applyNumberFormat="1" applyFont="1" applyFill="1" applyBorder="1" applyAlignment="1">
      <alignment horizontal="center" vertical="center"/>
    </xf>
    <xf numFmtId="0" fontId="54" fillId="2" borderId="0" xfId="16" applyFont="1" applyFill="1" applyAlignment="1">
      <alignment vertical="center"/>
    </xf>
    <xf numFmtId="176" fontId="54" fillId="37" borderId="178" xfId="4" applyNumberFormat="1" applyFont="1" applyFill="1" applyBorder="1" applyAlignment="1">
      <alignment horizontal="center" vertical="center"/>
    </xf>
    <xf numFmtId="176" fontId="53" fillId="2" borderId="178" xfId="4" applyNumberFormat="1" applyFont="1" applyFill="1" applyBorder="1" applyAlignment="1">
      <alignment vertical="center"/>
    </xf>
    <xf numFmtId="176" fontId="54" fillId="3" borderId="20" xfId="4" applyNumberFormat="1" applyFont="1" applyFill="1" applyBorder="1" applyAlignment="1">
      <alignment horizontal="center" vertical="center"/>
    </xf>
    <xf numFmtId="284" fontId="54" fillId="0" borderId="178" xfId="16" applyNumberFormat="1" applyFont="1" applyFill="1" applyBorder="1" applyAlignment="1">
      <alignment horizontal="center" vertical="center"/>
    </xf>
    <xf numFmtId="284" fontId="54" fillId="0" borderId="178" xfId="16" applyNumberFormat="1" applyFont="1" applyFill="1" applyBorder="1" applyAlignment="1">
      <alignment vertical="center"/>
    </xf>
    <xf numFmtId="0" fontId="3" fillId="0" borderId="0" xfId="16" applyFont="1" applyFill="1" applyAlignment="1">
      <alignment vertical="center"/>
    </xf>
    <xf numFmtId="0" fontId="3" fillId="0" borderId="0" xfId="16" applyFill="1" applyAlignment="1">
      <alignment vertical="center"/>
    </xf>
    <xf numFmtId="284" fontId="3" fillId="0" borderId="0" xfId="16" applyNumberFormat="1" applyFont="1" applyFill="1" applyAlignment="1">
      <alignment horizontal="center" vertical="center"/>
    </xf>
    <xf numFmtId="284" fontId="54" fillId="0" borderId="0" xfId="16" applyNumberFormat="1" applyFont="1" applyFill="1" applyAlignment="1">
      <alignment horizontal="center" vertical="center"/>
    </xf>
    <xf numFmtId="284" fontId="54" fillId="0" borderId="0" xfId="16" applyNumberFormat="1" applyFont="1" applyFill="1" applyAlignment="1">
      <alignment vertical="center"/>
    </xf>
    <xf numFmtId="284" fontId="3" fillId="0" borderId="0" xfId="16" applyNumberFormat="1" applyFont="1" applyAlignment="1">
      <alignment horizontal="center" vertical="center"/>
    </xf>
    <xf numFmtId="284" fontId="54" fillId="0" borderId="0" xfId="16" applyNumberFormat="1" applyFont="1" applyAlignment="1">
      <alignment horizontal="center" vertical="center"/>
    </xf>
    <xf numFmtId="284" fontId="54" fillId="0" borderId="0" xfId="16" applyNumberFormat="1" applyFont="1" applyAlignment="1">
      <alignment vertical="center"/>
    </xf>
    <xf numFmtId="176" fontId="182" fillId="0" borderId="27" xfId="4" applyNumberFormat="1" applyFont="1" applyBorder="1" applyAlignment="1">
      <alignment vertical="center" wrapText="1"/>
    </xf>
    <xf numFmtId="176" fontId="53" fillId="38" borderId="178" xfId="4" applyNumberFormat="1" applyFont="1" applyFill="1" applyBorder="1" applyAlignment="1">
      <alignment horizontal="center" vertical="center"/>
    </xf>
    <xf numFmtId="285" fontId="53" fillId="0" borderId="178" xfId="16" applyNumberFormat="1" applyFont="1" applyFill="1" applyBorder="1" applyAlignment="1">
      <alignment vertical="center"/>
    </xf>
    <xf numFmtId="0" fontId="0" fillId="0" borderId="0" xfId="0">
      <alignment vertical="center"/>
    </xf>
    <xf numFmtId="0" fontId="21" fillId="0" borderId="150" xfId="0" applyFont="1" applyBorder="1" applyAlignment="1">
      <alignment horizontal="center" vertical="center"/>
    </xf>
    <xf numFmtId="41" fontId="29" fillId="0" borderId="150" xfId="0" applyNumberFormat="1" applyFont="1" applyFill="1" applyBorder="1" applyAlignment="1">
      <alignment horizontal="center" vertical="center"/>
    </xf>
    <xf numFmtId="41" fontId="29" fillId="31" borderId="150" xfId="0" applyNumberFormat="1" applyFont="1" applyFill="1" applyBorder="1" applyAlignment="1">
      <alignment horizontal="center" vertical="center"/>
    </xf>
    <xf numFmtId="41" fontId="3" fillId="0" borderId="0" xfId="3" applyNumberFormat="1" applyFont="1" applyFill="1" applyAlignment="1">
      <alignment vertical="center"/>
    </xf>
    <xf numFmtId="41" fontId="16" fillId="0" borderId="0" xfId="1" applyFont="1" applyFill="1" applyAlignment="1">
      <alignment vertical="center"/>
    </xf>
    <xf numFmtId="286" fontId="3" fillId="0" borderId="0" xfId="3" applyNumberFormat="1" applyFont="1" applyFill="1" applyAlignment="1">
      <alignment vertical="center"/>
    </xf>
    <xf numFmtId="0" fontId="47" fillId="5" borderId="0" xfId="3" applyFont="1" applyFill="1" applyAlignment="1">
      <alignment vertical="center"/>
    </xf>
    <xf numFmtId="0" fontId="18" fillId="0" borderId="180" xfId="0" applyFont="1" applyBorder="1" applyAlignment="1"/>
    <xf numFmtId="179" fontId="29" fillId="0" borderId="179" xfId="4" applyNumberFormat="1" applyFont="1" applyBorder="1" applyAlignment="1">
      <alignment horizontal="centerContinuous" vertical="center"/>
    </xf>
    <xf numFmtId="179" fontId="29" fillId="0" borderId="220" xfId="4" applyNumberFormat="1" applyFont="1" applyBorder="1" applyAlignment="1">
      <alignment horizontal="centerContinuous" vertical="center"/>
    </xf>
    <xf numFmtId="0" fontId="21" fillId="0" borderId="180" xfId="0" applyFont="1" applyBorder="1" applyAlignment="1">
      <alignment horizontal="centerContinuous" vertical="center"/>
    </xf>
    <xf numFmtId="41" fontId="29" fillId="0" borderId="178" xfId="4" applyFont="1" applyBorder="1" applyAlignment="1">
      <alignment horizontal="center" vertical="center"/>
    </xf>
    <xf numFmtId="41" fontId="29" fillId="0" borderId="178" xfId="7" applyNumberFormat="1" applyFont="1" applyBorder="1" applyAlignment="1">
      <alignment horizontal="center" vertical="center"/>
    </xf>
    <xf numFmtId="41" fontId="29" fillId="0" borderId="178" xfId="0" applyNumberFormat="1" applyFont="1" applyBorder="1" applyAlignment="1">
      <alignment vertical="center"/>
    </xf>
    <xf numFmtId="0" fontId="21" fillId="0" borderId="163" xfId="7" applyFont="1" applyBorder="1" applyAlignment="1">
      <alignment horizontal="left" vertical="center"/>
    </xf>
    <xf numFmtId="0" fontId="21" fillId="0" borderId="164" xfId="0" applyFont="1" applyBorder="1" applyAlignment="1">
      <alignment horizontal="centerContinuous" vertical="center"/>
    </xf>
    <xf numFmtId="41" fontId="21" fillId="0" borderId="167" xfId="1" applyFont="1" applyBorder="1" applyAlignment="1">
      <alignment vertical="center"/>
    </xf>
    <xf numFmtId="41" fontId="21" fillId="0" borderId="167" xfId="4" applyFont="1" applyBorder="1" applyAlignment="1">
      <alignment horizontal="center" vertical="center"/>
    </xf>
    <xf numFmtId="41" fontId="21" fillId="0" borderId="167" xfId="4" applyFont="1" applyBorder="1" applyAlignment="1">
      <alignment vertical="center"/>
    </xf>
    <xf numFmtId="41" fontId="21" fillId="0" borderId="20" xfId="4" applyFont="1" applyBorder="1" applyAlignment="1">
      <alignment vertical="center"/>
    </xf>
    <xf numFmtId="41" fontId="21" fillId="0" borderId="21" xfId="4" applyFont="1" applyBorder="1" applyAlignment="1">
      <alignment vertical="center"/>
    </xf>
    <xf numFmtId="41" fontId="29" fillId="31" borderId="179" xfId="0" applyNumberFormat="1" applyFont="1" applyFill="1" applyBorder="1" applyAlignment="1">
      <alignment vertical="center"/>
    </xf>
    <xf numFmtId="41" fontId="21" fillId="0" borderId="179" xfId="1" applyFont="1" applyBorder="1" applyAlignment="1">
      <alignment vertical="center"/>
    </xf>
    <xf numFmtId="41" fontId="22" fillId="0" borderId="179" xfId="0" applyNumberFormat="1" applyFont="1" applyFill="1" applyBorder="1" applyAlignment="1">
      <alignment vertical="center"/>
    </xf>
    <xf numFmtId="41" fontId="21" fillId="0" borderId="150" xfId="0" applyNumberFormat="1" applyFont="1" applyBorder="1" applyAlignment="1">
      <alignment horizontal="center" vertical="center"/>
    </xf>
    <xf numFmtId="41" fontId="3" fillId="0" borderId="0" xfId="1" applyFont="1">
      <alignment vertical="center"/>
    </xf>
    <xf numFmtId="0" fontId="3" fillId="0" borderId="0" xfId="585">
      <alignment vertical="center"/>
    </xf>
    <xf numFmtId="0" fontId="3" fillId="0" borderId="163" xfId="585" applyBorder="1">
      <alignment vertical="center"/>
    </xf>
    <xf numFmtId="0" fontId="3" fillId="0" borderId="164" xfId="585" applyBorder="1">
      <alignment vertical="center"/>
    </xf>
    <xf numFmtId="0" fontId="3" fillId="0" borderId="165" xfId="585" applyBorder="1">
      <alignment vertical="center"/>
    </xf>
    <xf numFmtId="0" fontId="3" fillId="0" borderId="45" xfId="585" applyBorder="1">
      <alignment vertical="center"/>
    </xf>
    <xf numFmtId="0" fontId="186" fillId="0" borderId="0" xfId="585" applyFont="1" applyBorder="1">
      <alignment vertical="center"/>
    </xf>
    <xf numFmtId="0" fontId="3" fillId="0" borderId="0" xfId="585" applyBorder="1">
      <alignment vertical="center"/>
    </xf>
    <xf numFmtId="0" fontId="178" fillId="0" borderId="25" xfId="585" applyFont="1" applyBorder="1" applyAlignment="1">
      <alignment horizontal="center" vertical="center"/>
    </xf>
    <xf numFmtId="0" fontId="178" fillId="0" borderId="42" xfId="585" applyFont="1" applyBorder="1">
      <alignment vertical="center"/>
    </xf>
    <xf numFmtId="0" fontId="178" fillId="0" borderId="133" xfId="585" applyFont="1" applyBorder="1" applyAlignment="1">
      <alignment horizontal="right" vertical="center"/>
    </xf>
    <xf numFmtId="0" fontId="3" fillId="0" borderId="46" xfId="585" applyBorder="1">
      <alignment vertical="center"/>
    </xf>
    <xf numFmtId="0" fontId="190" fillId="0" borderId="45" xfId="585" applyFont="1" applyBorder="1">
      <alignment vertical="center"/>
    </xf>
    <xf numFmtId="0" fontId="190" fillId="0" borderId="0" xfId="585" applyFont="1" applyBorder="1">
      <alignment vertical="center"/>
    </xf>
    <xf numFmtId="0" fontId="190" fillId="0" borderId="46" xfId="585" applyFont="1" applyBorder="1">
      <alignment vertical="center"/>
    </xf>
    <xf numFmtId="0" fontId="191" fillId="0" borderId="0" xfId="585" applyFont="1" applyBorder="1">
      <alignment vertical="center"/>
    </xf>
    <xf numFmtId="0" fontId="191" fillId="0" borderId="0" xfId="585" applyFont="1" applyBorder="1" applyAlignment="1">
      <alignment horizontal="right" vertical="center"/>
    </xf>
    <xf numFmtId="0" fontId="178" fillId="0" borderId="0" xfId="585" applyFont="1" applyBorder="1">
      <alignment vertical="center"/>
    </xf>
    <xf numFmtId="0" fontId="13" fillId="0" borderId="46" xfId="585" applyFont="1" applyBorder="1">
      <alignment vertical="center"/>
    </xf>
    <xf numFmtId="0" fontId="13" fillId="0" borderId="0" xfId="585" applyFont="1" applyBorder="1">
      <alignment vertical="center"/>
    </xf>
    <xf numFmtId="0" fontId="178" fillId="0" borderId="0" xfId="585" applyFont="1" applyBorder="1" applyAlignment="1">
      <alignment horizontal="left" vertical="center"/>
    </xf>
    <xf numFmtId="37" fontId="192" fillId="0" borderId="0" xfId="0" applyNumberFormat="1" applyFont="1" applyFill="1" applyBorder="1" applyAlignment="1" applyProtection="1">
      <alignment vertical="center"/>
    </xf>
    <xf numFmtId="0" fontId="193" fillId="0" borderId="0" xfId="0" applyFont="1" applyFill="1" applyBorder="1" applyAlignment="1">
      <alignment vertical="center"/>
    </xf>
    <xf numFmtId="41" fontId="193" fillId="0" borderId="0" xfId="586" applyNumberFormat="1" applyFont="1" applyFill="1" applyBorder="1" applyAlignment="1" applyProtection="1">
      <alignment vertical="center"/>
    </xf>
    <xf numFmtId="41" fontId="193" fillId="0" borderId="0" xfId="586" applyFont="1" applyFill="1" applyBorder="1" applyAlignment="1" applyProtection="1">
      <alignment vertical="center"/>
    </xf>
    <xf numFmtId="37" fontId="194" fillId="0" borderId="223" xfId="0" applyNumberFormat="1" applyFont="1" applyFill="1" applyBorder="1" applyAlignment="1" applyProtection="1">
      <alignment horizontal="center" vertical="center"/>
    </xf>
    <xf numFmtId="37" fontId="196" fillId="0" borderId="223" xfId="0" applyNumberFormat="1" applyFont="1" applyFill="1" applyBorder="1" applyAlignment="1" applyProtection="1">
      <alignment horizontal="center" vertical="center"/>
    </xf>
    <xf numFmtId="37" fontId="194" fillId="0" borderId="228" xfId="0" applyNumberFormat="1" applyFont="1" applyFill="1" applyBorder="1" applyAlignment="1" applyProtection="1">
      <alignment horizontal="center" vertical="center"/>
    </xf>
    <xf numFmtId="0" fontId="194" fillId="0" borderId="224" xfId="0" applyFont="1" applyFill="1" applyBorder="1" applyAlignment="1">
      <alignment horizontal="center" vertical="center"/>
    </xf>
    <xf numFmtId="41" fontId="194" fillId="0" borderId="224" xfId="586" applyNumberFormat="1" applyFont="1" applyFill="1" applyBorder="1" applyAlignment="1" applyProtection="1">
      <alignment horizontal="center" vertical="center"/>
    </xf>
    <xf numFmtId="41" fontId="194" fillId="0" borderId="222" xfId="586" applyFont="1" applyFill="1" applyBorder="1" applyAlignment="1" applyProtection="1">
      <alignment horizontal="center" vertical="center"/>
    </xf>
    <xf numFmtId="37" fontId="196" fillId="0" borderId="229" xfId="0" applyNumberFormat="1" applyFont="1" applyFill="1" applyBorder="1" applyAlignment="1" applyProtection="1">
      <alignment horizontal="center" vertical="center"/>
    </xf>
    <xf numFmtId="9" fontId="196" fillId="0" borderId="24" xfId="587" applyFont="1" applyFill="1" applyBorder="1" applyAlignment="1">
      <alignment horizontal="center" vertical="center"/>
    </xf>
    <xf numFmtId="41" fontId="196" fillId="0" borderId="24" xfId="586" applyNumberFormat="1" applyFont="1" applyFill="1" applyBorder="1" applyAlignment="1" applyProtection="1">
      <alignment vertical="center"/>
    </xf>
    <xf numFmtId="41" fontId="196" fillId="0" borderId="194" xfId="586" applyFont="1" applyFill="1" applyBorder="1" applyAlignment="1" applyProtection="1">
      <alignment vertical="center"/>
    </xf>
    <xf numFmtId="37" fontId="196" fillId="0" borderId="126" xfId="0" applyNumberFormat="1" applyFont="1" applyFill="1" applyBorder="1" applyAlignment="1" applyProtection="1">
      <alignment horizontal="center" vertical="center"/>
    </xf>
    <xf numFmtId="9" fontId="196" fillId="0" borderId="25" xfId="587" applyFont="1" applyFill="1" applyBorder="1" applyAlignment="1">
      <alignment horizontal="center" vertical="center"/>
    </xf>
    <xf numFmtId="41" fontId="196" fillId="0" borderId="138" xfId="586" applyFont="1" applyFill="1" applyBorder="1" applyAlignment="1" applyProtection="1">
      <alignment vertical="center"/>
    </xf>
    <xf numFmtId="37" fontId="194" fillId="0" borderId="230" xfId="0" applyNumberFormat="1" applyFont="1" applyFill="1" applyBorder="1" applyAlignment="1" applyProtection="1">
      <alignment horizontal="center" vertical="center"/>
    </xf>
    <xf numFmtId="9" fontId="196" fillId="0" borderId="136" xfId="587" applyFont="1" applyFill="1" applyBorder="1" applyAlignment="1" applyProtection="1">
      <alignment horizontal="center" vertical="center"/>
    </xf>
    <xf numFmtId="41" fontId="196" fillId="0" borderId="136" xfId="586" applyNumberFormat="1" applyFont="1" applyFill="1" applyBorder="1" applyAlignment="1" applyProtection="1">
      <alignment vertical="center"/>
    </xf>
    <xf numFmtId="41" fontId="196" fillId="0" borderId="137" xfId="586" applyNumberFormat="1" applyFont="1" applyFill="1" applyBorder="1" applyAlignment="1" applyProtection="1">
      <alignment vertical="center"/>
    </xf>
    <xf numFmtId="0" fontId="3" fillId="0" borderId="36" xfId="585" applyBorder="1">
      <alignment vertical="center"/>
    </xf>
    <xf numFmtId="0" fontId="3" fillId="0" borderId="16" xfId="585" applyBorder="1">
      <alignment vertical="center"/>
    </xf>
    <xf numFmtId="0" fontId="178" fillId="0" borderId="16" xfId="585" applyFont="1" applyBorder="1">
      <alignment vertical="center"/>
    </xf>
    <xf numFmtId="0" fontId="13" fillId="0" borderId="16" xfId="585" applyFont="1" applyBorder="1">
      <alignment vertical="center"/>
    </xf>
    <xf numFmtId="0" fontId="13" fillId="0" borderId="35" xfId="585" applyFont="1" applyBorder="1">
      <alignment vertical="center"/>
    </xf>
    <xf numFmtId="0" fontId="20" fillId="0" borderId="0" xfId="588" applyFont="1" applyBorder="1" applyAlignment="1">
      <alignment horizontal="centerContinuous" vertical="center"/>
    </xf>
    <xf numFmtId="0" fontId="197" fillId="0" borderId="0" xfId="588" applyFont="1" applyBorder="1" applyAlignment="1">
      <alignment horizontal="centerContinuous" vertical="center"/>
    </xf>
    <xf numFmtId="0" fontId="197" fillId="0" borderId="16" xfId="588" applyFont="1" applyBorder="1" applyAlignment="1">
      <alignment horizontal="centerContinuous" vertical="center"/>
    </xf>
    <xf numFmtId="0" fontId="198" fillId="35" borderId="178" xfId="588" applyFont="1" applyFill="1" applyBorder="1" applyAlignment="1">
      <alignment horizontal="center" vertical="center"/>
    </xf>
    <xf numFmtId="41" fontId="198" fillId="35" borderId="178" xfId="4" applyFont="1" applyFill="1" applyBorder="1" applyAlignment="1">
      <alignment horizontal="center" vertical="center"/>
    </xf>
    <xf numFmtId="178" fontId="198" fillId="35" borderId="178" xfId="588" applyNumberFormat="1" applyFont="1" applyFill="1" applyBorder="1" applyAlignment="1">
      <alignment horizontal="center" vertical="center"/>
    </xf>
    <xf numFmtId="0" fontId="199" fillId="0" borderId="178" xfId="588" applyFont="1" applyBorder="1" applyAlignment="1">
      <alignment horizontal="left" vertical="center"/>
    </xf>
    <xf numFmtId="0" fontId="77" fillId="0" borderId="178" xfId="588" applyFont="1" applyBorder="1" applyAlignment="1">
      <alignment horizontal="center" vertical="center"/>
    </xf>
    <xf numFmtId="0" fontId="200" fillId="0" borderId="178" xfId="588" applyFont="1" applyBorder="1" applyAlignment="1">
      <alignment horizontal="center" vertical="center"/>
    </xf>
    <xf numFmtId="41" fontId="200" fillId="0" borderId="178" xfId="4" applyFont="1" applyBorder="1" applyAlignment="1">
      <alignment horizontal="center" vertical="center"/>
    </xf>
    <xf numFmtId="178" fontId="200" fillId="0" borderId="178" xfId="588" applyNumberFormat="1" applyFont="1" applyBorder="1" applyAlignment="1">
      <alignment horizontal="center" vertical="center"/>
    </xf>
    <xf numFmtId="0" fontId="198" fillId="0" borderId="178" xfId="588" applyFont="1" applyBorder="1" applyAlignment="1">
      <alignment horizontal="left" vertical="center"/>
    </xf>
    <xf numFmtId="0" fontId="41" fillId="2" borderId="181" xfId="3" applyFont="1" applyFill="1" applyBorder="1" applyAlignment="1">
      <alignment horizontal="center" vertical="center"/>
    </xf>
    <xf numFmtId="41" fontId="200" fillId="0" borderId="178" xfId="4" applyNumberFormat="1" applyFont="1" applyFill="1" applyBorder="1" applyAlignment="1">
      <alignment horizontal="center" vertical="center"/>
    </xf>
    <xf numFmtId="41" fontId="200" fillId="0" borderId="178" xfId="4" applyFont="1" applyFill="1" applyBorder="1" applyAlignment="1">
      <alignment horizontal="center" vertical="center"/>
    </xf>
    <xf numFmtId="178" fontId="200" fillId="0" borderId="178" xfId="588" applyNumberFormat="1" applyFont="1" applyFill="1" applyBorder="1" applyAlignment="1">
      <alignment horizontal="center" vertical="center"/>
    </xf>
    <xf numFmtId="0" fontId="200" fillId="0" borderId="178" xfId="588" applyFont="1" applyFill="1" applyBorder="1" applyAlignment="1">
      <alignment horizontal="center" vertical="center"/>
    </xf>
    <xf numFmtId="198" fontId="200" fillId="0" borderId="178" xfId="588" applyNumberFormat="1" applyFont="1" applyFill="1" applyBorder="1" applyAlignment="1">
      <alignment horizontal="center" vertical="center"/>
    </xf>
    <xf numFmtId="0" fontId="77" fillId="0" borderId="178" xfId="588" applyFont="1" applyFill="1" applyBorder="1" applyAlignment="1">
      <alignment horizontal="center" vertical="center"/>
    </xf>
    <xf numFmtId="198" fontId="200" fillId="0" borderId="178" xfId="588" applyNumberFormat="1" applyFont="1" applyBorder="1" applyAlignment="1">
      <alignment horizontal="center" vertical="center"/>
    </xf>
    <xf numFmtId="198" fontId="200" fillId="0" borderId="178" xfId="4" applyNumberFormat="1" applyFont="1" applyBorder="1" applyAlignment="1">
      <alignment horizontal="center" vertical="center"/>
    </xf>
    <xf numFmtId="41" fontId="200" fillId="0" borderId="178" xfId="4" applyNumberFormat="1" applyFont="1" applyBorder="1" applyAlignment="1">
      <alignment horizontal="center" vertical="center"/>
    </xf>
    <xf numFmtId="10" fontId="200" fillId="0" borderId="178" xfId="4" applyNumberFormat="1" applyFont="1" applyBorder="1" applyAlignment="1">
      <alignment horizontal="center" vertical="center"/>
    </xf>
    <xf numFmtId="9" fontId="77" fillId="0" borderId="178" xfId="588" applyNumberFormat="1" applyFont="1" applyBorder="1" applyAlignment="1">
      <alignment horizontal="center" vertical="center"/>
    </xf>
    <xf numFmtId="0" fontId="200" fillId="0" borderId="178" xfId="588" applyNumberFormat="1" applyFont="1" applyBorder="1" applyAlignment="1">
      <alignment horizontal="center" vertical="center"/>
    </xf>
    <xf numFmtId="41" fontId="0" fillId="5" borderId="0" xfId="0" applyNumberFormat="1" applyFill="1">
      <alignment vertical="center"/>
    </xf>
    <xf numFmtId="43" fontId="0" fillId="0" borderId="0" xfId="0" applyNumberFormat="1">
      <alignment vertical="center"/>
    </xf>
    <xf numFmtId="186" fontId="0" fillId="0" borderId="0" xfId="0" applyNumberFormat="1">
      <alignment vertical="center"/>
    </xf>
    <xf numFmtId="0" fontId="189" fillId="0" borderId="0" xfId="585" applyFont="1" applyBorder="1" applyAlignment="1">
      <alignment horizontal="center" vertical="center"/>
    </xf>
    <xf numFmtId="0" fontId="189" fillId="0" borderId="46" xfId="585" applyFont="1" applyBorder="1" applyAlignment="1">
      <alignment horizontal="center" vertical="center"/>
    </xf>
    <xf numFmtId="287" fontId="191" fillId="0" borderId="0" xfId="4" applyNumberFormat="1" applyFont="1" applyBorder="1" applyAlignment="1">
      <alignment horizontal="left" vertical="center"/>
    </xf>
    <xf numFmtId="0" fontId="198" fillId="35" borderId="179" xfId="588" applyFont="1" applyFill="1" applyBorder="1" applyAlignment="1">
      <alignment horizontal="center" vertical="center"/>
    </xf>
    <xf numFmtId="0" fontId="198" fillId="35" borderId="181" xfId="588" applyFont="1" applyFill="1" applyBorder="1" applyAlignment="1">
      <alignment horizontal="center" vertical="center"/>
    </xf>
    <xf numFmtId="0" fontId="198" fillId="35" borderId="167" xfId="588" applyFont="1" applyFill="1" applyBorder="1" applyAlignment="1">
      <alignment horizontal="center" vertical="center"/>
    </xf>
    <xf numFmtId="0" fontId="198" fillId="35" borderId="21" xfId="588" applyFont="1" applyFill="1" applyBorder="1" applyAlignment="1">
      <alignment horizontal="center" vertical="center"/>
    </xf>
    <xf numFmtId="0" fontId="45" fillId="0" borderId="0" xfId="2"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8" fillId="0" borderId="0" xfId="2" applyFont="1" applyAlignment="1">
      <alignment horizontal="center" vertical="center"/>
    </xf>
    <xf numFmtId="0" fontId="41" fillId="2" borderId="14" xfId="3" applyFont="1" applyFill="1" applyBorder="1" applyAlignment="1">
      <alignment horizontal="left" vertical="center"/>
    </xf>
    <xf numFmtId="0" fontId="41" fillId="2" borderId="8" xfId="3" applyFont="1" applyFill="1" applyBorder="1" applyAlignment="1">
      <alignment horizontal="left" vertical="center"/>
    </xf>
    <xf numFmtId="0" fontId="41" fillId="2" borderId="14" xfId="3" applyFont="1" applyFill="1" applyBorder="1" applyAlignment="1">
      <alignment horizontal="center" vertical="center"/>
    </xf>
    <xf numFmtId="0" fontId="41" fillId="2" borderId="8" xfId="3" applyFont="1" applyFill="1" applyBorder="1" applyAlignment="1">
      <alignment horizontal="center" vertical="center"/>
    </xf>
    <xf numFmtId="0" fontId="41" fillId="2" borderId="114" xfId="3" applyFont="1" applyFill="1" applyBorder="1" applyAlignment="1">
      <alignment horizontal="center" vertical="center"/>
    </xf>
    <xf numFmtId="0" fontId="41" fillId="2" borderId="6" xfId="3" applyFont="1" applyFill="1" applyBorder="1" applyAlignment="1">
      <alignment horizontal="center" vertical="center"/>
    </xf>
    <xf numFmtId="0" fontId="41" fillId="2" borderId="7" xfId="3" applyFont="1" applyFill="1" applyBorder="1" applyAlignment="1">
      <alignment horizontal="center" vertical="center"/>
    </xf>
    <xf numFmtId="0" fontId="40" fillId="2" borderId="114" xfId="3" applyFont="1" applyFill="1" applyBorder="1" applyAlignment="1">
      <alignment horizontal="left" vertical="center"/>
    </xf>
    <xf numFmtId="0" fontId="117" fillId="0" borderId="6" xfId="0" applyFont="1" applyBorder="1" applyAlignment="1">
      <alignment horizontal="left" vertical="center"/>
    </xf>
    <xf numFmtId="0" fontId="117" fillId="0" borderId="7" xfId="0" applyFont="1" applyBorder="1" applyAlignment="1">
      <alignment horizontal="left" vertical="center"/>
    </xf>
    <xf numFmtId="0" fontId="41" fillId="2" borderId="5" xfId="3" applyFont="1" applyFill="1" applyBorder="1" applyAlignment="1">
      <alignment horizontal="center" vertical="center"/>
    </xf>
    <xf numFmtId="41" fontId="41" fillId="2" borderId="5" xfId="3" applyNumberFormat="1" applyFont="1" applyFill="1" applyBorder="1" applyAlignment="1">
      <alignment horizontal="center" vertical="center"/>
    </xf>
    <xf numFmtId="41" fontId="41" fillId="2" borderId="8" xfId="4" applyFont="1" applyFill="1" applyBorder="1" applyAlignment="1">
      <alignment horizontal="center" vertical="center"/>
    </xf>
    <xf numFmtId="0" fontId="41" fillId="2" borderId="14" xfId="3" applyFont="1" applyFill="1" applyBorder="1" applyAlignment="1">
      <alignment horizontal="left" vertical="center" wrapText="1"/>
    </xf>
    <xf numFmtId="41" fontId="41" fillId="2" borderId="6" xfId="4" applyFont="1" applyFill="1" applyBorder="1" applyAlignment="1">
      <alignment horizontal="center" vertical="center"/>
    </xf>
    <xf numFmtId="41" fontId="41" fillId="2" borderId="19" xfId="4" applyFont="1" applyFill="1" applyBorder="1" applyAlignment="1">
      <alignment horizontal="center" vertical="center"/>
    </xf>
    <xf numFmtId="0" fontId="41" fillId="2" borderId="8" xfId="0" applyFont="1" applyFill="1" applyBorder="1" applyAlignment="1">
      <alignment horizontal="left" vertical="center" wrapText="1"/>
    </xf>
    <xf numFmtId="0" fontId="41" fillId="2" borderId="8" xfId="0" applyFont="1" applyFill="1" applyBorder="1" applyAlignment="1">
      <alignment horizontal="center" vertical="center"/>
    </xf>
    <xf numFmtId="0" fontId="41" fillId="2" borderId="15" xfId="0" applyFont="1" applyFill="1"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41" fillId="2" borderId="16" xfId="3" applyFont="1" applyFill="1" applyBorder="1" applyAlignment="1">
      <alignment horizontal="center" vertical="center" wrapText="1"/>
    </xf>
    <xf numFmtId="0" fontId="41" fillId="2" borderId="18" xfId="3" applyFont="1" applyFill="1" applyBorder="1" applyAlignment="1">
      <alignment horizontal="center" vertical="center" wrapText="1"/>
    </xf>
    <xf numFmtId="0" fontId="16" fillId="2" borderId="91" xfId="3" applyFont="1" applyFill="1" applyBorder="1" applyAlignment="1">
      <alignment horizontal="left" vertical="top" wrapText="1"/>
    </xf>
    <xf numFmtId="0" fontId="16" fillId="2" borderId="12" xfId="3" applyFont="1" applyFill="1" applyBorder="1" applyAlignment="1">
      <alignment horizontal="left" vertical="top" wrapText="1"/>
    </xf>
    <xf numFmtId="0" fontId="16" fillId="2" borderId="92" xfId="3" applyFont="1" applyFill="1" applyBorder="1" applyAlignment="1">
      <alignment horizontal="left" vertical="top" wrapText="1"/>
    </xf>
    <xf numFmtId="0" fontId="16" fillId="2" borderId="17" xfId="3" applyFont="1" applyFill="1" applyBorder="1" applyAlignment="1">
      <alignment horizontal="left" vertical="top" wrapText="1"/>
    </xf>
    <xf numFmtId="0" fontId="16" fillId="2" borderId="16" xfId="3" applyFont="1" applyFill="1" applyBorder="1" applyAlignment="1">
      <alignment horizontal="left" vertical="top" wrapText="1"/>
    </xf>
    <xf numFmtId="0" fontId="16" fillId="2" borderId="18" xfId="3" applyFont="1" applyFill="1" applyBorder="1" applyAlignment="1">
      <alignment horizontal="left" vertical="top" wrapText="1"/>
    </xf>
    <xf numFmtId="0" fontId="41" fillId="2" borderId="19" xfId="3" applyFont="1" applyFill="1" applyBorder="1" applyAlignment="1">
      <alignment horizontal="center" vertical="center"/>
    </xf>
    <xf numFmtId="0" fontId="9" fillId="2" borderId="1"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3" xfId="3" applyFont="1" applyFill="1" applyBorder="1" applyAlignment="1">
      <alignment horizontal="center" vertical="center"/>
    </xf>
    <xf numFmtId="0" fontId="9" fillId="2" borderId="4" xfId="3" applyFont="1" applyFill="1" applyBorder="1" applyAlignment="1">
      <alignment horizontal="center" vertical="center"/>
    </xf>
    <xf numFmtId="0" fontId="12" fillId="2" borderId="5" xfId="3" applyFont="1" applyFill="1" applyBorder="1" applyAlignment="1">
      <alignment horizontal="left" vertical="center"/>
    </xf>
    <xf numFmtId="0" fontId="12" fillId="2" borderId="6" xfId="3" applyFont="1" applyFill="1" applyBorder="1" applyAlignment="1">
      <alignment horizontal="left" vertical="center"/>
    </xf>
    <xf numFmtId="0" fontId="12" fillId="2" borderId="7" xfId="3" applyFont="1" applyFill="1" applyBorder="1" applyAlignment="1">
      <alignment horizontal="left" vertical="center"/>
    </xf>
    <xf numFmtId="0" fontId="12" fillId="2" borderId="8" xfId="3" applyFont="1" applyFill="1" applyBorder="1" applyAlignment="1">
      <alignment horizontal="center" vertical="center"/>
    </xf>
    <xf numFmtId="0" fontId="12" fillId="2" borderId="0" xfId="3" applyFont="1" applyFill="1" applyBorder="1" applyAlignment="1">
      <alignment horizontal="center" vertical="center"/>
    </xf>
    <xf numFmtId="0" fontId="12" fillId="2" borderId="9" xfId="3" applyFont="1" applyFill="1" applyBorder="1" applyAlignment="1">
      <alignment horizontal="center" vertical="center"/>
    </xf>
    <xf numFmtId="0" fontId="12" fillId="2" borderId="4" xfId="3" applyFont="1" applyFill="1" applyBorder="1" applyAlignment="1">
      <alignment horizontal="center" vertical="center"/>
    </xf>
    <xf numFmtId="0" fontId="12" fillId="2" borderId="10" xfId="3" applyFont="1" applyFill="1" applyBorder="1" applyAlignment="1">
      <alignment horizontal="center" vertical="center" wrapText="1"/>
    </xf>
    <xf numFmtId="0" fontId="12" fillId="2" borderId="11" xfId="3" applyFont="1" applyFill="1" applyBorder="1" applyAlignment="1">
      <alignment horizontal="center" vertical="center"/>
    </xf>
    <xf numFmtId="0" fontId="11" fillId="2" borderId="12" xfId="3" applyFont="1" applyFill="1" applyBorder="1" applyAlignment="1">
      <alignment horizontal="center" vertical="center"/>
    </xf>
    <xf numFmtId="0" fontId="12" fillId="2" borderId="13" xfId="3" applyFont="1" applyFill="1" applyBorder="1" applyAlignment="1">
      <alignment horizontal="center" vertical="center"/>
    </xf>
    <xf numFmtId="0" fontId="41" fillId="2" borderId="14" xfId="0" applyFont="1" applyFill="1" applyBorder="1" applyAlignment="1">
      <alignment horizontal="left" vertical="center"/>
    </xf>
    <xf numFmtId="0" fontId="41" fillId="2" borderId="8" xfId="0" applyFont="1" applyFill="1" applyBorder="1" applyAlignment="1">
      <alignment horizontal="left" vertical="center"/>
    </xf>
    <xf numFmtId="0" fontId="41" fillId="2" borderId="15" xfId="0" applyFont="1" applyFill="1" applyBorder="1" applyAlignment="1">
      <alignment horizontal="center" vertical="center"/>
    </xf>
    <xf numFmtId="0" fontId="41" fillId="2" borderId="8" xfId="0" applyFont="1" applyFill="1" applyBorder="1" applyAlignment="1">
      <alignment horizontal="center" vertical="center" wrapText="1"/>
    </xf>
    <xf numFmtId="41" fontId="3" fillId="0" borderId="0" xfId="1" applyFont="1" applyFill="1" applyAlignment="1">
      <alignment horizontal="center" vertical="center"/>
    </xf>
    <xf numFmtId="0" fontId="42" fillId="5" borderId="14" xfId="3" applyFont="1" applyFill="1" applyBorder="1" applyAlignment="1">
      <alignment horizontal="center" vertical="center"/>
    </xf>
    <xf numFmtId="0" fontId="42" fillId="5" borderId="8" xfId="3" applyFont="1" applyFill="1" applyBorder="1" applyAlignment="1">
      <alignment horizontal="center" vertical="center"/>
    </xf>
    <xf numFmtId="0" fontId="42" fillId="5" borderId="8" xfId="3" applyFont="1" applyFill="1" applyBorder="1" applyAlignment="1">
      <alignment horizontal="left" vertical="center"/>
    </xf>
    <xf numFmtId="41" fontId="42" fillId="5" borderId="8" xfId="4" applyFont="1" applyFill="1" applyBorder="1" applyAlignment="1">
      <alignment horizontal="center" vertical="center"/>
    </xf>
    <xf numFmtId="41" fontId="42" fillId="5" borderId="6" xfId="4" applyFont="1" applyFill="1" applyBorder="1" applyAlignment="1">
      <alignment horizontal="center" vertical="center"/>
    </xf>
    <xf numFmtId="41" fontId="42" fillId="5" borderId="19" xfId="4" applyFont="1" applyFill="1" applyBorder="1" applyAlignment="1">
      <alignment horizontal="center" vertical="center"/>
    </xf>
    <xf numFmtId="0" fontId="20" fillId="0" borderId="0" xfId="0" applyFont="1" applyBorder="1" applyAlignment="1">
      <alignment horizontal="center" vertical="center"/>
    </xf>
    <xf numFmtId="0" fontId="17" fillId="7" borderId="8" xfId="0" applyFont="1" applyFill="1" applyBorder="1" applyAlignment="1">
      <alignment horizontal="center" vertical="center"/>
    </xf>
    <xf numFmtId="183" fontId="17" fillId="7" borderId="8" xfId="0" applyNumberFormat="1" applyFont="1" applyFill="1" applyBorder="1" applyAlignment="1">
      <alignment horizontal="center" vertical="center"/>
    </xf>
    <xf numFmtId="0" fontId="23" fillId="0" borderId="10"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17" fillId="12" borderId="60" xfId="0" applyFont="1" applyFill="1" applyBorder="1" applyAlignment="1">
      <alignment horizontal="center" vertical="center" wrapText="1"/>
    </xf>
    <xf numFmtId="0" fontId="17" fillId="12" borderId="61" xfId="0" applyFont="1" applyFill="1" applyBorder="1" applyAlignment="1">
      <alignment horizontal="center" vertical="center" wrapText="1"/>
    </xf>
    <xf numFmtId="0" fontId="17" fillId="12" borderId="62" xfId="0" applyFont="1" applyFill="1" applyBorder="1" applyAlignment="1">
      <alignment horizontal="center" vertical="center" wrapText="1"/>
    </xf>
    <xf numFmtId="0" fontId="17" fillId="12" borderId="63" xfId="0" applyFont="1" applyFill="1" applyBorder="1" applyAlignment="1">
      <alignment horizontal="center" vertical="center" wrapText="1"/>
    </xf>
    <xf numFmtId="0" fontId="17" fillId="12" borderId="65" xfId="0" applyFont="1" applyFill="1" applyBorder="1" applyAlignment="1">
      <alignment horizontal="center" vertical="center" wrapText="1"/>
    </xf>
    <xf numFmtId="0" fontId="17" fillId="12" borderId="66" xfId="0" applyFont="1" applyFill="1" applyBorder="1" applyAlignment="1">
      <alignment horizontal="center" vertical="center" wrapText="1"/>
    </xf>
    <xf numFmtId="0" fontId="17" fillId="12" borderId="67" xfId="0" applyFont="1" applyFill="1" applyBorder="1" applyAlignment="1">
      <alignment horizontal="center" vertical="center" wrapText="1"/>
    </xf>
    <xf numFmtId="0" fontId="17" fillId="0" borderId="28" xfId="0" applyFont="1" applyBorder="1" applyAlignment="1">
      <alignment horizontal="center" vertical="center" wrapText="1"/>
    </xf>
    <xf numFmtId="0" fontId="17" fillId="0" borderId="77" xfId="0" applyFont="1" applyBorder="1" applyAlignment="1">
      <alignment horizontal="center" vertical="center" wrapText="1"/>
    </xf>
    <xf numFmtId="0" fontId="18" fillId="0" borderId="87" xfId="0" applyFont="1" applyBorder="1" applyAlignment="1">
      <alignment horizontal="left" vertical="center" wrapText="1"/>
    </xf>
    <xf numFmtId="0" fontId="18" fillId="0" borderId="0" xfId="0" applyFont="1" applyBorder="1" applyAlignment="1">
      <alignment horizontal="left" vertical="center" wrapText="1"/>
    </xf>
    <xf numFmtId="0" fontId="17" fillId="12" borderId="69" xfId="0" applyFont="1" applyFill="1" applyBorder="1" applyAlignment="1">
      <alignment horizontal="center" vertical="center" wrapText="1"/>
    </xf>
    <xf numFmtId="0" fontId="17" fillId="12" borderId="70" xfId="0" applyFont="1" applyFill="1" applyBorder="1" applyAlignment="1">
      <alignment horizontal="center" vertical="center" wrapText="1"/>
    </xf>
    <xf numFmtId="0" fontId="18" fillId="0" borderId="28" xfId="0" applyFont="1" applyBorder="1" applyAlignment="1">
      <alignment horizontal="justify" vertical="center" wrapText="1"/>
    </xf>
    <xf numFmtId="0" fontId="18" fillId="0" borderId="77" xfId="0" applyFont="1" applyBorder="1" applyAlignment="1">
      <alignment horizontal="justify" vertical="center" wrapText="1"/>
    </xf>
    <xf numFmtId="0" fontId="18" fillId="0" borderId="78" xfId="0" applyFont="1" applyBorder="1" applyAlignment="1">
      <alignment horizontal="justify" vertical="center" wrapText="1"/>
    </xf>
    <xf numFmtId="0" fontId="18" fillId="0" borderId="79" xfId="0" applyFont="1" applyBorder="1" applyAlignment="1">
      <alignment horizontal="justify" vertical="center" wrapText="1"/>
    </xf>
    <xf numFmtId="0" fontId="18" fillId="0" borderId="96" xfId="0" applyFont="1" applyBorder="1" applyAlignment="1">
      <alignment horizontal="justify" vertical="center" wrapText="1"/>
    </xf>
    <xf numFmtId="0" fontId="18" fillId="0" borderId="148" xfId="0" applyFont="1" applyBorder="1" applyAlignment="1">
      <alignment horizontal="justify" vertical="center" wrapText="1"/>
    </xf>
    <xf numFmtId="0" fontId="17" fillId="0" borderId="78" xfId="0" applyFont="1" applyBorder="1" applyAlignment="1">
      <alignment horizontal="justify" vertical="center" wrapText="1"/>
    </xf>
    <xf numFmtId="0" fontId="17" fillId="0" borderId="79" xfId="0" applyFont="1" applyBorder="1" applyAlignment="1">
      <alignment horizontal="justify" vertical="center" wrapText="1"/>
    </xf>
    <xf numFmtId="0" fontId="18" fillId="0" borderId="80"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18" fillId="0" borderId="81"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7" fillId="0" borderId="70" xfId="0" applyFont="1" applyBorder="1" applyAlignment="1">
      <alignment horizontal="justify" vertical="center" wrapText="1"/>
    </xf>
    <xf numFmtId="0" fontId="18" fillId="0" borderId="84" xfId="0" applyFont="1" applyBorder="1" applyAlignment="1">
      <alignment horizontal="justify" vertical="center" wrapText="1"/>
    </xf>
    <xf numFmtId="0" fontId="18" fillId="0" borderId="85" xfId="0" applyFont="1" applyBorder="1" applyAlignment="1">
      <alignment horizontal="justify"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0"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left" vertical="center"/>
    </xf>
    <xf numFmtId="0" fontId="23" fillId="0" borderId="5" xfId="0" applyFont="1" applyFill="1" applyBorder="1" applyAlignment="1">
      <alignment horizontal="center" vertical="center"/>
    </xf>
    <xf numFmtId="0" fontId="23" fillId="0" borderId="7" xfId="0" applyFont="1" applyFill="1" applyBorder="1" applyAlignment="1">
      <alignment horizontal="center" vertical="center"/>
    </xf>
    <xf numFmtId="41" fontId="22" fillId="0" borderId="5" xfId="1" applyFont="1" applyFill="1" applyBorder="1" applyAlignment="1">
      <alignment horizontal="center" vertical="center"/>
    </xf>
    <xf numFmtId="41" fontId="22" fillId="0" borderId="7" xfId="1" applyFont="1" applyFill="1" applyBorder="1" applyAlignment="1">
      <alignment horizontal="center" vertical="center"/>
    </xf>
    <xf numFmtId="41" fontId="23" fillId="0" borderId="32" xfId="1" applyFont="1" applyFill="1" applyBorder="1" applyAlignment="1">
      <alignment horizontal="center" vertical="center"/>
    </xf>
    <xf numFmtId="41" fontId="23" fillId="0" borderId="39" xfId="1" applyFont="1" applyFill="1" applyBorder="1" applyAlignment="1">
      <alignment horizontal="center" vertical="center"/>
    </xf>
    <xf numFmtId="0" fontId="22" fillId="0" borderId="21" xfId="0" applyFont="1" applyBorder="1" applyAlignment="1">
      <alignment horizontal="center" vertical="center" wrapText="1"/>
    </xf>
    <xf numFmtId="41" fontId="23" fillId="0" borderId="16" xfId="4" applyFont="1" applyBorder="1" applyAlignment="1">
      <alignment horizontal="center" vertical="center"/>
    </xf>
    <xf numFmtId="41" fontId="23" fillId="0" borderId="35" xfId="4" applyFont="1" applyBorder="1" applyAlignment="1">
      <alignment horizontal="center" vertical="center"/>
    </xf>
    <xf numFmtId="41" fontId="22" fillId="0" borderId="6" xfId="1" applyFont="1" applyBorder="1" applyAlignment="1">
      <alignment horizontal="center" vertical="center"/>
    </xf>
    <xf numFmtId="41" fontId="22" fillId="0" borderId="26" xfId="0" applyNumberFormat="1" applyFont="1" applyBorder="1" applyAlignment="1">
      <alignment horizontal="center" vertical="center"/>
    </xf>
    <xf numFmtId="41" fontId="22" fillId="0" borderId="37" xfId="0" applyNumberFormat="1" applyFont="1" applyBorder="1" applyAlignment="1">
      <alignment horizontal="center" vertical="center"/>
    </xf>
    <xf numFmtId="41" fontId="23" fillId="0" borderId="0" xfId="4" applyFont="1" applyBorder="1" applyAlignment="1">
      <alignment horizontal="center" vertical="center"/>
    </xf>
    <xf numFmtId="41" fontId="23" fillId="0" borderId="46" xfId="4" applyFont="1" applyBorder="1" applyAlignment="1">
      <alignment horizontal="center" vertical="center"/>
    </xf>
    <xf numFmtId="41" fontId="23" fillId="0" borderId="33" xfId="1" applyFont="1" applyFill="1" applyBorder="1" applyAlignment="1">
      <alignment horizontal="center" vertical="center"/>
    </xf>
    <xf numFmtId="41" fontId="23" fillId="0" borderId="44" xfId="1" applyFont="1" applyFill="1" applyBorder="1" applyAlignment="1">
      <alignment horizontal="center" vertical="center"/>
    </xf>
    <xf numFmtId="41" fontId="23" fillId="0" borderId="31" xfId="1" applyFont="1" applyFill="1" applyBorder="1" applyAlignment="1">
      <alignment horizontal="center" vertical="center"/>
    </xf>
    <xf numFmtId="41" fontId="23" fillId="0" borderId="37" xfId="1" applyFont="1" applyFill="1" applyBorder="1" applyAlignment="1">
      <alignment horizontal="center" vertical="center"/>
    </xf>
    <xf numFmtId="0" fontId="22" fillId="0" borderId="8" xfId="0" applyFont="1" applyBorder="1" applyAlignment="1">
      <alignment horizontal="center" vertical="center"/>
    </xf>
    <xf numFmtId="0" fontId="20" fillId="0" borderId="0" xfId="9" applyFont="1" applyBorder="1" applyAlignment="1">
      <alignment horizontal="center" vertical="center"/>
    </xf>
    <xf numFmtId="0" fontId="20" fillId="0" borderId="0" xfId="0" applyFont="1" applyAlignment="1">
      <alignment horizontal="center" vertical="center"/>
    </xf>
    <xf numFmtId="0" fontId="18" fillId="0" borderId="10" xfId="0" applyFont="1" applyBorder="1" applyAlignment="1">
      <alignment horizontal="left" vertical="center"/>
    </xf>
    <xf numFmtId="0" fontId="18" fillId="0" borderId="21" xfId="0" applyFont="1" applyBorder="1" applyAlignment="1">
      <alignment horizontal="left" vertical="center"/>
    </xf>
    <xf numFmtId="0" fontId="9" fillId="0" borderId="0" xfId="0" applyFont="1" applyAlignment="1">
      <alignment horizontal="center" vertical="center"/>
    </xf>
    <xf numFmtId="0" fontId="18" fillId="7" borderId="8" xfId="0" applyFont="1" applyFill="1" applyBorder="1" applyAlignment="1">
      <alignment horizontal="center" vertical="center"/>
    </xf>
    <xf numFmtId="0" fontId="18" fillId="0" borderId="10" xfId="0" applyFont="1" applyBorder="1" applyAlignment="1">
      <alignment horizontal="left" vertical="center" wrapText="1"/>
    </xf>
    <xf numFmtId="0" fontId="18" fillId="0" borderId="20" xfId="0" applyFont="1" applyBorder="1" applyAlignment="1">
      <alignment horizontal="left" vertical="center"/>
    </xf>
    <xf numFmtId="0" fontId="18" fillId="0" borderId="10" xfId="0" applyFont="1" applyFill="1" applyBorder="1" applyAlignment="1">
      <alignment horizontal="left" vertical="center"/>
    </xf>
    <xf numFmtId="0" fontId="18" fillId="0" borderId="20" xfId="0" applyFont="1" applyFill="1" applyBorder="1" applyAlignment="1">
      <alignment horizontal="left" vertical="center"/>
    </xf>
    <xf numFmtId="0" fontId="18" fillId="0" borderId="21" xfId="0" applyFont="1" applyFill="1" applyBorder="1" applyAlignment="1">
      <alignment horizontal="left" vertical="center"/>
    </xf>
    <xf numFmtId="41" fontId="23" fillId="0" borderId="36" xfId="1" applyFont="1" applyFill="1" applyBorder="1" applyAlignment="1">
      <alignment horizontal="center" vertical="center"/>
    </xf>
    <xf numFmtId="41" fontId="23" fillId="0" borderId="35" xfId="1" applyFont="1" applyFill="1" applyBorder="1" applyAlignment="1">
      <alignment horizontal="center" vertical="center"/>
    </xf>
    <xf numFmtId="0" fontId="23" fillId="0" borderId="8" xfId="0" applyFont="1" applyBorder="1" applyAlignment="1">
      <alignment horizontal="center" vertical="center"/>
    </xf>
    <xf numFmtId="0" fontId="32" fillId="0" borderId="0" xfId="11" applyFont="1" applyBorder="1" applyAlignment="1">
      <alignment horizontal="center" vertical="center" wrapText="1"/>
    </xf>
    <xf numFmtId="0" fontId="17" fillId="7" borderId="8" xfId="12" applyFont="1" applyFill="1" applyBorder="1" applyAlignment="1">
      <alignment horizontal="center" vertical="center"/>
    </xf>
    <xf numFmtId="0" fontId="9" fillId="0" borderId="0"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32" fillId="0" borderId="11" xfId="11" applyFont="1" applyBorder="1" applyAlignment="1">
      <alignment horizontal="center" vertical="center" wrapText="1"/>
    </xf>
    <xf numFmtId="0" fontId="32" fillId="0" borderId="12" xfId="11" applyFont="1" applyBorder="1" applyAlignment="1">
      <alignment horizontal="center" vertical="center" wrapText="1"/>
    </xf>
    <xf numFmtId="0" fontId="32" fillId="0" borderId="34" xfId="11" applyFont="1" applyBorder="1" applyAlignment="1">
      <alignment horizontal="center" vertical="center" wrapText="1"/>
    </xf>
    <xf numFmtId="0" fontId="33" fillId="7" borderId="8" xfId="11" applyFont="1" applyFill="1" applyBorder="1" applyAlignment="1">
      <alignment horizontal="center" vertical="center" wrapText="1"/>
    </xf>
    <xf numFmtId="0" fontId="18" fillId="0" borderId="8" xfId="11" applyFont="1" applyBorder="1" applyAlignment="1">
      <alignment horizontal="left" vertical="center" wrapText="1"/>
    </xf>
    <xf numFmtId="0" fontId="18" fillId="0" borderId="8" xfId="11" applyFont="1" applyBorder="1" applyAlignment="1">
      <alignment horizontal="center" vertical="center" wrapText="1"/>
    </xf>
    <xf numFmtId="0" fontId="17" fillId="7" borderId="8" xfId="11" applyFont="1" applyFill="1" applyBorder="1" applyAlignment="1">
      <alignment horizontal="center" vertical="center" wrapText="1"/>
    </xf>
    <xf numFmtId="0" fontId="9" fillId="0" borderId="0" xfId="11" applyFont="1" applyAlignment="1">
      <alignment horizontal="center" vertical="center"/>
    </xf>
    <xf numFmtId="0" fontId="17" fillId="0" borderId="8" xfId="11" applyFont="1" applyBorder="1" applyAlignment="1">
      <alignment horizontal="left" vertical="center" wrapText="1"/>
    </xf>
    <xf numFmtId="0" fontId="23" fillId="0" borderId="0" xfId="11" applyFont="1" applyFill="1" applyAlignment="1">
      <alignment horizontal="left" vertical="center"/>
    </xf>
    <xf numFmtId="0" fontId="23" fillId="0" borderId="0" xfId="15" applyFont="1" applyFill="1" applyAlignment="1" applyProtection="1">
      <alignment horizontal="left" vertical="center"/>
    </xf>
    <xf numFmtId="0" fontId="23" fillId="0" borderId="0" xfId="11" applyFont="1" applyAlignment="1">
      <alignment horizontal="left" vertical="center"/>
    </xf>
    <xf numFmtId="0" fontId="23" fillId="0" borderId="0" xfId="11" applyFont="1" applyAlignment="1">
      <alignment horizontal="center" vertical="center"/>
    </xf>
    <xf numFmtId="0" fontId="23" fillId="0" borderId="0" xfId="11" applyFont="1" applyFill="1" applyAlignment="1">
      <alignment horizontal="center" vertical="center"/>
    </xf>
    <xf numFmtId="0" fontId="23" fillId="7" borderId="0" xfId="11" applyFont="1" applyFill="1" applyAlignment="1">
      <alignment horizontal="left" vertical="center"/>
    </xf>
    <xf numFmtId="0" fontId="22" fillId="0" borderId="0" xfId="11" applyFont="1" applyAlignment="1">
      <alignment horizontal="left" vertical="center"/>
    </xf>
    <xf numFmtId="0" fontId="22" fillId="7" borderId="0" xfId="11" applyFont="1" applyFill="1" applyAlignment="1">
      <alignment horizontal="left" vertical="center"/>
    </xf>
    <xf numFmtId="0" fontId="23" fillId="5" borderId="0" xfId="15" applyFont="1" applyFill="1" applyAlignment="1" applyProtection="1">
      <alignment horizontal="left" vertical="center" wrapText="1"/>
    </xf>
    <xf numFmtId="0" fontId="23" fillId="5" borderId="0" xfId="15" applyFont="1" applyFill="1" applyAlignment="1" applyProtection="1">
      <alignment horizontal="left" vertical="center"/>
    </xf>
    <xf numFmtId="0" fontId="23" fillId="0" borderId="0" xfId="11" applyFont="1" applyFill="1" applyAlignment="1">
      <alignment horizontal="left" vertical="center" wrapText="1"/>
    </xf>
    <xf numFmtId="0" fontId="22" fillId="7" borderId="8" xfId="0" applyFont="1" applyFill="1" applyBorder="1" applyAlignment="1">
      <alignment horizontal="center" vertical="center"/>
    </xf>
    <xf numFmtId="187" fontId="22" fillId="7" borderId="8" xfId="0" applyNumberFormat="1" applyFont="1" applyFill="1" applyBorder="1" applyAlignment="1">
      <alignment horizontal="center" vertical="center"/>
    </xf>
    <xf numFmtId="179" fontId="22" fillId="7" borderId="8" xfId="1" applyNumberFormat="1" applyFont="1" applyFill="1" applyBorder="1" applyAlignment="1">
      <alignment horizontal="center" vertical="center"/>
    </xf>
    <xf numFmtId="0" fontId="122" fillId="0" borderId="0" xfId="16" applyFont="1" applyBorder="1" applyAlignment="1">
      <alignment horizontal="center" vertical="center" wrapText="1"/>
    </xf>
    <xf numFmtId="177" fontId="21" fillId="0" borderId="0" xfId="1" applyNumberFormat="1" applyFont="1" applyAlignment="1">
      <alignment horizontal="left" vertical="center"/>
    </xf>
    <xf numFmtId="177" fontId="21" fillId="0" borderId="8" xfId="1" applyNumberFormat="1" applyFont="1" applyBorder="1" applyAlignment="1">
      <alignment horizontal="center" vertical="center"/>
    </xf>
    <xf numFmtId="0" fontId="30" fillId="0" borderId="0" xfId="8" applyFont="1" applyAlignment="1">
      <alignment horizontal="center" vertical="center"/>
    </xf>
    <xf numFmtId="177" fontId="21" fillId="0" borderId="41" xfId="1" applyNumberFormat="1" applyFont="1" applyBorder="1" applyAlignment="1">
      <alignment horizontal="left" vertical="center"/>
    </xf>
    <xf numFmtId="177" fontId="21" fillId="0" borderId="8" xfId="1" applyNumberFormat="1" applyFont="1" applyBorder="1" applyAlignment="1">
      <alignment horizontal="left" vertical="center"/>
    </xf>
    <xf numFmtId="177" fontId="21" fillId="0" borderId="40" xfId="1" applyNumberFormat="1" applyFont="1" applyBorder="1" applyAlignment="1">
      <alignment horizontal="left" vertical="center"/>
    </xf>
    <xf numFmtId="177" fontId="21" fillId="0" borderId="38" xfId="1" applyNumberFormat="1" applyFont="1" applyBorder="1" applyAlignment="1">
      <alignment horizontal="left" vertical="center"/>
    </xf>
    <xf numFmtId="0" fontId="28" fillId="0" borderId="0" xfId="0" applyFont="1" applyBorder="1" applyAlignment="1">
      <alignment horizontal="left" vertical="center"/>
    </xf>
    <xf numFmtId="41" fontId="29" fillId="0" borderId="5" xfId="1" applyFont="1" applyBorder="1" applyAlignment="1">
      <alignment horizontal="center" vertical="center"/>
    </xf>
    <xf numFmtId="41" fontId="29" fillId="0" borderId="7" xfId="1" applyFont="1" applyBorder="1" applyAlignment="1">
      <alignment horizontal="center" vertical="center"/>
    </xf>
    <xf numFmtId="41" fontId="21" fillId="0" borderId="31" xfId="1" applyFont="1" applyBorder="1" applyAlignment="1">
      <alignment horizontal="center" vertical="center"/>
    </xf>
    <xf numFmtId="41" fontId="21" fillId="0" borderId="37" xfId="1" applyFont="1" applyBorder="1" applyAlignment="1">
      <alignment horizontal="center" vertical="center"/>
    </xf>
    <xf numFmtId="41" fontId="21" fillId="0" borderId="32" xfId="1" applyFont="1" applyBorder="1" applyAlignment="1">
      <alignment horizontal="center" vertical="center"/>
    </xf>
    <xf numFmtId="41" fontId="21" fillId="0" borderId="39" xfId="1" applyFont="1" applyBorder="1" applyAlignment="1">
      <alignment horizontal="center" vertical="center"/>
    </xf>
    <xf numFmtId="41" fontId="21" fillId="0" borderId="53" xfId="1" applyFont="1" applyBorder="1" applyAlignment="1">
      <alignment horizontal="center" vertical="center"/>
    </xf>
    <xf numFmtId="41" fontId="21" fillId="0" borderId="51" xfId="1" applyFont="1" applyBorder="1" applyAlignment="1">
      <alignment horizontal="center" vertical="center"/>
    </xf>
    <xf numFmtId="41" fontId="29" fillId="0" borderId="12" xfId="1" applyFont="1" applyBorder="1" applyAlignment="1">
      <alignment horizontal="center" vertical="center"/>
    </xf>
    <xf numFmtId="0" fontId="15" fillId="7" borderId="153" xfId="0" applyFont="1" applyFill="1" applyBorder="1" applyAlignment="1">
      <alignment horizontal="left" vertical="center"/>
    </xf>
    <xf numFmtId="0" fontId="15" fillId="7" borderId="166" xfId="0" applyFont="1" applyFill="1" applyBorder="1" applyAlignment="1">
      <alignment horizontal="left" vertical="center"/>
    </xf>
    <xf numFmtId="0" fontId="15" fillId="7" borderId="154" xfId="0" applyFont="1" applyFill="1" applyBorder="1" applyAlignment="1">
      <alignment horizontal="left" vertical="center"/>
    </xf>
    <xf numFmtId="0" fontId="15" fillId="0" borderId="153" xfId="0" applyFont="1" applyFill="1" applyBorder="1" applyAlignment="1">
      <alignment horizontal="center" vertical="center"/>
    </xf>
    <xf numFmtId="0" fontId="15" fillId="0" borderId="166" xfId="0" applyFont="1" applyFill="1" applyBorder="1" applyAlignment="1">
      <alignment horizontal="center" vertical="center"/>
    </xf>
    <xf numFmtId="0" fontId="15" fillId="0" borderId="154" xfId="0" applyFont="1" applyFill="1" applyBorder="1" applyAlignment="1">
      <alignment horizontal="center" vertical="center"/>
    </xf>
    <xf numFmtId="0" fontId="52" fillId="0" borderId="0" xfId="0" applyFont="1" applyBorder="1" applyAlignment="1">
      <alignment horizontal="center" vertical="center"/>
    </xf>
    <xf numFmtId="0" fontId="32" fillId="0" borderId="0" xfId="0" applyFont="1" applyBorder="1" applyAlignment="1">
      <alignment horizontal="center" vertical="center"/>
    </xf>
    <xf numFmtId="0" fontId="148" fillId="34" borderId="104" xfId="0" applyFont="1" applyFill="1" applyBorder="1" applyAlignment="1">
      <alignment horizontal="center" vertical="center"/>
    </xf>
    <xf numFmtId="0" fontId="15" fillId="34" borderId="104" xfId="0" applyFont="1" applyFill="1" applyBorder="1" applyAlignment="1">
      <alignment horizontal="center" vertical="center"/>
    </xf>
    <xf numFmtId="0" fontId="15" fillId="7" borderId="21" xfId="0" applyFont="1" applyFill="1" applyBorder="1" applyAlignment="1">
      <alignment horizontal="left" vertical="center"/>
    </xf>
    <xf numFmtId="0" fontId="14" fillId="0" borderId="150" xfId="0" applyFont="1" applyFill="1" applyBorder="1" applyAlignment="1">
      <alignment horizontal="left" vertical="center"/>
    </xf>
    <xf numFmtId="0" fontId="14" fillId="0" borderId="153" xfId="0" applyFont="1" applyFill="1" applyBorder="1" applyAlignment="1">
      <alignment horizontal="left" vertical="center"/>
    </xf>
    <xf numFmtId="0" fontId="14" fillId="0" borderId="154" xfId="0" applyFont="1" applyFill="1" applyBorder="1" applyAlignment="1">
      <alignment horizontal="left" vertical="center"/>
    </xf>
    <xf numFmtId="0" fontId="140" fillId="30" borderId="99" xfId="0" applyNumberFormat="1" applyFont="1" applyFill="1" applyBorder="1" applyAlignment="1" applyProtection="1">
      <alignment horizontal="center" vertical="center"/>
    </xf>
    <xf numFmtId="0" fontId="140" fillId="30" borderId="113" xfId="0" applyNumberFormat="1" applyFont="1" applyFill="1" applyBorder="1" applyAlignment="1" applyProtection="1">
      <alignment horizontal="center" vertical="center"/>
    </xf>
    <xf numFmtId="0" fontId="140" fillId="30" borderId="97" xfId="0" applyNumberFormat="1" applyFont="1" applyFill="1" applyBorder="1" applyAlignment="1" applyProtection="1">
      <alignment horizontal="center" vertical="center"/>
    </xf>
    <xf numFmtId="0" fontId="140" fillId="30" borderId="98" xfId="0" applyNumberFormat="1" applyFont="1" applyFill="1" applyBorder="1" applyAlignment="1" applyProtection="1">
      <alignment horizontal="center" vertical="center"/>
    </xf>
    <xf numFmtId="177" fontId="141" fillId="29" borderId="157" xfId="0" applyNumberFormat="1" applyFont="1" applyFill="1" applyBorder="1" applyAlignment="1" applyProtection="1">
      <alignment horizontal="center" vertical="center"/>
    </xf>
    <xf numFmtId="177" fontId="141" fillId="29" borderId="159" xfId="0" applyNumberFormat="1" applyFont="1" applyFill="1" applyBorder="1" applyAlignment="1" applyProtection="1">
      <alignment horizontal="center" vertical="center"/>
    </xf>
    <xf numFmtId="177" fontId="141" fillId="29" borderId="161" xfId="0" applyNumberFormat="1" applyFont="1" applyFill="1" applyBorder="1" applyAlignment="1" applyProtection="1">
      <alignment horizontal="center" vertical="center"/>
    </xf>
    <xf numFmtId="177" fontId="141" fillId="29" borderId="162" xfId="0" applyNumberFormat="1" applyFont="1" applyFill="1" applyBorder="1" applyAlignment="1" applyProtection="1">
      <alignment horizontal="center" vertical="center"/>
    </xf>
    <xf numFmtId="0" fontId="140" fillId="30" borderId="160" xfId="0" applyNumberFormat="1" applyFont="1" applyFill="1" applyBorder="1" applyAlignment="1" applyProtection="1">
      <alignment horizontal="center" vertical="center"/>
    </xf>
    <xf numFmtId="181" fontId="141" fillId="0" borderId="161" xfId="0" applyNumberFormat="1" applyFont="1" applyFill="1" applyBorder="1" applyAlignment="1" applyProtection="1">
      <alignment horizontal="center" vertical="center"/>
    </xf>
    <xf numFmtId="181" fontId="141" fillId="0" borderId="159" xfId="0" applyNumberFormat="1" applyFont="1" applyFill="1" applyBorder="1" applyAlignment="1" applyProtection="1">
      <alignment horizontal="center" vertical="center"/>
    </xf>
    <xf numFmtId="181" fontId="141" fillId="29" borderId="161" xfId="0" applyNumberFormat="1" applyFont="1" applyFill="1" applyBorder="1" applyAlignment="1" applyProtection="1">
      <alignment horizontal="center" vertical="center"/>
    </xf>
    <xf numFmtId="181" fontId="141" fillId="29" borderId="158" xfId="0" applyNumberFormat="1" applyFont="1" applyFill="1" applyBorder="1" applyAlignment="1" applyProtection="1">
      <alignment horizontal="center" vertical="center"/>
    </xf>
    <xf numFmtId="181" fontId="141" fillId="29" borderId="162" xfId="0" applyNumberFormat="1" applyFont="1" applyFill="1" applyBorder="1" applyAlignment="1" applyProtection="1">
      <alignment horizontal="center" vertical="center"/>
    </xf>
    <xf numFmtId="181" fontId="141" fillId="0" borderId="158" xfId="0" applyNumberFormat="1" applyFont="1" applyFill="1" applyBorder="1" applyAlignment="1" applyProtection="1">
      <alignment horizontal="center" vertical="center"/>
    </xf>
    <xf numFmtId="0" fontId="133" fillId="0" borderId="155" xfId="0" applyNumberFormat="1" applyFont="1" applyFill="1" applyBorder="1" applyAlignment="1" applyProtection="1">
      <alignment horizontal="center" vertical="center"/>
    </xf>
    <xf numFmtId="0" fontId="133" fillId="0" borderId="150" xfId="0" applyNumberFormat="1" applyFont="1" applyFill="1" applyBorder="1" applyAlignment="1" applyProtection="1">
      <alignment horizontal="center" vertical="center"/>
    </xf>
    <xf numFmtId="0" fontId="133" fillId="0" borderId="157" xfId="0" applyNumberFormat="1" applyFont="1" applyFill="1" applyBorder="1" applyAlignment="1" applyProtection="1">
      <alignment horizontal="center" vertical="center"/>
    </xf>
    <xf numFmtId="0" fontId="133" fillId="0" borderId="158" xfId="0" applyNumberFormat="1" applyFont="1" applyFill="1" applyBorder="1" applyAlignment="1" applyProtection="1">
      <alignment horizontal="center" vertical="center"/>
    </xf>
    <xf numFmtId="0" fontId="133" fillId="0" borderId="159" xfId="0" applyNumberFormat="1" applyFont="1" applyFill="1" applyBorder="1" applyAlignment="1" applyProtection="1">
      <alignment horizontal="center" vertical="center"/>
    </xf>
    <xf numFmtId="280" fontId="107" fillId="29" borderId="151" xfId="0" applyNumberFormat="1" applyFont="1" applyFill="1" applyBorder="1" applyAlignment="1" applyProtection="1">
      <alignment horizontal="center" vertical="center"/>
    </xf>
    <xf numFmtId="280" fontId="107" fillId="29" borderId="152" xfId="0" applyNumberFormat="1" applyFont="1" applyFill="1" applyBorder="1" applyAlignment="1" applyProtection="1">
      <alignment horizontal="center" vertical="center"/>
    </xf>
    <xf numFmtId="199" fontId="135" fillId="0" borderId="150" xfId="0" applyNumberFormat="1" applyFont="1" applyFill="1" applyBorder="1" applyAlignment="1" applyProtection="1">
      <alignment horizontal="right" vertical="center"/>
    </xf>
    <xf numFmtId="199" fontId="135" fillId="29" borderId="150" xfId="0" applyNumberFormat="1" applyFont="1" applyFill="1" applyBorder="1" applyAlignment="1" applyProtection="1">
      <alignment horizontal="right" vertical="center"/>
    </xf>
    <xf numFmtId="199" fontId="135" fillId="29" borderId="156" xfId="0" applyNumberFormat="1" applyFont="1" applyFill="1" applyBorder="1" applyAlignment="1" applyProtection="1">
      <alignment horizontal="right" vertical="center"/>
    </xf>
    <xf numFmtId="278" fontId="135" fillId="29" borderId="150" xfId="0" applyNumberFormat="1" applyFont="1" applyFill="1" applyBorder="1" applyAlignment="1" applyProtection="1">
      <alignment horizontal="right" vertical="center"/>
    </xf>
    <xf numFmtId="200" fontId="135" fillId="29" borderId="150" xfId="0" applyNumberFormat="1" applyFont="1" applyFill="1" applyBorder="1" applyAlignment="1" applyProtection="1">
      <alignment horizontal="right" vertical="center"/>
    </xf>
    <xf numFmtId="200" fontId="135" fillId="29" borderId="156" xfId="0" applyNumberFormat="1" applyFont="1" applyFill="1" applyBorder="1" applyAlignment="1" applyProtection="1">
      <alignment horizontal="right" vertical="center"/>
    </xf>
    <xf numFmtId="0" fontId="21" fillId="29" borderId="150" xfId="0" applyNumberFormat="1" applyFont="1" applyFill="1" applyBorder="1" applyAlignment="1" applyProtection="1">
      <alignment horizontal="left" vertical="center"/>
    </xf>
    <xf numFmtId="0" fontId="21" fillId="29" borderId="156" xfId="0" applyNumberFormat="1" applyFont="1" applyFill="1" applyBorder="1" applyAlignment="1" applyProtection="1">
      <alignment horizontal="left" vertical="center"/>
    </xf>
    <xf numFmtId="0" fontId="129" fillId="0" borderId="0" xfId="0" applyNumberFormat="1" applyFont="1" applyFill="1" applyBorder="1" applyAlignment="1" applyProtection="1">
      <alignment horizontal="center" vertical="center"/>
    </xf>
    <xf numFmtId="0" fontId="130" fillId="0" borderId="0" xfId="0" applyNumberFormat="1" applyFont="1" applyFill="1" applyBorder="1" applyAlignment="1" applyProtection="1">
      <alignment horizontal="center" vertical="center"/>
    </xf>
    <xf numFmtId="49" fontId="23" fillId="0" borderId="0" xfId="0" applyNumberFormat="1" applyFont="1" applyFill="1" applyBorder="1" applyAlignment="1" applyProtection="1">
      <alignment horizontal="center" vertical="center"/>
    </xf>
    <xf numFmtId="49" fontId="23" fillId="0" borderId="46" xfId="0" applyNumberFormat="1" applyFont="1" applyFill="1" applyBorder="1" applyAlignment="1" applyProtection="1">
      <alignment horizontal="center" vertical="center"/>
    </xf>
    <xf numFmtId="49" fontId="23" fillId="29" borderId="153" xfId="0" applyNumberFormat="1" applyFont="1" applyFill="1" applyBorder="1" applyAlignment="1" applyProtection="1">
      <alignment horizontal="center" vertical="center"/>
    </xf>
    <xf numFmtId="49" fontId="23" fillId="29" borderId="154" xfId="0" applyNumberFormat="1" applyFont="1" applyFill="1" applyBorder="1" applyAlignment="1" applyProtection="1">
      <alignment horizontal="center" vertical="center"/>
    </xf>
    <xf numFmtId="0" fontId="0" fillId="0" borderId="153" xfId="0" applyBorder="1" applyAlignment="1">
      <alignment horizontal="left" vertical="center"/>
    </xf>
    <xf numFmtId="0" fontId="0" fillId="0" borderId="154" xfId="0" applyBorder="1" applyAlignment="1">
      <alignment horizontal="left" vertical="center"/>
    </xf>
    <xf numFmtId="0" fontId="52" fillId="0" borderId="0" xfId="0" applyFont="1" applyAlignment="1">
      <alignment horizontal="center" vertical="center"/>
    </xf>
    <xf numFmtId="0" fontId="149" fillId="0" borderId="0" xfId="0" applyFont="1" applyAlignment="1">
      <alignment horizontal="center" vertical="center"/>
    </xf>
    <xf numFmtId="0" fontId="49" fillId="31" borderId="153" xfId="0" applyFont="1" applyFill="1" applyBorder="1" applyAlignment="1">
      <alignment horizontal="center" vertical="center"/>
    </xf>
    <xf numFmtId="0" fontId="49" fillId="31" borderId="166" xfId="0" applyFont="1" applyFill="1" applyBorder="1" applyAlignment="1">
      <alignment horizontal="center" vertical="center"/>
    </xf>
    <xf numFmtId="0" fontId="49" fillId="31" borderId="154" xfId="0" applyFont="1" applyFill="1" applyBorder="1" applyAlignment="1">
      <alignment horizontal="center" vertical="center"/>
    </xf>
    <xf numFmtId="0" fontId="47" fillId="14" borderId="99" xfId="0" applyFont="1" applyFill="1" applyBorder="1" applyAlignment="1">
      <alignment horizontal="center" vertical="center"/>
    </xf>
    <xf numFmtId="0" fontId="47" fillId="14" borderId="160" xfId="0" applyFont="1" applyFill="1" applyBorder="1" applyAlignment="1">
      <alignment horizontal="center" vertical="center"/>
    </xf>
    <xf numFmtId="0" fontId="47" fillId="14" borderId="98" xfId="0" applyFont="1" applyFill="1" applyBorder="1" applyAlignment="1">
      <alignment horizontal="center" vertical="center"/>
    </xf>
    <xf numFmtId="0" fontId="151" fillId="0" borderId="109" xfId="0" applyFont="1" applyFill="1" applyBorder="1" applyAlignment="1">
      <alignment horizontal="center" vertical="center" wrapText="1"/>
    </xf>
    <xf numFmtId="0" fontId="151" fillId="0" borderId="112" xfId="0" applyFont="1" applyFill="1" applyBorder="1" applyAlignment="1">
      <alignment horizontal="center" vertical="center" wrapText="1"/>
    </xf>
    <xf numFmtId="0" fontId="151" fillId="0" borderId="88" xfId="0" applyFont="1" applyFill="1" applyBorder="1" applyAlignment="1">
      <alignment horizontal="center" vertical="center" wrapText="1"/>
    </xf>
    <xf numFmtId="0" fontId="151" fillId="0" borderId="172" xfId="0" applyFont="1" applyFill="1" applyBorder="1" applyAlignment="1">
      <alignment horizontal="center" vertical="center" wrapText="1"/>
    </xf>
    <xf numFmtId="0" fontId="152" fillId="14" borderId="168" xfId="0" applyFont="1" applyFill="1" applyBorder="1" applyAlignment="1">
      <alignment horizontal="center" vertical="center"/>
    </xf>
    <xf numFmtId="0" fontId="152" fillId="14" borderId="103" xfId="0" applyFont="1" applyFill="1" applyBorder="1" applyAlignment="1">
      <alignment horizontal="center" vertical="center"/>
    </xf>
    <xf numFmtId="0" fontId="152" fillId="14" borderId="97" xfId="0" applyFont="1" applyFill="1" applyBorder="1" applyAlignment="1">
      <alignment horizontal="center" vertical="center"/>
    </xf>
    <xf numFmtId="0" fontId="152" fillId="14" borderId="98" xfId="0" applyFont="1" applyFill="1" applyBorder="1" applyAlignment="1">
      <alignment horizontal="center" vertical="center"/>
    </xf>
    <xf numFmtId="195" fontId="152" fillId="15" borderId="99" xfId="0" applyNumberFormat="1" applyFont="1" applyFill="1" applyBorder="1" applyAlignment="1">
      <alignment horizontal="center" vertical="center"/>
    </xf>
    <xf numFmtId="195" fontId="152" fillId="15" borderId="160" xfId="0" applyNumberFormat="1" applyFont="1" applyFill="1" applyBorder="1" applyAlignment="1">
      <alignment horizontal="center" vertical="center"/>
    </xf>
    <xf numFmtId="195" fontId="152" fillId="15" borderId="98" xfId="0" applyNumberFormat="1" applyFont="1" applyFill="1" applyBorder="1" applyAlignment="1">
      <alignment horizontal="center" vertical="center"/>
    </xf>
    <xf numFmtId="183" fontId="47" fillId="16" borderId="99" xfId="0" applyNumberFormat="1" applyFont="1" applyFill="1" applyBorder="1" applyAlignment="1">
      <alignment horizontal="center" vertical="center"/>
    </xf>
    <xf numFmtId="183" fontId="47" fillId="16" borderId="160" xfId="0" applyNumberFormat="1" applyFont="1" applyFill="1" applyBorder="1" applyAlignment="1">
      <alignment horizontal="center" vertical="center"/>
    </xf>
    <xf numFmtId="183" fontId="47" fillId="16" borderId="98" xfId="0" applyNumberFormat="1" applyFont="1" applyFill="1" applyBorder="1" applyAlignment="1">
      <alignment horizontal="center" vertical="center"/>
    </xf>
    <xf numFmtId="183" fontId="152" fillId="17" borderId="169" xfId="0" applyNumberFormat="1" applyFont="1" applyFill="1" applyBorder="1" applyAlignment="1">
      <alignment horizontal="center" vertical="center"/>
    </xf>
    <xf numFmtId="183" fontId="152" fillId="17" borderId="108" xfId="0" applyNumberFormat="1" applyFont="1" applyFill="1" applyBorder="1" applyAlignment="1">
      <alignment horizontal="center" vertical="center"/>
    </xf>
    <xf numFmtId="195" fontId="152" fillId="18" borderId="100" xfId="0" applyNumberFormat="1" applyFont="1" applyFill="1" applyBorder="1" applyAlignment="1">
      <alignment horizontal="center" vertical="center"/>
    </xf>
    <xf numFmtId="195" fontId="152" fillId="18" borderId="101" xfId="0" applyNumberFormat="1" applyFont="1" applyFill="1" applyBorder="1" applyAlignment="1">
      <alignment horizontal="center" vertical="center"/>
    </xf>
    <xf numFmtId="195" fontId="152" fillId="18" borderId="102" xfId="0" applyNumberFormat="1" applyFont="1" applyFill="1" applyBorder="1" applyAlignment="1">
      <alignment horizontal="center" vertical="center"/>
    </xf>
    <xf numFmtId="0" fontId="157" fillId="0" borderId="153" xfId="0" applyFont="1" applyBorder="1" applyAlignment="1">
      <alignment horizontal="left" vertical="center" wrapText="1"/>
    </xf>
    <xf numFmtId="0" fontId="157" fillId="0" borderId="166" xfId="0" applyFont="1" applyBorder="1" applyAlignment="1">
      <alignment horizontal="left" vertical="center" wrapText="1"/>
    </xf>
    <xf numFmtId="0" fontId="14" fillId="0" borderId="36" xfId="0" applyFont="1" applyBorder="1" applyAlignment="1">
      <alignment horizontal="left" vertical="center" wrapText="1"/>
    </xf>
    <xf numFmtId="0" fontId="14" fillId="0" borderId="16" xfId="0" applyFont="1" applyBorder="1" applyAlignment="1">
      <alignment horizontal="left" vertical="center" wrapText="1"/>
    </xf>
    <xf numFmtId="0" fontId="14" fillId="0" borderId="35" xfId="0" applyFont="1" applyBorder="1" applyAlignment="1">
      <alignment horizontal="left" vertical="center" wrapText="1"/>
    </xf>
    <xf numFmtId="0" fontId="157" fillId="0" borderId="154" xfId="0" applyFont="1" applyBorder="1" applyAlignment="1">
      <alignment horizontal="left" vertical="center" wrapText="1"/>
    </xf>
    <xf numFmtId="180" fontId="156" fillId="0" borderId="153" xfId="0" applyNumberFormat="1" applyFont="1" applyFill="1" applyBorder="1" applyAlignment="1">
      <alignment horizontal="center" vertical="center"/>
    </xf>
    <xf numFmtId="180" fontId="156" fillId="0" borderId="154" xfId="0" applyNumberFormat="1" applyFont="1" applyFill="1" applyBorder="1" applyAlignment="1">
      <alignment horizontal="center" vertical="center"/>
    </xf>
    <xf numFmtId="0" fontId="156" fillId="7" borderId="36" xfId="0" applyFont="1" applyFill="1" applyBorder="1" applyAlignment="1">
      <alignment horizontal="center" vertical="center"/>
    </xf>
    <xf numFmtId="0" fontId="156" fillId="7" borderId="35" xfId="0" applyFont="1" applyFill="1" applyBorder="1" applyAlignment="1">
      <alignment horizontal="center" vertical="center"/>
    </xf>
    <xf numFmtId="0" fontId="14" fillId="0" borderId="167"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56" fillId="0" borderId="153" xfId="0" applyFont="1" applyFill="1" applyBorder="1" applyAlignment="1">
      <alignment horizontal="center" vertical="center"/>
    </xf>
    <xf numFmtId="0" fontId="156" fillId="0" borderId="166" xfId="0" applyFont="1" applyFill="1" applyBorder="1" applyAlignment="1">
      <alignment horizontal="center" vertical="center"/>
    </xf>
    <xf numFmtId="0" fontId="156" fillId="0" borderId="154" xfId="0" applyFont="1" applyFill="1" applyBorder="1" applyAlignment="1">
      <alignment horizontal="center" vertical="center"/>
    </xf>
    <xf numFmtId="0" fontId="14" fillId="0" borderId="150" xfId="0" applyFont="1" applyBorder="1" applyAlignment="1">
      <alignment horizontal="center" vertical="center" wrapText="1"/>
    </xf>
    <xf numFmtId="200" fontId="156" fillId="0" borderId="153" xfId="0" applyNumberFormat="1" applyFont="1" applyFill="1" applyBorder="1" applyAlignment="1">
      <alignment horizontal="center" vertical="center"/>
    </xf>
    <xf numFmtId="200" fontId="156" fillId="0" borderId="166" xfId="0" applyNumberFormat="1" applyFont="1" applyFill="1" applyBorder="1" applyAlignment="1">
      <alignment horizontal="center" vertical="center"/>
    </xf>
    <xf numFmtId="200" fontId="156" fillId="0" borderId="154" xfId="0" applyNumberFormat="1" applyFont="1" applyFill="1" applyBorder="1" applyAlignment="1">
      <alignment horizontal="center" vertical="center"/>
    </xf>
    <xf numFmtId="0" fontId="14" fillId="0" borderId="153" xfId="0" applyFont="1" applyBorder="1" applyAlignment="1">
      <alignment horizontal="left" vertical="center" wrapText="1"/>
    </xf>
    <xf numFmtId="0" fontId="14" fillId="0" borderId="166" xfId="0" applyFont="1" applyBorder="1" applyAlignment="1">
      <alignment horizontal="left" vertical="center" wrapText="1"/>
    </xf>
    <xf numFmtId="0" fontId="14" fillId="0" borderId="154" xfId="0" applyFont="1" applyBorder="1" applyAlignment="1">
      <alignment horizontal="left" vertical="center" wrapText="1"/>
    </xf>
    <xf numFmtId="0" fontId="156" fillId="7" borderId="163" xfId="0" applyFont="1" applyFill="1" applyBorder="1" applyAlignment="1">
      <alignment horizontal="center" vertical="center"/>
    </xf>
    <xf numFmtId="0" fontId="156" fillId="7" borderId="164" xfId="0" applyFont="1" applyFill="1" applyBorder="1" applyAlignment="1">
      <alignment horizontal="center" vertical="center"/>
    </xf>
    <xf numFmtId="0" fontId="156" fillId="7" borderId="165" xfId="0" applyFont="1" applyFill="1" applyBorder="1" applyAlignment="1">
      <alignment horizontal="center" vertical="center"/>
    </xf>
    <xf numFmtId="0" fontId="156" fillId="7" borderId="45" xfId="0" applyFont="1" applyFill="1" applyBorder="1" applyAlignment="1">
      <alignment horizontal="center" vertical="center"/>
    </xf>
    <xf numFmtId="0" fontId="156" fillId="7" borderId="0" xfId="0" applyFont="1" applyFill="1" applyBorder="1" applyAlignment="1">
      <alignment horizontal="center" vertical="center"/>
    </xf>
    <xf numFmtId="0" fontId="156" fillId="7" borderId="46" xfId="0" applyFont="1" applyFill="1" applyBorder="1" applyAlignment="1">
      <alignment horizontal="center" vertical="center"/>
    </xf>
    <xf numFmtId="0" fontId="156" fillId="7" borderId="16" xfId="0" applyFont="1" applyFill="1" applyBorder="1" applyAlignment="1">
      <alignment horizontal="center" vertical="center"/>
    </xf>
    <xf numFmtId="205" fontId="156" fillId="0" borderId="153" xfId="0" applyNumberFormat="1" applyFont="1" applyFill="1" applyBorder="1" applyAlignment="1">
      <alignment horizontal="center" vertical="center"/>
    </xf>
    <xf numFmtId="205" fontId="156" fillId="0" borderId="166" xfId="0" applyNumberFormat="1" applyFont="1" applyFill="1" applyBorder="1" applyAlignment="1">
      <alignment horizontal="center" vertical="center"/>
    </xf>
    <xf numFmtId="205" fontId="156" fillId="0" borderId="154" xfId="0" applyNumberFormat="1" applyFont="1" applyFill="1" applyBorder="1" applyAlignment="1">
      <alignment horizontal="center" vertical="center"/>
    </xf>
    <xf numFmtId="0" fontId="14" fillId="0" borderId="163" xfId="0" applyFont="1" applyBorder="1" applyAlignment="1">
      <alignment horizontal="center" vertical="center"/>
    </xf>
    <xf numFmtId="0" fontId="14" fillId="0" borderId="36" xfId="0" applyFont="1" applyBorder="1" applyAlignment="1">
      <alignment horizontal="center" vertical="center"/>
    </xf>
    <xf numFmtId="0" fontId="156" fillId="0" borderId="163" xfId="0" applyFont="1" applyFill="1" applyBorder="1" applyAlignment="1">
      <alignment horizontal="left" vertical="center"/>
    </xf>
    <xf numFmtId="0" fontId="156" fillId="0" borderId="164" xfId="0" applyFont="1" applyFill="1" applyBorder="1" applyAlignment="1">
      <alignment horizontal="left" vertical="center"/>
    </xf>
    <xf numFmtId="0" fontId="156" fillId="0" borderId="165" xfId="0" applyFont="1" applyFill="1" applyBorder="1" applyAlignment="1">
      <alignment horizontal="left" vertical="center"/>
    </xf>
    <xf numFmtId="180" fontId="156" fillId="0" borderId="150" xfId="0" applyNumberFormat="1" applyFont="1" applyFill="1" applyBorder="1" applyAlignment="1">
      <alignment horizontal="center" vertical="center"/>
    </xf>
    <xf numFmtId="0" fontId="157" fillId="0" borderId="123" xfId="0" applyFont="1" applyBorder="1" applyAlignment="1">
      <alignment horizontal="center" vertical="center" wrapText="1"/>
    </xf>
    <xf numFmtId="0" fontId="157" fillId="0" borderId="107" xfId="0" applyFont="1" applyBorder="1" applyAlignment="1">
      <alignment horizontal="center" vertical="center" wrapText="1"/>
    </xf>
    <xf numFmtId="0" fontId="157" fillId="0" borderId="146" xfId="0" applyFont="1" applyBorder="1" applyAlignment="1">
      <alignment horizontal="center" vertical="center" wrapText="1"/>
    </xf>
    <xf numFmtId="0" fontId="157" fillId="0" borderId="124" xfId="0" applyFont="1" applyBorder="1" applyAlignment="1">
      <alignment horizontal="left" vertical="center" wrapText="1"/>
    </xf>
    <xf numFmtId="0" fontId="157" fillId="0" borderId="125" xfId="0" applyFont="1" applyBorder="1" applyAlignment="1">
      <alignment horizontal="left" vertical="center" wrapText="1"/>
    </xf>
    <xf numFmtId="0" fontId="157" fillId="0" borderId="175" xfId="0" applyFont="1" applyBorder="1" applyAlignment="1">
      <alignment horizontal="left" vertical="center" wrapText="1"/>
    </xf>
    <xf numFmtId="0" fontId="157" fillId="0" borderId="36" xfId="0" applyFont="1" applyBorder="1" applyAlignment="1">
      <alignment horizontal="left" vertical="center" wrapText="1"/>
    </xf>
    <xf numFmtId="0" fontId="157" fillId="0" borderId="16" xfId="0" applyFont="1" applyBorder="1" applyAlignment="1">
      <alignment horizontal="left" vertical="center" wrapText="1"/>
    </xf>
    <xf numFmtId="204" fontId="156" fillId="0" borderId="153" xfId="0" applyNumberFormat="1" applyFont="1" applyFill="1" applyBorder="1" applyAlignment="1">
      <alignment horizontal="center" vertical="center"/>
    </xf>
    <xf numFmtId="204" fontId="156" fillId="0" borderId="166" xfId="0" applyNumberFormat="1" applyFont="1" applyFill="1" applyBorder="1" applyAlignment="1">
      <alignment horizontal="center" vertical="center"/>
    </xf>
    <xf numFmtId="204" fontId="156" fillId="0" borderId="154" xfId="0" applyNumberFormat="1" applyFont="1" applyFill="1" applyBorder="1" applyAlignment="1">
      <alignment horizontal="center" vertical="center"/>
    </xf>
    <xf numFmtId="0" fontId="156" fillId="0" borderId="163" xfId="0" applyFont="1" applyFill="1" applyBorder="1" applyAlignment="1">
      <alignment horizontal="center" vertical="center"/>
    </xf>
    <xf numFmtId="0" fontId="156" fillId="0" borderId="164" xfId="0" applyFont="1" applyFill="1" applyBorder="1" applyAlignment="1">
      <alignment horizontal="center" vertical="center"/>
    </xf>
    <xf numFmtId="0" fontId="156" fillId="0" borderId="165" xfId="0" applyFont="1" applyFill="1" applyBorder="1" applyAlignment="1">
      <alignment horizontal="center" vertical="center"/>
    </xf>
    <xf numFmtId="0" fontId="156" fillId="0" borderId="45" xfId="0" applyFont="1" applyFill="1" applyBorder="1" applyAlignment="1">
      <alignment horizontal="center" vertical="center"/>
    </xf>
    <xf numFmtId="0" fontId="156" fillId="0" borderId="0" xfId="0" applyFont="1" applyFill="1" applyBorder="1" applyAlignment="1">
      <alignment horizontal="center" vertical="center"/>
    </xf>
    <xf numFmtId="0" fontId="156" fillId="0" borderId="46" xfId="0" applyFont="1" applyFill="1" applyBorder="1" applyAlignment="1">
      <alignment horizontal="center" vertical="center"/>
    </xf>
    <xf numFmtId="0" fontId="156" fillId="0" borderId="36" xfId="0" applyFont="1" applyFill="1" applyBorder="1" applyAlignment="1">
      <alignment horizontal="center" vertical="center"/>
    </xf>
    <xf numFmtId="0" fontId="156" fillId="0" borderId="16" xfId="0" applyFont="1" applyFill="1" applyBorder="1" applyAlignment="1">
      <alignment horizontal="center" vertical="center"/>
    </xf>
    <xf numFmtId="0" fontId="156" fillId="0" borderId="35" xfId="0" applyFont="1" applyFill="1" applyBorder="1" applyAlignment="1">
      <alignment horizontal="center" vertical="center"/>
    </xf>
    <xf numFmtId="203" fontId="156" fillId="0" borderId="153" xfId="0" applyNumberFormat="1" applyFont="1" applyFill="1" applyBorder="1" applyAlignment="1">
      <alignment horizontal="center" vertical="center"/>
    </xf>
    <xf numFmtId="203" fontId="156" fillId="0" borderId="166" xfId="0" applyNumberFormat="1" applyFont="1" applyFill="1" applyBorder="1" applyAlignment="1">
      <alignment horizontal="center" vertical="center"/>
    </xf>
    <xf numFmtId="203" fontId="156" fillId="0" borderId="154" xfId="0" applyNumberFormat="1" applyFont="1" applyFill="1" applyBorder="1" applyAlignment="1">
      <alignment horizontal="center" vertical="center"/>
    </xf>
    <xf numFmtId="180" fontId="156" fillId="0" borderId="166" xfId="0" applyNumberFormat="1" applyFont="1" applyFill="1" applyBorder="1" applyAlignment="1">
      <alignment horizontal="center" vertical="center"/>
    </xf>
    <xf numFmtId="199" fontId="156" fillId="0" borderId="153" xfId="0" applyNumberFormat="1" applyFont="1" applyFill="1" applyBorder="1" applyAlignment="1">
      <alignment horizontal="center" vertical="center"/>
    </xf>
    <xf numFmtId="199" fontId="156" fillId="0" borderId="166" xfId="0" applyNumberFormat="1" applyFont="1" applyFill="1" applyBorder="1" applyAlignment="1">
      <alignment horizontal="center" vertical="center"/>
    </xf>
    <xf numFmtId="199" fontId="156" fillId="0" borderId="154" xfId="0" applyNumberFormat="1" applyFont="1" applyFill="1" applyBorder="1" applyAlignment="1">
      <alignment horizontal="center" vertical="center"/>
    </xf>
    <xf numFmtId="0" fontId="0" fillId="0" borderId="164" xfId="0" applyBorder="1">
      <alignment vertical="center"/>
    </xf>
    <xf numFmtId="0" fontId="0" fillId="0" borderId="165" xfId="0" applyBorder="1">
      <alignment vertical="center"/>
    </xf>
    <xf numFmtId="0" fontId="0" fillId="0" borderId="45" xfId="0" applyBorder="1">
      <alignment vertical="center"/>
    </xf>
    <xf numFmtId="0" fontId="0" fillId="0" borderId="0" xfId="0">
      <alignment vertical="center"/>
    </xf>
    <xf numFmtId="0" fontId="0" fillId="0" borderId="46" xfId="0" applyBorder="1">
      <alignment vertical="center"/>
    </xf>
    <xf numFmtId="0" fontId="0" fillId="0" borderId="36" xfId="0" applyBorder="1">
      <alignment vertical="center"/>
    </xf>
    <xf numFmtId="0" fontId="0" fillId="0" borderId="16" xfId="0" applyBorder="1">
      <alignment vertical="center"/>
    </xf>
    <xf numFmtId="0" fontId="0" fillId="0" borderId="35" xfId="0" applyBorder="1">
      <alignment vertical="center"/>
    </xf>
    <xf numFmtId="0" fontId="156" fillId="7" borderId="163" xfId="0" applyFont="1" applyFill="1" applyBorder="1" applyAlignment="1">
      <alignment horizontal="left" vertical="center" wrapText="1"/>
    </xf>
    <xf numFmtId="0" fontId="156" fillId="7" borderId="164" xfId="0" applyFont="1" applyFill="1" applyBorder="1" applyAlignment="1">
      <alignment horizontal="left" vertical="center"/>
    </xf>
    <xf numFmtId="0" fontId="156" fillId="7" borderId="165" xfId="0" applyFont="1" applyFill="1" applyBorder="1" applyAlignment="1">
      <alignment horizontal="left" vertical="center"/>
    </xf>
    <xf numFmtId="0" fontId="156" fillId="7" borderId="45" xfId="0" applyFont="1" applyFill="1" applyBorder="1" applyAlignment="1">
      <alignment horizontal="left" vertical="center"/>
    </xf>
    <xf numFmtId="0" fontId="156" fillId="7" borderId="0" xfId="0" applyFont="1" applyFill="1" applyBorder="1" applyAlignment="1">
      <alignment horizontal="left" vertical="center"/>
    </xf>
    <xf numFmtId="0" fontId="156" fillId="7" borderId="46" xfId="0" applyFont="1" applyFill="1" applyBorder="1" applyAlignment="1">
      <alignment horizontal="left" vertical="center"/>
    </xf>
    <xf numFmtId="0" fontId="156" fillId="7" borderId="36" xfId="0" applyFont="1" applyFill="1" applyBorder="1" applyAlignment="1">
      <alignment horizontal="left" vertical="center"/>
    </xf>
    <xf numFmtId="0" fontId="156" fillId="7" borderId="16" xfId="0" applyFont="1" applyFill="1" applyBorder="1" applyAlignment="1">
      <alignment horizontal="left" vertical="center"/>
    </xf>
    <xf numFmtId="0" fontId="156" fillId="7" borderId="35" xfId="0" applyFont="1" applyFill="1" applyBorder="1" applyAlignment="1">
      <alignment horizontal="left" vertical="center"/>
    </xf>
    <xf numFmtId="0" fontId="20" fillId="0" borderId="16" xfId="0" applyFont="1" applyBorder="1" applyAlignment="1">
      <alignment horizontal="center" vertical="center"/>
    </xf>
    <xf numFmtId="0" fontId="41" fillId="0" borderId="16" xfId="0" applyFont="1" applyBorder="1" applyAlignment="1">
      <alignment horizontal="center" vertical="center"/>
    </xf>
    <xf numFmtId="0" fontId="15" fillId="21" borderId="150" xfId="0" applyFont="1" applyFill="1" applyBorder="1" applyAlignment="1">
      <alignment horizontal="center" vertical="center"/>
    </xf>
    <xf numFmtId="0" fontId="155" fillId="21" borderId="150" xfId="0" applyFont="1" applyFill="1" applyBorder="1" applyAlignment="1">
      <alignment horizontal="center" vertical="center"/>
    </xf>
    <xf numFmtId="185" fontId="155" fillId="21" borderId="150" xfId="0" applyNumberFormat="1" applyFont="1" applyFill="1" applyBorder="1" applyAlignment="1">
      <alignment horizontal="center" vertical="center"/>
    </xf>
    <xf numFmtId="0" fontId="155" fillId="21" borderId="153" xfId="0" applyFont="1" applyFill="1" applyBorder="1" applyAlignment="1">
      <alignment horizontal="center" vertical="center"/>
    </xf>
    <xf numFmtId="0" fontId="155" fillId="21" borderId="154" xfId="0" applyFont="1" applyFill="1" applyBorder="1" applyAlignment="1">
      <alignment horizontal="center" vertical="center"/>
    </xf>
    <xf numFmtId="0" fontId="49" fillId="21" borderId="150" xfId="0" applyFont="1" applyFill="1" applyBorder="1" applyAlignment="1">
      <alignment horizontal="center" vertical="center"/>
    </xf>
    <xf numFmtId="0" fontId="156" fillId="7" borderId="164" xfId="0" applyFont="1" applyFill="1" applyBorder="1" applyAlignment="1">
      <alignment horizontal="left" vertical="center" wrapText="1"/>
    </xf>
    <xf numFmtId="0" fontId="156" fillId="7" borderId="165" xfId="0" applyFont="1" applyFill="1" applyBorder="1" applyAlignment="1">
      <alignment horizontal="left" vertical="center" wrapText="1"/>
    </xf>
    <xf numFmtId="0" fontId="156" fillId="7" borderId="45" xfId="0" applyFont="1" applyFill="1" applyBorder="1" applyAlignment="1">
      <alignment horizontal="left" vertical="center" wrapText="1"/>
    </xf>
    <xf numFmtId="0" fontId="156" fillId="7" borderId="0" xfId="0" applyFont="1" applyFill="1" applyBorder="1" applyAlignment="1">
      <alignment horizontal="left" vertical="center" wrapText="1"/>
    </xf>
    <xf numFmtId="0" fontId="156" fillId="7" borderId="46" xfId="0" applyFont="1" applyFill="1" applyBorder="1" applyAlignment="1">
      <alignment horizontal="left" vertical="center" wrapText="1"/>
    </xf>
    <xf numFmtId="0" fontId="156" fillId="7" borderId="36" xfId="0" applyFont="1" applyFill="1" applyBorder="1" applyAlignment="1">
      <alignment horizontal="left" vertical="center" wrapText="1"/>
    </xf>
    <xf numFmtId="0" fontId="156" fillId="7" borderId="16" xfId="0" applyFont="1" applyFill="1" applyBorder="1" applyAlignment="1">
      <alignment horizontal="left" vertical="center" wrapText="1"/>
    </xf>
    <xf numFmtId="0" fontId="156" fillId="7" borderId="35" xfId="0" applyFont="1" applyFill="1" applyBorder="1" applyAlignment="1">
      <alignment horizontal="left" vertical="center" wrapText="1"/>
    </xf>
    <xf numFmtId="0" fontId="0" fillId="0" borderId="176" xfId="0" applyBorder="1" applyAlignment="1">
      <alignment horizontal="right" vertical="center"/>
    </xf>
    <xf numFmtId="0" fontId="168" fillId="0" borderId="27" xfId="0" applyFont="1" applyBorder="1" applyAlignment="1">
      <alignment horizontal="center" vertical="center" wrapText="1"/>
    </xf>
    <xf numFmtId="0" fontId="168" fillId="0" borderId="28" xfId="0" applyFont="1" applyBorder="1" applyAlignment="1">
      <alignment horizontal="center" vertical="center" wrapText="1"/>
    </xf>
    <xf numFmtId="0" fontId="168" fillId="0" borderId="77" xfId="0" applyFont="1" applyBorder="1" applyAlignment="1">
      <alignment horizontal="center" vertical="center" wrapText="1"/>
    </xf>
    <xf numFmtId="0" fontId="21" fillId="0" borderId="150" xfId="0" applyFont="1" applyBorder="1" applyAlignment="1">
      <alignment horizontal="center" vertical="center"/>
    </xf>
    <xf numFmtId="0" fontId="21" fillId="0" borderId="0" xfId="0" applyFont="1" applyBorder="1" applyAlignment="1">
      <alignment horizontal="left" vertical="center"/>
    </xf>
    <xf numFmtId="41" fontId="21" fillId="0" borderId="153" xfId="1" applyFont="1" applyBorder="1" applyAlignment="1">
      <alignment horizontal="center" vertical="center"/>
    </xf>
    <xf numFmtId="41" fontId="21" fillId="0" borderId="154" xfId="1" applyFont="1" applyBorder="1" applyAlignment="1">
      <alignment horizontal="center" vertical="center"/>
    </xf>
    <xf numFmtId="0" fontId="0" fillId="22" borderId="178" xfId="0" applyFill="1" applyBorder="1" applyAlignment="1">
      <alignment horizontal="center" vertical="center"/>
    </xf>
    <xf numFmtId="41" fontId="29" fillId="22" borderId="178" xfId="1" applyFont="1" applyFill="1" applyBorder="1" applyAlignment="1">
      <alignment horizontal="center" vertical="center"/>
    </xf>
    <xf numFmtId="0" fontId="21" fillId="0" borderId="178" xfId="0" applyFont="1" applyBorder="1" applyAlignment="1">
      <alignment horizontal="left" vertical="center"/>
    </xf>
    <xf numFmtId="179" fontId="29" fillId="0" borderId="150" xfId="0" applyNumberFormat="1" applyFont="1" applyFill="1" applyBorder="1" applyAlignment="1">
      <alignment horizontal="center" vertical="center"/>
    </xf>
    <xf numFmtId="41" fontId="21" fillId="0" borderId="150" xfId="1" applyFont="1" applyBorder="1" applyAlignment="1">
      <alignment horizontal="center" vertical="center"/>
    </xf>
    <xf numFmtId="41" fontId="0" fillId="0" borderId="150" xfId="1" applyFont="1" applyBorder="1" applyAlignment="1">
      <alignment horizontal="center" vertical="center"/>
    </xf>
    <xf numFmtId="41" fontId="21" fillId="0" borderId="178" xfId="1" applyFont="1" applyBorder="1" applyAlignment="1">
      <alignment horizontal="center" vertical="center"/>
    </xf>
    <xf numFmtId="0" fontId="29" fillId="22" borderId="179" xfId="0" applyFont="1" applyFill="1" applyBorder="1" applyAlignment="1">
      <alignment horizontal="left" vertical="center"/>
    </xf>
    <xf numFmtId="0" fontId="29" fillId="22" borderId="180" xfId="0" applyFont="1" applyFill="1" applyBorder="1" applyAlignment="1">
      <alignment horizontal="left" vertical="center"/>
    </xf>
    <xf numFmtId="0" fontId="29" fillId="22" borderId="181" xfId="0" applyFont="1" applyFill="1" applyBorder="1" applyAlignment="1">
      <alignment horizontal="left" vertical="center"/>
    </xf>
    <xf numFmtId="0" fontId="21" fillId="0" borderId="178" xfId="0" applyFont="1" applyBorder="1" applyAlignment="1">
      <alignment horizontal="center" vertical="center"/>
    </xf>
    <xf numFmtId="0" fontId="29" fillId="0" borderId="178" xfId="0" applyFont="1" applyBorder="1" applyAlignment="1">
      <alignment horizontal="left" vertical="center"/>
    </xf>
    <xf numFmtId="0" fontId="21" fillId="0" borderId="153" xfId="0" applyFont="1" applyBorder="1" applyAlignment="1">
      <alignment horizontal="left" vertical="center" indent="2"/>
    </xf>
    <xf numFmtId="0" fontId="21" fillId="0" borderId="166" xfId="0" applyFont="1" applyBorder="1" applyAlignment="1">
      <alignment horizontal="left" vertical="center" indent="2"/>
    </xf>
    <xf numFmtId="0" fontId="21" fillId="0" borderId="154" xfId="0" applyFont="1" applyBorder="1" applyAlignment="1">
      <alignment horizontal="left" vertical="center" indent="2"/>
    </xf>
    <xf numFmtId="0" fontId="21" fillId="0" borderId="179" xfId="0" applyFont="1" applyBorder="1" applyAlignment="1">
      <alignment horizontal="left" vertical="center" indent="2"/>
    </xf>
    <xf numFmtId="0" fontId="21" fillId="0" borderId="180" xfId="0" applyFont="1" applyBorder="1" applyAlignment="1">
      <alignment horizontal="left" vertical="center" indent="2"/>
    </xf>
    <xf numFmtId="0" fontId="21" fillId="0" borderId="181" xfId="0" applyFont="1" applyBorder="1" applyAlignment="1">
      <alignment horizontal="left" vertical="center" indent="2"/>
    </xf>
    <xf numFmtId="0" fontId="5" fillId="0" borderId="0" xfId="0" applyFont="1" applyAlignment="1">
      <alignment horizontal="center" vertical="center"/>
    </xf>
    <xf numFmtId="0" fontId="23" fillId="0" borderId="150" xfId="0" applyFont="1" applyBorder="1" applyAlignment="1">
      <alignment horizontal="center" vertical="center"/>
    </xf>
    <xf numFmtId="0" fontId="29" fillId="31" borderId="150" xfId="0" applyFont="1" applyFill="1" applyBorder="1" applyAlignment="1">
      <alignment horizontal="center" vertical="center"/>
    </xf>
    <xf numFmtId="0" fontId="29" fillId="17" borderId="150" xfId="0" applyFont="1" applyFill="1" applyBorder="1" applyAlignment="1">
      <alignment horizontal="center" vertical="center"/>
    </xf>
    <xf numFmtId="177" fontId="29" fillId="17" borderId="153" xfId="0" applyNumberFormat="1" applyFont="1" applyFill="1" applyBorder="1" applyAlignment="1">
      <alignment horizontal="center" vertical="center"/>
    </xf>
    <xf numFmtId="177" fontId="29" fillId="17" borderId="154" xfId="0" applyNumberFormat="1" applyFont="1" applyFill="1" applyBorder="1" applyAlignment="1">
      <alignment horizontal="center" vertical="center"/>
    </xf>
    <xf numFmtId="177" fontId="29" fillId="17" borderId="153" xfId="0" applyNumberFormat="1" applyFont="1" applyFill="1" applyBorder="1" applyAlignment="1">
      <alignment horizontal="right" vertical="center"/>
    </xf>
    <xf numFmtId="177" fontId="29" fillId="17" borderId="154" xfId="0" applyNumberFormat="1" applyFont="1" applyFill="1" applyBorder="1" applyAlignment="1">
      <alignment horizontal="right" vertical="center"/>
    </xf>
    <xf numFmtId="41" fontId="29" fillId="0" borderId="178" xfId="1" applyFont="1" applyBorder="1" applyAlignment="1">
      <alignment horizontal="center" vertical="center"/>
    </xf>
    <xf numFmtId="41" fontId="29" fillId="22" borderId="179" xfId="0" applyNumberFormat="1" applyFont="1" applyFill="1" applyBorder="1" applyAlignment="1">
      <alignment horizontal="center" vertical="center"/>
    </xf>
    <xf numFmtId="0" fontId="29" fillId="22" borderId="181" xfId="0" applyFont="1" applyFill="1" applyBorder="1" applyAlignment="1">
      <alignment horizontal="center" vertical="center"/>
    </xf>
    <xf numFmtId="41" fontId="49" fillId="22" borderId="178" xfId="0" applyNumberFormat="1" applyFont="1" applyFill="1" applyBorder="1" applyAlignment="1">
      <alignment horizontal="center" vertical="center"/>
    </xf>
    <xf numFmtId="0" fontId="49" fillId="22" borderId="178" xfId="0" applyFont="1" applyFill="1" applyBorder="1" applyAlignment="1">
      <alignment horizontal="center" vertical="center"/>
    </xf>
    <xf numFmtId="0" fontId="170" fillId="0" borderId="0" xfId="0" applyNumberFormat="1" applyFont="1" applyFill="1" applyBorder="1" applyAlignment="1" applyProtection="1">
      <alignment horizontal="center" vertical="center"/>
    </xf>
    <xf numFmtId="177" fontId="47" fillId="0" borderId="41" xfId="0" applyNumberFormat="1" applyFont="1" applyFill="1" applyBorder="1" applyAlignment="1">
      <alignment horizontal="right" vertical="center"/>
    </xf>
    <xf numFmtId="0" fontId="47" fillId="0" borderId="41" xfId="0" applyNumberFormat="1" applyFont="1" applyFill="1" applyBorder="1" applyAlignment="1">
      <alignment horizontal="center" vertical="center"/>
    </xf>
    <xf numFmtId="0" fontId="47" fillId="0" borderId="41" xfId="0" applyFont="1" applyBorder="1" applyAlignment="1">
      <alignment horizontal="center" vertical="center"/>
    </xf>
    <xf numFmtId="0" fontId="14" fillId="0" borderId="0" xfId="0" applyFont="1" applyAlignment="1">
      <alignment horizontal="left" vertical="center" wrapText="1"/>
    </xf>
    <xf numFmtId="282" fontId="16" fillId="0" borderId="40" xfId="0" applyNumberFormat="1" applyFont="1" applyFill="1" applyBorder="1" applyAlignment="1">
      <alignment horizontal="right" vertical="center"/>
    </xf>
    <xf numFmtId="185" fontId="16" fillId="15" borderId="38" xfId="0" applyNumberFormat="1" applyFont="1" applyFill="1" applyBorder="1" applyAlignment="1">
      <alignment horizontal="center" vertical="center"/>
    </xf>
    <xf numFmtId="0" fontId="16" fillId="15" borderId="38" xfId="0" applyNumberFormat="1" applyFont="1" applyFill="1" applyBorder="1" applyAlignment="1">
      <alignment horizontal="center" vertical="center"/>
    </xf>
    <xf numFmtId="0" fontId="16" fillId="0" borderId="40" xfId="0" applyNumberFormat="1" applyFont="1" applyFill="1" applyBorder="1" applyAlignment="1">
      <alignment horizontal="center" vertical="center"/>
    </xf>
    <xf numFmtId="177" fontId="16" fillId="0" borderId="40" xfId="0" applyNumberFormat="1" applyFont="1" applyBorder="1">
      <alignment vertical="center"/>
    </xf>
    <xf numFmtId="0" fontId="16" fillId="0" borderId="38" xfId="0" applyFont="1" applyBorder="1" applyAlignment="1">
      <alignment horizontal="center" vertical="center" wrapText="1"/>
    </xf>
    <xf numFmtId="0" fontId="16" fillId="0" borderId="40" xfId="0" applyFont="1" applyBorder="1" applyAlignment="1">
      <alignment horizontal="center" vertical="center"/>
    </xf>
    <xf numFmtId="282" fontId="16" fillId="0" borderId="38" xfId="0" applyNumberFormat="1" applyFont="1" applyFill="1" applyBorder="1" applyAlignment="1">
      <alignment horizontal="right" vertical="center"/>
    </xf>
    <xf numFmtId="0" fontId="16" fillId="0" borderId="38" xfId="0" applyNumberFormat="1" applyFont="1" applyFill="1" applyBorder="1" applyAlignment="1">
      <alignment horizontal="center" vertical="center"/>
    </xf>
    <xf numFmtId="177" fontId="16" fillId="0" borderId="38" xfId="0" applyNumberFormat="1" applyFont="1" applyBorder="1">
      <alignment vertical="center"/>
    </xf>
    <xf numFmtId="0" fontId="16" fillId="15" borderId="41" xfId="0" applyFont="1" applyFill="1" applyBorder="1">
      <alignment vertical="center"/>
    </xf>
    <xf numFmtId="0" fontId="16" fillId="0" borderId="16" xfId="0" applyFont="1" applyBorder="1" applyAlignment="1">
      <alignment horizontal="right" vertical="center"/>
    </xf>
    <xf numFmtId="193" fontId="47" fillId="31" borderId="150" xfId="0" applyNumberFormat="1" applyFont="1" applyFill="1" applyBorder="1" applyAlignment="1">
      <alignment horizontal="center" vertical="center"/>
    </xf>
    <xf numFmtId="0" fontId="47" fillId="31" borderId="150" xfId="0" applyFont="1" applyFill="1" applyBorder="1" applyAlignment="1">
      <alignment horizontal="center" vertical="center"/>
    </xf>
    <xf numFmtId="0" fontId="47" fillId="31" borderId="153" xfId="0" applyFont="1" applyFill="1" applyBorder="1" applyAlignment="1">
      <alignment horizontal="center" vertical="center" wrapText="1" shrinkToFit="1"/>
    </xf>
    <xf numFmtId="0" fontId="47" fillId="31" borderId="154" xfId="0" applyFont="1" applyFill="1" applyBorder="1" applyAlignment="1">
      <alignment horizontal="center" vertical="center" wrapText="1" shrinkToFit="1"/>
    </xf>
    <xf numFmtId="0" fontId="47" fillId="31" borderId="153" xfId="0" applyFont="1" applyFill="1" applyBorder="1" applyAlignment="1">
      <alignment horizontal="center" vertical="center"/>
    </xf>
    <xf numFmtId="0" fontId="47" fillId="31" borderId="154" xfId="0" applyFont="1" applyFill="1" applyBorder="1" applyAlignment="1">
      <alignment horizontal="center" vertical="center"/>
    </xf>
    <xf numFmtId="0" fontId="16" fillId="15" borderId="40" xfId="0" applyFont="1" applyFill="1" applyBorder="1">
      <alignment vertical="center"/>
    </xf>
    <xf numFmtId="185" fontId="16" fillId="15" borderId="38" xfId="0" applyNumberFormat="1" applyFont="1" applyFill="1" applyBorder="1">
      <alignment vertical="center"/>
    </xf>
    <xf numFmtId="0" fontId="16" fillId="15" borderId="38" xfId="0" applyFont="1" applyFill="1" applyBorder="1">
      <alignment vertical="center"/>
    </xf>
    <xf numFmtId="0" fontId="41" fillId="0" borderId="0" xfId="0" applyFont="1" applyFill="1" applyAlignment="1">
      <alignment horizontal="right" vertical="top"/>
    </xf>
    <xf numFmtId="281" fontId="16" fillId="0" borderId="0" xfId="0" applyNumberFormat="1" applyFont="1">
      <alignment vertical="center"/>
    </xf>
    <xf numFmtId="281" fontId="16" fillId="0" borderId="0" xfId="0" applyNumberFormat="1" applyFont="1" applyAlignment="1">
      <alignment horizontal="center" vertical="center"/>
    </xf>
    <xf numFmtId="177" fontId="16" fillId="0" borderId="0" xfId="0" applyNumberFormat="1" applyFont="1">
      <alignment vertical="center"/>
    </xf>
    <xf numFmtId="177" fontId="16" fillId="0" borderId="0" xfId="0" applyNumberFormat="1" applyFont="1" applyFill="1" applyAlignment="1">
      <alignment horizontal="right" vertical="center"/>
    </xf>
    <xf numFmtId="0" fontId="176" fillId="0" borderId="35" xfId="16" applyFont="1" applyFill="1" applyBorder="1" applyAlignment="1">
      <alignment horizontal="left" vertical="center" wrapText="1"/>
    </xf>
    <xf numFmtId="0" fontId="176" fillId="0" borderId="21" xfId="16" applyFont="1" applyFill="1" applyBorder="1" applyAlignment="1">
      <alignment horizontal="left" vertical="center" wrapText="1"/>
    </xf>
    <xf numFmtId="0" fontId="176" fillId="0" borderId="36" xfId="16" applyFont="1" applyFill="1" applyBorder="1" applyAlignment="1">
      <alignment horizontal="left" vertical="center" wrapText="1"/>
    </xf>
    <xf numFmtId="0" fontId="175" fillId="0" borderId="0" xfId="16" applyFont="1" applyAlignment="1">
      <alignment horizontal="center" vertical="center" wrapText="1"/>
    </xf>
    <xf numFmtId="0" fontId="176" fillId="3" borderId="181" xfId="16" applyFont="1" applyFill="1" applyBorder="1" applyAlignment="1">
      <alignment horizontal="center" vertical="center"/>
    </xf>
    <xf numFmtId="0" fontId="176" fillId="3" borderId="107" xfId="16" applyFont="1" applyFill="1" applyBorder="1" applyAlignment="1">
      <alignment horizontal="center" vertical="center"/>
    </xf>
    <xf numFmtId="0" fontId="176" fillId="3" borderId="178" xfId="16" applyFont="1" applyFill="1" applyBorder="1" applyAlignment="1">
      <alignment horizontal="center" vertical="center"/>
    </xf>
    <xf numFmtId="0" fontId="176" fillId="3" borderId="104" xfId="16" applyFont="1" applyFill="1" applyBorder="1" applyAlignment="1">
      <alignment horizontal="center" vertical="center"/>
    </xf>
    <xf numFmtId="0" fontId="176" fillId="3" borderId="163" xfId="16" applyFont="1" applyFill="1" applyBorder="1" applyAlignment="1">
      <alignment horizontal="center" vertical="center"/>
    </xf>
    <xf numFmtId="0" fontId="176" fillId="3" borderId="165" xfId="16" applyFont="1" applyFill="1" applyBorder="1" applyAlignment="1">
      <alignment horizontal="center" vertical="center"/>
    </xf>
    <xf numFmtId="0" fontId="176" fillId="3" borderId="182" xfId="16" applyFont="1" applyFill="1" applyBorder="1" applyAlignment="1">
      <alignment horizontal="center" vertical="center"/>
    </xf>
    <xf numFmtId="0" fontId="176" fillId="3" borderId="183" xfId="16" applyFont="1" applyFill="1" applyBorder="1" applyAlignment="1">
      <alignment horizontal="center" vertical="center"/>
    </xf>
    <xf numFmtId="0" fontId="176" fillId="3" borderId="167" xfId="16" applyFont="1" applyFill="1" applyBorder="1" applyAlignment="1">
      <alignment horizontal="center" vertical="center"/>
    </xf>
    <xf numFmtId="0" fontId="176" fillId="3" borderId="184" xfId="16" applyFont="1" applyFill="1" applyBorder="1" applyAlignment="1">
      <alignment horizontal="center" vertical="center"/>
    </xf>
    <xf numFmtId="0" fontId="176" fillId="3" borderId="179" xfId="16" applyFont="1" applyFill="1" applyBorder="1" applyAlignment="1">
      <alignment horizontal="center" vertical="center"/>
    </xf>
    <xf numFmtId="0" fontId="176" fillId="3" borderId="123" xfId="16" applyFont="1" applyFill="1" applyBorder="1" applyAlignment="1">
      <alignment horizontal="center" vertical="center"/>
    </xf>
    <xf numFmtId="177" fontId="3" fillId="35" borderId="134" xfId="16" applyNumberFormat="1" applyFill="1" applyBorder="1" applyAlignment="1">
      <alignment horizontal="center" vertical="center"/>
    </xf>
    <xf numFmtId="177" fontId="3" fillId="35" borderId="135" xfId="16" applyNumberFormat="1" applyFill="1" applyBorder="1" applyAlignment="1">
      <alignment horizontal="center" vertical="center"/>
    </xf>
    <xf numFmtId="177" fontId="3" fillId="35" borderId="191" xfId="16" applyNumberFormat="1" applyFill="1" applyBorder="1" applyAlignment="1">
      <alignment horizontal="center" vertical="center"/>
    </xf>
    <xf numFmtId="177" fontId="3" fillId="35" borderId="30" xfId="16" applyNumberFormat="1" applyFill="1" applyBorder="1" applyAlignment="1">
      <alignment horizontal="center" vertical="center"/>
    </xf>
    <xf numFmtId="0" fontId="188" fillId="0" borderId="0" xfId="16" applyFont="1" applyBorder="1" applyAlignment="1">
      <alignment horizontal="center" vertical="center"/>
    </xf>
    <xf numFmtId="177" fontId="3" fillId="35" borderId="189" xfId="16" applyNumberFormat="1" applyFill="1" applyBorder="1" applyAlignment="1">
      <alignment horizontal="center" vertical="center"/>
    </xf>
    <xf numFmtId="177" fontId="3" fillId="35" borderId="192" xfId="16" applyNumberFormat="1" applyFill="1" applyBorder="1" applyAlignment="1">
      <alignment horizontal="center" vertical="center"/>
    </xf>
    <xf numFmtId="177" fontId="3" fillId="35" borderId="190" xfId="16" applyNumberFormat="1" applyFill="1" applyBorder="1" applyAlignment="1">
      <alignment horizontal="center" vertical="center"/>
    </xf>
    <xf numFmtId="177" fontId="3" fillId="35" borderId="29" xfId="16" applyNumberFormat="1" applyFill="1" applyBorder="1" applyAlignment="1">
      <alignment horizontal="center" vertical="center"/>
    </xf>
    <xf numFmtId="0" fontId="182" fillId="12" borderId="27" xfId="16" applyFont="1" applyFill="1" applyBorder="1" applyAlignment="1">
      <alignment horizontal="center" vertical="center" wrapText="1"/>
    </xf>
    <xf numFmtId="0" fontId="181" fillId="0" borderId="0" xfId="16" applyFont="1" applyAlignment="1">
      <alignment horizontal="center" vertical="center"/>
    </xf>
    <xf numFmtId="0" fontId="14" fillId="0" borderId="0" xfId="16" applyFont="1" applyAlignment="1">
      <alignment horizontal="center" vertical="center"/>
    </xf>
    <xf numFmtId="0" fontId="182" fillId="12" borderId="198" xfId="16" applyFont="1" applyFill="1" applyBorder="1" applyAlignment="1">
      <alignment horizontal="center" vertical="center" wrapText="1"/>
    </xf>
    <xf numFmtId="0" fontId="182" fillId="12" borderId="110" xfId="16" applyFont="1" applyFill="1" applyBorder="1" applyAlignment="1">
      <alignment horizontal="center" vertical="center" wrapText="1"/>
    </xf>
    <xf numFmtId="0" fontId="182" fillId="12" borderId="199" xfId="16" applyFont="1" applyFill="1" applyBorder="1" applyAlignment="1">
      <alignment horizontal="center" vertical="center" wrapText="1"/>
    </xf>
    <xf numFmtId="0" fontId="182" fillId="12" borderId="200" xfId="16" applyFont="1" applyFill="1" applyBorder="1" applyAlignment="1">
      <alignment horizontal="center" vertical="center" wrapText="1"/>
    </xf>
    <xf numFmtId="0" fontId="182" fillId="12" borderId="201" xfId="16" applyFont="1" applyFill="1" applyBorder="1" applyAlignment="1">
      <alignment horizontal="center" vertical="center" wrapText="1"/>
    </xf>
    <xf numFmtId="0" fontId="182" fillId="12" borderId="202" xfId="16" applyFont="1" applyFill="1" applyBorder="1" applyAlignment="1">
      <alignment horizontal="center" vertical="center" wrapText="1"/>
    </xf>
    <xf numFmtId="0" fontId="182" fillId="0" borderId="206" xfId="16" applyFont="1" applyBorder="1" applyAlignment="1">
      <alignment horizontal="left" vertical="center" wrapText="1"/>
    </xf>
    <xf numFmtId="0" fontId="182" fillId="0" borderId="207" xfId="16" applyFont="1" applyBorder="1" applyAlignment="1">
      <alignment horizontal="left" vertical="center" wrapText="1"/>
    </xf>
    <xf numFmtId="0" fontId="182" fillId="0" borderId="208" xfId="16" applyFont="1" applyBorder="1" applyAlignment="1">
      <alignment horizontal="left" vertical="center" wrapText="1"/>
    </xf>
    <xf numFmtId="0" fontId="182" fillId="0" borderId="27" xfId="16" applyFont="1" applyBorder="1" applyAlignment="1">
      <alignment horizontal="center" vertical="center" wrapText="1"/>
    </xf>
    <xf numFmtId="0" fontId="182" fillId="6" borderId="100" xfId="16" applyFont="1" applyFill="1" applyBorder="1" applyAlignment="1">
      <alignment horizontal="center" vertical="center" wrapText="1"/>
    </xf>
    <xf numFmtId="0" fontId="182" fillId="6" borderId="155" xfId="16" applyFont="1" applyFill="1" applyBorder="1" applyAlignment="1">
      <alignment horizontal="center" vertical="center" wrapText="1"/>
    </xf>
    <xf numFmtId="0" fontId="182" fillId="6" borderId="97" xfId="16" applyFont="1" applyFill="1" applyBorder="1" applyAlignment="1">
      <alignment horizontal="center" vertical="center" wrapText="1"/>
    </xf>
    <xf numFmtId="0" fontId="182" fillId="6" borderId="160" xfId="16" applyFont="1" applyFill="1" applyBorder="1" applyAlignment="1">
      <alignment horizontal="center" vertical="center" wrapText="1"/>
    </xf>
    <xf numFmtId="0" fontId="182" fillId="6" borderId="113" xfId="16" applyFont="1" applyFill="1" applyBorder="1" applyAlignment="1">
      <alignment horizontal="center" vertical="center" wrapText="1"/>
    </xf>
    <xf numFmtId="0" fontId="182" fillId="6" borderId="102" xfId="16" applyFont="1" applyFill="1" applyBorder="1" applyAlignment="1">
      <alignment horizontal="center" vertical="center" wrapText="1"/>
    </xf>
    <xf numFmtId="0" fontId="182" fillId="6" borderId="209" xfId="16" applyFont="1" applyFill="1" applyBorder="1" applyAlignment="1">
      <alignment horizontal="center" vertical="center" wrapText="1"/>
    </xf>
    <xf numFmtId="0" fontId="3" fillId="36" borderId="221" xfId="16" applyFont="1" applyFill="1" applyBorder="1" applyAlignment="1">
      <alignment horizontal="center" vertical="center"/>
    </xf>
    <xf numFmtId="0" fontId="3" fillId="36" borderId="180" xfId="16" applyFont="1" applyFill="1" applyBorder="1" applyAlignment="1">
      <alignment horizontal="center" vertical="center"/>
    </xf>
    <xf numFmtId="0" fontId="3" fillId="36" borderId="220" xfId="16" applyFont="1" applyFill="1" applyBorder="1" applyAlignment="1">
      <alignment horizontal="center" vertical="center"/>
    </xf>
    <xf numFmtId="0" fontId="3" fillId="0" borderId="223" xfId="16" applyBorder="1" applyAlignment="1">
      <alignment horizontal="center" vertical="center" wrapText="1"/>
    </xf>
    <xf numFmtId="0" fontId="3" fillId="0" borderId="223" xfId="16" applyFont="1" applyBorder="1" applyAlignment="1">
      <alignment horizontal="center" vertical="center" wrapText="1"/>
    </xf>
    <xf numFmtId="0" fontId="3" fillId="0" borderId="22" xfId="16" applyBorder="1" applyAlignment="1">
      <alignment horizontal="center" vertical="center"/>
    </xf>
    <xf numFmtId="0" fontId="3" fillId="0" borderId="22" xfId="16" applyFont="1" applyBorder="1" applyAlignment="1">
      <alignment horizontal="center" vertical="center"/>
    </xf>
    <xf numFmtId="0" fontId="3" fillId="0" borderId="24" xfId="16" applyBorder="1" applyAlignment="1">
      <alignment horizontal="center" vertical="center"/>
    </xf>
    <xf numFmtId="0" fontId="3" fillId="0" borderId="24" xfId="16" applyFont="1" applyBorder="1" applyAlignment="1">
      <alignment horizontal="center" vertical="center"/>
    </xf>
    <xf numFmtId="0" fontId="3" fillId="0" borderId="139" xfId="16" applyFont="1" applyBorder="1" applyAlignment="1">
      <alignment horizontal="center" vertical="center"/>
    </xf>
    <xf numFmtId="0" fontId="176" fillId="4" borderId="220" xfId="16" applyFont="1" applyFill="1" applyBorder="1" applyAlignment="1">
      <alignment horizontal="center" vertical="center"/>
    </xf>
    <xf numFmtId="0" fontId="176" fillId="4" borderId="224" xfId="16" applyFont="1" applyFill="1" applyBorder="1" applyAlignment="1">
      <alignment horizontal="center" vertical="center"/>
    </xf>
    <xf numFmtId="0" fontId="3" fillId="0" borderId="193" xfId="16" applyBorder="1" applyAlignment="1">
      <alignment horizontal="left" vertical="center"/>
    </xf>
    <xf numFmtId="0" fontId="3" fillId="0" borderId="24" xfId="16" applyFont="1" applyBorder="1" applyAlignment="1">
      <alignment horizontal="left" vertical="center"/>
    </xf>
    <xf numFmtId="0" fontId="3" fillId="0" borderId="197" xfId="16" applyBorder="1" applyAlignment="1">
      <alignment horizontal="left" vertical="center"/>
    </xf>
    <xf numFmtId="0" fontId="3" fillId="0" borderId="139" xfId="16" applyFont="1" applyBorder="1" applyAlignment="1">
      <alignment horizontal="left" vertical="center"/>
    </xf>
    <xf numFmtId="0" fontId="3" fillId="0" borderId="139" xfId="16" applyBorder="1" applyAlignment="1">
      <alignment horizontal="center" vertical="center"/>
    </xf>
    <xf numFmtId="0" fontId="3" fillId="0" borderId="133" xfId="16" applyBorder="1" applyAlignment="1">
      <alignment horizontal="left" vertical="center"/>
    </xf>
    <xf numFmtId="0" fontId="3" fillId="0" borderId="25" xfId="16" applyFont="1" applyBorder="1" applyAlignment="1">
      <alignment horizontal="left" vertical="center"/>
    </xf>
    <xf numFmtId="0" fontId="3" fillId="36" borderId="224" xfId="16" applyFont="1" applyFill="1" applyBorder="1" applyAlignment="1">
      <alignment horizontal="center" vertical="center"/>
    </xf>
    <xf numFmtId="0" fontId="3" fillId="36" borderId="224" xfId="16" applyFont="1" applyFill="1" applyBorder="1" applyAlignment="1">
      <alignment horizontal="center" vertical="center" wrapText="1"/>
    </xf>
    <xf numFmtId="0" fontId="3" fillId="0" borderId="26" xfId="16" applyFont="1" applyFill="1" applyBorder="1" applyAlignment="1">
      <alignment horizontal="center" vertical="center" wrapText="1"/>
    </xf>
    <xf numFmtId="0" fontId="3" fillId="0" borderId="135" xfId="16" applyFont="1" applyFill="1" applyBorder="1" applyAlignment="1">
      <alignment horizontal="center" vertical="center" wrapText="1"/>
    </xf>
    <xf numFmtId="178" fontId="3" fillId="0" borderId="24" xfId="16" applyNumberFormat="1" applyFont="1" applyFill="1" applyBorder="1" applyAlignment="1">
      <alignment horizontal="center" vertical="center" wrapText="1"/>
    </xf>
    <xf numFmtId="178" fontId="0" fillId="0" borderId="24" xfId="4" applyNumberFormat="1" applyFont="1" applyFill="1" applyBorder="1" applyAlignment="1">
      <alignment horizontal="center" vertical="center"/>
    </xf>
    <xf numFmtId="0" fontId="3" fillId="0" borderId="141" xfId="16" applyFill="1" applyBorder="1" applyAlignment="1">
      <alignment horizontal="center" vertical="center" wrapText="1"/>
    </xf>
    <xf numFmtId="0" fontId="3" fillId="0" borderId="141" xfId="16" applyFont="1" applyFill="1" applyBorder="1" applyAlignment="1">
      <alignment horizontal="center" vertical="center" wrapText="1"/>
    </xf>
    <xf numFmtId="0" fontId="3" fillId="0" borderId="193" xfId="16" applyFont="1" applyFill="1" applyBorder="1" applyAlignment="1">
      <alignment horizontal="center" vertical="center" wrapText="1"/>
    </xf>
    <xf numFmtId="178" fontId="3" fillId="0" borderId="225" xfId="16" applyNumberFormat="1" applyFont="1" applyFill="1" applyBorder="1" applyAlignment="1">
      <alignment horizontal="center" vertical="center" wrapText="1"/>
    </xf>
    <xf numFmtId="178" fontId="3" fillId="0" borderId="133" xfId="16" applyNumberFormat="1" applyFont="1" applyFill="1" applyBorder="1" applyAlignment="1">
      <alignment horizontal="center" vertical="center" wrapText="1"/>
    </xf>
    <xf numFmtId="178" fontId="0" fillId="0" borderId="225" xfId="4" applyNumberFormat="1" applyFont="1" applyFill="1" applyBorder="1" applyAlignment="1">
      <alignment horizontal="center" vertical="center"/>
    </xf>
    <xf numFmtId="178" fontId="0" fillId="0" borderId="133" xfId="4" applyNumberFormat="1" applyFont="1" applyFill="1" applyBorder="1" applyAlignment="1">
      <alignment horizontal="center" vertical="center"/>
    </xf>
    <xf numFmtId="0" fontId="3" fillId="0" borderId="49" xfId="16" applyFont="1" applyFill="1" applyBorder="1" applyAlignment="1">
      <alignment horizontal="center" vertical="center"/>
    </xf>
    <xf numFmtId="0" fontId="3" fillId="0" borderId="197" xfId="16" applyFont="1" applyFill="1" applyBorder="1" applyAlignment="1">
      <alignment horizontal="center" vertical="center"/>
    </xf>
    <xf numFmtId="178" fontId="3" fillId="0" borderId="226" xfId="16" applyNumberFormat="1" applyFont="1" applyFill="1" applyBorder="1" applyAlignment="1">
      <alignment horizontal="center" vertical="center" wrapText="1"/>
    </xf>
    <xf numFmtId="178" fontId="3" fillId="0" borderId="197" xfId="16" applyNumberFormat="1" applyFont="1" applyFill="1" applyBorder="1" applyAlignment="1">
      <alignment horizontal="center" vertical="center" wrapText="1"/>
    </xf>
    <xf numFmtId="178" fontId="0" fillId="0" borderId="226" xfId="4" applyNumberFormat="1" applyFont="1" applyFill="1" applyBorder="1" applyAlignment="1">
      <alignment horizontal="center" vertical="center"/>
    </xf>
    <xf numFmtId="178" fontId="0" fillId="0" borderId="197" xfId="4" applyNumberFormat="1" applyFont="1" applyFill="1" applyBorder="1" applyAlignment="1">
      <alignment horizontal="center" vertical="center"/>
    </xf>
    <xf numFmtId="0" fontId="3" fillId="36" borderId="180" xfId="16" applyFont="1" applyFill="1" applyBorder="1" applyAlignment="1">
      <alignment horizontal="center" vertical="center" wrapText="1"/>
    </xf>
    <xf numFmtId="0" fontId="3" fillId="36" borderId="220" xfId="16" applyFont="1" applyFill="1" applyBorder="1" applyAlignment="1">
      <alignment horizontal="center" vertical="center" wrapText="1"/>
    </xf>
    <xf numFmtId="0" fontId="3" fillId="36" borderId="221" xfId="16" applyFont="1" applyFill="1" applyBorder="1" applyAlignment="1">
      <alignment horizontal="center" vertical="center" wrapText="1"/>
    </xf>
    <xf numFmtId="0" fontId="3" fillId="0" borderId="26" xfId="16" applyFont="1" applyFill="1" applyBorder="1" applyAlignment="1">
      <alignment horizontal="center" vertical="center"/>
    </xf>
    <xf numFmtId="0" fontId="3" fillId="0" borderId="135" xfId="16" applyFont="1" applyFill="1" applyBorder="1" applyAlignment="1">
      <alignment horizontal="center" vertical="center"/>
    </xf>
    <xf numFmtId="178" fontId="3" fillId="0" borderId="227" xfId="16" applyNumberFormat="1" applyFont="1" applyFill="1" applyBorder="1" applyAlignment="1">
      <alignment horizontal="center" vertical="center" wrapText="1"/>
    </xf>
    <xf numFmtId="178" fontId="3" fillId="0" borderId="193" xfId="16" applyNumberFormat="1" applyFont="1" applyFill="1" applyBorder="1" applyAlignment="1">
      <alignment horizontal="center" vertical="center" wrapText="1"/>
    </xf>
    <xf numFmtId="178" fontId="3" fillId="0" borderId="141" xfId="16" applyNumberFormat="1" applyFont="1" applyFill="1" applyBorder="1" applyAlignment="1">
      <alignment horizontal="center" vertical="center" wrapText="1"/>
    </xf>
    <xf numFmtId="0" fontId="3" fillId="0" borderId="43" xfId="16" applyFont="1" applyFill="1" applyBorder="1" applyAlignment="1">
      <alignment horizontal="center" vertical="center"/>
    </xf>
    <xf numFmtId="0" fontId="3" fillId="0" borderId="195" xfId="16" applyFont="1" applyFill="1" applyBorder="1" applyAlignment="1">
      <alignment horizontal="center" vertical="center"/>
    </xf>
    <xf numFmtId="178" fontId="3" fillId="0" borderId="49" xfId="16" applyNumberFormat="1" applyFont="1" applyFill="1" applyBorder="1" applyAlignment="1">
      <alignment horizontal="center" vertical="center" wrapText="1"/>
    </xf>
    <xf numFmtId="197" fontId="53" fillId="3" borderId="178" xfId="16" applyNumberFormat="1" applyFont="1" applyFill="1" applyBorder="1" applyAlignment="1">
      <alignment horizontal="left" vertical="center"/>
    </xf>
    <xf numFmtId="176" fontId="53" fillId="3" borderId="178" xfId="4" applyNumberFormat="1" applyFont="1" applyFill="1" applyBorder="1" applyAlignment="1">
      <alignment horizontal="center" vertical="center"/>
    </xf>
    <xf numFmtId="0" fontId="185" fillId="2" borderId="0" xfId="19" applyFont="1" applyFill="1" applyBorder="1" applyAlignment="1">
      <alignment horizontal="center" vertical="center"/>
    </xf>
    <xf numFmtId="0" fontId="53" fillId="0" borderId="178" xfId="16" applyFont="1" applyBorder="1" applyAlignment="1">
      <alignment horizontal="center" vertical="center"/>
    </xf>
    <xf numFmtId="284" fontId="53" fillId="0" borderId="178" xfId="16" applyNumberFormat="1" applyFont="1" applyBorder="1" applyAlignment="1">
      <alignment horizontal="center" vertical="center" wrapText="1"/>
    </xf>
    <xf numFmtId="284" fontId="53" fillId="0" borderId="178" xfId="16" applyNumberFormat="1" applyFont="1" applyBorder="1" applyAlignment="1">
      <alignment horizontal="center" vertical="center"/>
    </xf>
    <xf numFmtId="0" fontId="52" fillId="0" borderId="0" xfId="0" applyFont="1" applyAlignment="1">
      <alignment horizontal="center" vertical="center" wrapText="1"/>
    </xf>
    <xf numFmtId="0" fontId="51" fillId="7" borderId="8" xfId="0" applyFont="1" applyFill="1" applyBorder="1" applyAlignment="1">
      <alignment horizontal="center" vertical="center"/>
    </xf>
    <xf numFmtId="0" fontId="120" fillId="0" borderId="27" xfId="0" applyFont="1" applyBorder="1" applyAlignment="1">
      <alignment horizontal="center" vertical="center"/>
    </xf>
    <xf numFmtId="0" fontId="0" fillId="0" borderId="27" xfId="0" applyBorder="1" applyAlignment="1">
      <alignment vertical="center"/>
    </xf>
    <xf numFmtId="0" fontId="120" fillId="0" borderId="27" xfId="0" applyFont="1" applyBorder="1" applyAlignment="1">
      <alignment horizontal="center" vertical="center" wrapText="1"/>
    </xf>
    <xf numFmtId="0" fontId="119" fillId="0" borderId="0" xfId="0" applyFont="1" applyAlignment="1">
      <alignment horizontal="center" vertical="center"/>
    </xf>
    <xf numFmtId="0" fontId="0" fillId="0" borderId="0" xfId="0" applyAlignment="1">
      <alignment horizontal="center" vertical="center"/>
    </xf>
    <xf numFmtId="0" fontId="120" fillId="5" borderId="27" xfId="0" applyFont="1" applyFill="1" applyBorder="1" applyAlignment="1">
      <alignment horizontal="center" vertical="center" wrapText="1"/>
    </xf>
    <xf numFmtId="0" fontId="0" fillId="5" borderId="27" xfId="0" applyFill="1" applyBorder="1" applyAlignment="1">
      <alignment vertical="center"/>
    </xf>
    <xf numFmtId="0" fontId="120" fillId="0" borderId="27" xfId="0" applyFont="1" applyFill="1" applyBorder="1" applyAlignment="1">
      <alignment horizontal="center" vertical="center" wrapText="1"/>
    </xf>
    <xf numFmtId="0" fontId="0" fillId="0" borderId="27" xfId="0" applyFill="1" applyBorder="1" applyAlignment="1">
      <alignment vertical="center"/>
    </xf>
  </cellXfs>
  <cellStyles count="2633">
    <cellStyle name="&quot;" xfId="589"/>
    <cellStyle name="#,##0" xfId="590"/>
    <cellStyle name="$" xfId="591"/>
    <cellStyle name="$_0009김포공항LED교체공사(광일)" xfId="592"/>
    <cellStyle name="$_0011긴급전화기정산(99년형광일)" xfId="593"/>
    <cellStyle name="$_0011부산종합경기장전광판" xfId="594"/>
    <cellStyle name="$_db진흥" xfId="598"/>
    <cellStyle name="$_SE40" xfId="599"/>
    <cellStyle name="$_견적2" xfId="595"/>
    <cellStyle name="$_기아" xfId="596"/>
    <cellStyle name="$_내역서" xfId="597"/>
    <cellStyle name="(##.00)" xfId="600"/>
    <cellStyle name="(##.00) 2" xfId="601"/>
    <cellStyle name="(△콤마)" xfId="602"/>
    <cellStyle name="(1)" xfId="603"/>
    <cellStyle name="(백분율)" xfId="604"/>
    <cellStyle name="(콤마)" xfId="605"/>
    <cellStyle name="(표준)" xfId="22"/>
    <cellStyle name="(표준) 2" xfId="550"/>
    <cellStyle name="(표준) 2 2" xfId="606"/>
    <cellStyle name=";;;" xfId="23"/>
    <cellStyle name=";;; 2" xfId="551"/>
    <cellStyle name=";;; 2 2" xfId="607"/>
    <cellStyle name=";;; 3" xfId="608"/>
    <cellStyle name="??&amp;O?&amp;H?_x0008__x000f__x0007_?_x0007__x0001__x0001_" xfId="24"/>
    <cellStyle name="??&amp;O?&amp;H?_x0008_??_x0007__x0001__x0001_" xfId="25"/>
    <cellStyle name="??&amp;O?&amp;H?_x0008__x000f__x0007_?_x0007__x0001__x0001__기성내역서(4회, 2009.9)" xfId="610"/>
    <cellStyle name="??&amp;쏗?뷐9_x0008__x0011__x0007_?_x0007__x0001__x0001_" xfId="609"/>
    <cellStyle name="???­ [0]_¸ð??¸·" xfId="611"/>
    <cellStyle name="???­_¸ð??¸·" xfId="612"/>
    <cellStyle name="???Ø_??°???(2¿?) " xfId="613"/>
    <cellStyle name="?Þ¸¶ [0]_¸ð??¸·" xfId="614"/>
    <cellStyle name="?Þ¸¶_¸ð??¸·" xfId="615"/>
    <cellStyle name="?W?_laroux" xfId="26"/>
    <cellStyle name="?曹%U?&amp;H?_x0008_?s_x000a__x0007__x0001__x0001_" xfId="27"/>
    <cellStyle name="_(B지구택지개발사업)_원용역_충북개발공사수행분포함" xfId="616"/>
    <cellStyle name="_☆일광설계용역(07(1).3.22경관,물건,공사비변경730억,구조물공삭제)!!!!" xfId="617"/>
    <cellStyle name="_0.실시설계-총괄" xfId="618"/>
    <cellStyle name="_0_발주설계서(최종-수식)" xfId="619"/>
    <cellStyle name="_0_발주설계서(최종-수식)_1) 신천금호강 종합개발 기본설계" xfId="620"/>
    <cellStyle name="_0_발주설계서(최종-수식)_2) 신천금호강 종합개발 동영상제작(변경최종)" xfId="621"/>
    <cellStyle name="_0_발주설계서(최종-수식)_3) 신천금호강 종합개발 산책로 실시설계(변경최종)" xfId="622"/>
    <cellStyle name="_0_발주설계서(최종-수식)_설계내역서(신천-금호강)" xfId="623"/>
    <cellStyle name="_0_발주설계서(최종-수식)_설계내역서(전체)" xfId="624"/>
    <cellStyle name="_0_발주설계서(최종-수식)_신천금호강 종합개발 기본설계  내역서(수정분)" xfId="625"/>
    <cellStyle name="_0_발주설계서(최종-수식)_신천금호강내역서(수정-보오링,사전재해및환경성제외,측량연장조정9(1).95억0726)" xfId="626"/>
    <cellStyle name="_0_발주설계서(최종-수식)_심사내역서" xfId="627"/>
    <cellStyle name="_001_교통영향평가" xfId="28"/>
    <cellStyle name="_01 내역서(미원천 개수공사 실시설계)" xfId="628"/>
    <cellStyle name="_01 내역서(미원천 개수공사 실시설계)_091110 안성천권역(중하류) 설계내역서" xfId="629"/>
    <cellStyle name="_01 내역서(미원천 개수공사 실시설계)_100120 안성천권역(중하류) 2차분내역서" xfId="630"/>
    <cellStyle name="_01 내역서(미원천 개수공사 실시설계)_논산천 권역 하천기본계획 설계예산서" xfId="631"/>
    <cellStyle name="_01 내역서(미원천 개수공사 실시설계)_소양강 상류권역 하천기본계획(변경) 및 하천시설관리대장작성_Lidar측량" xfId="632"/>
    <cellStyle name="_01 내역서(미원천 개수공사 실시설계)_안양천 하천기본계획 예산서_보완중" xfId="633"/>
    <cellStyle name="_01 내역서(미원천 개수공사 실시설계)_안양천권역 하천기본계획 설계예산서" xfId="634"/>
    <cellStyle name="_01 내역서(미원천 개수공사 실시설계)_한강하류 하천기본계획 설계예산서(지형측량)" xfId="635"/>
    <cellStyle name="_01 내역서(미원천 개수공사 실시설계)_한강하류내역서_최종 (2)" xfId="636"/>
    <cellStyle name="_01 소하천내역서(동두천시)1차분+전체(계약용)" xfId="637"/>
    <cellStyle name="_01(1).산업단지개발계획" xfId="29"/>
    <cellStyle name="_01.산업단지개발계획" xfId="30"/>
    <cellStyle name="_02(1).지구단위계획" xfId="31"/>
    <cellStyle name="_02.지구단위계획" xfId="32"/>
    <cellStyle name="_02_토질조사(수정)" xfId="638"/>
    <cellStyle name="_021126_목포시청(총괄)" xfId="639"/>
    <cellStyle name="_02용역내역서060306" xfId="640"/>
    <cellStyle name="_02인천광역시내역서060519" xfId="33"/>
    <cellStyle name="_03_기본및실시설계(수정)" xfId="641"/>
    <cellStyle name="_0311정산설계변경서(별내-주변도로(시외))" xfId="642"/>
    <cellStyle name="_04_손배료(수정)" xfId="643"/>
    <cellStyle name="_050309 대한상공회의소 운영 1차 수정" xfId="644"/>
    <cellStyle name="_051216-Ucity 포털사이트-개발예산_이은실" xfId="645"/>
    <cellStyle name="_06(1).내역서(한강 가평삼회)" xfId="646"/>
    <cellStyle name="_06-예산내역서(실시계획)-발주용" xfId="647"/>
    <cellStyle name="_06-예산내역서(실시계획)-보고용" xfId="648"/>
    <cellStyle name="_071011 농업기술원-통합견적서" xfId="649"/>
    <cellStyle name="_081013 설계내역서(일부조정)" xfId="650"/>
    <cellStyle name="_09 군관리계획_적성-전산화내역서" xfId="651"/>
    <cellStyle name="_09 군관리계획_적성-전산화내역서(최종)" xfId="652"/>
    <cellStyle name="_1.3km²)산출내역서_01_22(LiDAR포함)" xfId="653"/>
    <cellStyle name="_1.화성향남어린이도서관정산설계변경서" xfId="654"/>
    <cellStyle name="_1_기본계획0510-수정" xfId="655"/>
    <cellStyle name="_1_토지및권리조사" xfId="656"/>
    <cellStyle name="_10.역T형옹벽(H=5.0),개거(0.5X0.5)" xfId="657"/>
    <cellStyle name="_1000억(공사비)기본및실시설계-1" xfId="34"/>
    <cellStyle name="_11. 석축" xfId="658"/>
    <cellStyle name="_11. 석축_2(변경)-토공" xfId="659"/>
    <cellStyle name="_13(석축)" xfId="660"/>
    <cellStyle name="_13(석축)_2(변경)-토공" xfId="661"/>
    <cellStyle name="_19.수중보(옹벽포함)" xfId="662"/>
    <cellStyle name="_19.수중보(옹벽포함)_2(변경)-토공" xfId="663"/>
    <cellStyle name="_1안(Turnkey)_030127" xfId="664"/>
    <cellStyle name="_1-토공" xfId="665"/>
    <cellStyle name="_2.내역서" xfId="666"/>
    <cellStyle name="_2_BP및PM" xfId="667"/>
    <cellStyle name="_2_BusinessPlan수립" xfId="668"/>
    <cellStyle name="_2003년설계품v2.1" xfId="35"/>
    <cellStyle name="_2004(하반기)단가서" xfId="669"/>
    <cellStyle name="_2004(하반기)단가서_간이배수펌프장설치에 따른 타당성용역내역" xfId="670"/>
    <cellStyle name="_2004년 도로와 지하시설물 공동구축 제1회 설계변경내역서(기환형작업)" xfId="671"/>
    <cellStyle name="_2004년 설계내역서-추경" xfId="672"/>
    <cellStyle name="_2004년 추경예산 도로와 지하시설물 공동구축 설계내역서" xfId="673"/>
    <cellStyle name="_2004년도상수,하수,도로내역(기본폼)" xfId="674"/>
    <cellStyle name="_2004년도상수,하수,도로내역(물량조정완료218)" xfId="675"/>
    <cellStyle name="_2004년도상수,하수,도로내역(물량조정중)" xfId="676"/>
    <cellStyle name="_2004년도상수,하수,도로설계변경내역(예정3)" xfId="677"/>
    <cellStyle name="_2005년 사업 시스템 부문 설계내역서_2.0" xfId="678"/>
    <cellStyle name="_20060203-ktis-Security견적v2(김재호과장님)v3" xfId="679"/>
    <cellStyle name="_2006수위계설치계약내역서(5월17일)" xfId="680"/>
    <cellStyle name="_2006수해복구수위계설치설계예산서" xfId="681"/>
    <cellStyle name="_20080303132755-U0002083-15119FBB3633-기본_및_실시설계" xfId="682"/>
    <cellStyle name="_2-4.상반기실적부문별요약" xfId="36"/>
    <cellStyle name="_2-4.상반기실적부문별요약(표지및목차포함)" xfId="37"/>
    <cellStyle name="_2-4.상반기실적부문별요약(표지및목차포함)_091110 안성천권역(중하류) 설계내역서" xfId="683"/>
    <cellStyle name="_2-4.상반기실적부문별요약(표지및목차포함)_1" xfId="38"/>
    <cellStyle name="_2-4.상반기실적부문별요약(표지및목차포함)_100120 안성천권역(중하류) 2차분내역서" xfId="684"/>
    <cellStyle name="_2-4.상반기실적부문별요약(표지및목차포함)_논산천 권역 하천기본계획 설계예산서" xfId="685"/>
    <cellStyle name="_2-4.상반기실적부문별요약(표지및목차포함)_소양강 상류권역 하천기본계획(변경) 및 하천시설관리대장작성_Lidar측량" xfId="686"/>
    <cellStyle name="_2-4.상반기실적부문별요약(표지및목차포함)_안양천 하천기본계획 예산서_보완중" xfId="687"/>
    <cellStyle name="_2-4.상반기실적부문별요약(표지및목차포함)_안양천권역 하천기본계획 설계예산서" xfId="688"/>
    <cellStyle name="_2-4.상반기실적부문별요약(표지및목차포함)_한강하류 하천기본계획 설계예산서(지형측량)" xfId="689"/>
    <cellStyle name="_2-4.상반기실적부문별요약(표지및목차포함)_한강하류내역서_최종 (2)" xfId="690"/>
    <cellStyle name="_2-4.상반기실적부문별요약_1" xfId="39"/>
    <cellStyle name="_2500정사사진(2005년도2차물량 위성과 통합)" xfId="691"/>
    <cellStyle name="_2차계약설계서" xfId="692"/>
    <cellStyle name="_3(석축,con포장)" xfId="693"/>
    <cellStyle name="_3(석축,con포장)_2(변경)-토공" xfId="694"/>
    <cellStyle name="_3.교통영향평가" xfId="695"/>
    <cellStyle name="_3.기본및실시설계" xfId="696"/>
    <cellStyle name="_3.제경,기술" xfId="697"/>
    <cellStyle name="_3_사업타당성검토" xfId="698"/>
    <cellStyle name="_4_토지및권리조사" xfId="699"/>
    <cellStyle name="_4_토질및지반조사0509수정끝(핸드시험추가)" xfId="700"/>
    <cellStyle name="_4차사업설계서(계약가)" xfId="701"/>
    <cellStyle name="_5_항공측량_규0509수정끝" xfId="702"/>
    <cellStyle name="_6_사전환경성검토0509진짜수정끝" xfId="703"/>
    <cellStyle name="_6예산내역서(조사설계)-감사실의견반영" xfId="40"/>
    <cellStyle name="_7_사전재해성검토0509진짜수정끝" xfId="704"/>
    <cellStyle name="_'99상반기경영개선활동결과(게시용)" xfId="41"/>
    <cellStyle name="_Book1" xfId="42"/>
    <cellStyle name="_Book1_대장천_도심생태복원사업_기본_및_실시설계용역_설계예산서(원내역)" xfId="1825"/>
    <cellStyle name="_Book3" xfId="1826"/>
    <cellStyle name="_cnm-hw" xfId="1827"/>
    <cellStyle name="_COMPAQServer" xfId="1828"/>
    <cellStyle name="_CPU" xfId="1829"/>
    <cellStyle name="_DB구축설계서(남양주0816)" xfId="43"/>
    <cellStyle name="_DB설계" xfId="1830"/>
    <cellStyle name="_FAX1" xfId="1831"/>
    <cellStyle name="_FAX1_간이배수펌프장설치에 따른 타당성용역내역" xfId="1832"/>
    <cellStyle name="_FAX1_선정안(삼산)" xfId="1833"/>
    <cellStyle name="_FAX1_선정안(삼산)_간이배수펌프장설치에 따른 타당성용역내역" xfId="1834"/>
    <cellStyle name="_FAX1_추풍령" xfId="1835"/>
    <cellStyle name="_FAX1_추풍령_간이배수펌프장설치에 따른 타당성용역내역" xfId="1836"/>
    <cellStyle name="_FAX1_추풍령-1" xfId="1837"/>
    <cellStyle name="_FAX1_추풍령-1_간이배수펌프장설치에 따른 타당성용역내역" xfId="1838"/>
    <cellStyle name="_FAX2" xfId="1839"/>
    <cellStyle name="_FAX2_간이배수펌프장설치에 따른 타당성용역내역" xfId="1840"/>
    <cellStyle name="_FAX2_선정안(삼산)" xfId="1841"/>
    <cellStyle name="_FAX2_선정안(삼산)_간이배수펌프장설치에 따른 타당성용역내역" xfId="1842"/>
    <cellStyle name="_FAX2_추풍령" xfId="1843"/>
    <cellStyle name="_FAX2_추풍령_간이배수펌프장설치에 따른 타당성용역내역" xfId="1844"/>
    <cellStyle name="_FAX2_추풍령-1" xfId="1845"/>
    <cellStyle name="_FAX2_추풍령-1_간이배수펌프장설치에 따른 타당성용역내역" xfId="1846"/>
    <cellStyle name="_FP_설계내역샘플_(가중치직접산정방식)_New" xfId="1847"/>
    <cellStyle name="_FP_설계내역샘플_(평균가중치방식)_New" xfId="1848"/>
    <cellStyle name="_GIS총괄설계서(Version3.0)" xfId="1849"/>
    <cellStyle name="_HIServlet?SLET=AttView&amp;APP=1&amp;ID=00050ozrw&amp;SEQ=0&amp;K=00U7A3Fxv1&amp;FILENAME=구조물단면" xfId="1850"/>
    <cellStyle name="_HIServlet?SLET=AttView&amp;APP=1&amp;ID=00050ozrw&amp;SEQ=0&amp;K=00U7A3Fxv1&amp;FILENAME=구조물단면_댐직하류 하천정비(환경)사업 기본계획 및 실시설계용역-수공용" xfId="1851"/>
    <cellStyle name="_HIServlet?SLET=AttView&amp;APP=1&amp;ID=00050ozrw&amp;SEQ=0&amp;K=00U7A3Fxv1&amp;FILENAME=구조물단면_댐직하류 하천정비(환경)사업 기본계획 및 실시설계용역-수공용_용담댐직하류 하천정비공사 설계예산서(남원작성)-" xfId="1852"/>
    <cellStyle name="_HIServlet?SLET=AttView&amp;APP=1&amp;ID=00050ozrw&amp;SEQ=0&amp;K=00U7A3Fxv1&amp;FILENAME=구조물단면_댐직하류 하천정비(환경)사업 기본계획 및 실시설계용역-수공용_용담댐직하류 하천정비공사 설계예산서(남원작성)-_용담댐하류하천환경정비사업설계예산서(건희)" xfId="1853"/>
    <cellStyle name="_HIServlet?SLET=AttView&amp;APP=1&amp;ID=00050ozrw&amp;SEQ=0&amp;K=00U7A3Fxv1&amp;FILENAME=구조물단면_댐직하류 하천정비(환경)사업 기본계획 및 실시설계용역-수공용_용담댐직하류 하천정비공사 설계예산서(남원작성)-_용담댐하류하천환경정비사업설계예산서(건희)_1) 신천금호강 종합개발 기본설계" xfId="1854"/>
    <cellStyle name="_HIServlet?SLET=AttView&amp;APP=1&amp;ID=00050ozrw&amp;SEQ=0&amp;K=00U7A3Fxv1&amp;FILENAME=구조물단면_댐직하류 하천정비(환경)사업 기본계획 및 실시설계용역-수공용_용담댐직하류 하천정비공사 설계예산서(남원작성)-_용담댐하류하천환경정비사업설계예산서(건희)_2) 신천금호강 종합개발 동영상제작(변경최종)" xfId="1855"/>
    <cellStyle name="_HIServlet?SLET=AttView&amp;APP=1&amp;ID=00050ozrw&amp;SEQ=0&amp;K=00U7A3Fxv1&amp;FILENAME=구조물단면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856"/>
    <cellStyle name="_HIServlet?SLET=AttView&amp;APP=1&amp;ID=00050ozrw&amp;SEQ=0&amp;K=00U7A3Fxv1&amp;FILENAME=구조물단면_댐직하류 하천정비(환경)사업 기본계획 및 실시설계용역-수공용_용담댐직하류 하천정비공사 설계예산서(남원작성)-_용담댐하류하천환경정비사업설계예산서(건희)_설계내역서(신천-금호강)" xfId="1857"/>
    <cellStyle name="_HIServlet?SLET=AttView&amp;APP=1&amp;ID=00050ozrw&amp;SEQ=0&amp;K=00U7A3Fxv1&amp;FILENAME=구조물단면_댐직하류 하천정비(환경)사업 기본계획 및 실시설계용역-수공용_용담댐직하류 하천정비공사 설계예산서(남원작성)-_용담댐하류하천환경정비사업설계예산서(건희)_설계내역서(전체)" xfId="1858"/>
    <cellStyle name="_HIServlet?SLET=AttView&amp;APP=1&amp;ID=00050ozrw&amp;SEQ=0&amp;K=00U7A3Fxv1&amp;FILENAME=구조물단면_댐직하류 하천정비(환경)사업 기본계획 및 실시설계용역-수공용_용담댐직하류 하천정비공사 설계예산서(남원작성)-_용담댐하류하천환경정비사업설계예산서(건희)_신천금호강 종합개발 기본설계  내역서(수정분)" xfId="1859"/>
    <cellStyle name="_HIServlet?SLET=AttView&amp;APP=1&amp;ID=00050ozrw&amp;SEQ=0&amp;K=00U7A3Fxv1&amp;FILENAME=구조물단면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860"/>
    <cellStyle name="_HIServlet?SLET=AttView&amp;APP=1&amp;ID=00050ozrw&amp;SEQ=0&amp;K=00U7A3Fxv1&amp;FILENAME=구조물단면_댐직하류 하천정비(환경)사업 기본계획 및 실시설계용역-수공용_용담댐직하류 하천정비공사 설계예산서(남원작성)-_용담댐하류하천환경정비사업설계예산서(건희)_심사내역서" xfId="1861"/>
    <cellStyle name="_HIServlet?SLET=AttView&amp;APP=1&amp;ID=00050ozrw&amp;SEQ=0&amp;K=00U7A3Fxv1&amp;FILENAME=구조물단면_댐직하류 하천정비(환경)사업 기본계획 및 실시설계용역-수공용_용담댐하류하천환경정비사업설계예산서(건희)" xfId="1862"/>
    <cellStyle name="_HIServlet?SLET=AttView&amp;APP=1&amp;ID=00050ozrw&amp;SEQ=0&amp;K=00U7A3Fxv1&amp;FILENAME=구조물단면_댐직하류 하천정비(환경)사업 기본계획 및 실시설계용역-수공용_용담댐하류하천환경정비사업설계예산서(건희)_1) 신천금호강 종합개발 기본설계" xfId="1863"/>
    <cellStyle name="_HIServlet?SLET=AttView&amp;APP=1&amp;ID=00050ozrw&amp;SEQ=0&amp;K=00U7A3Fxv1&amp;FILENAME=구조물단면_댐직하류 하천정비(환경)사업 기본계획 및 실시설계용역-수공용_용담댐하류하천환경정비사업설계예산서(건희)_2) 신천금호강 종합개발 동영상제작(변경최종)" xfId="1864"/>
    <cellStyle name="_HIServlet?SLET=AttView&amp;APP=1&amp;ID=00050ozrw&amp;SEQ=0&amp;K=00U7A3Fxv1&amp;FILENAME=구조물단면_댐직하류 하천정비(환경)사업 기본계획 및 실시설계용역-수공용_용담댐하류하천환경정비사업설계예산서(건희)_3) 신천금호강 종합개발 산책로 실시설계(변경최종)" xfId="1865"/>
    <cellStyle name="_HIServlet?SLET=AttView&amp;APP=1&amp;ID=00050ozrw&amp;SEQ=0&amp;K=00U7A3Fxv1&amp;FILENAME=구조물단면_댐직하류 하천정비(환경)사업 기본계획 및 실시설계용역-수공용_용담댐하류하천환경정비사업설계예산서(건희)_설계내역서(신천-금호강)" xfId="1866"/>
    <cellStyle name="_HIServlet?SLET=AttView&amp;APP=1&amp;ID=00050ozrw&amp;SEQ=0&amp;K=00U7A3Fxv1&amp;FILENAME=구조물단면_댐직하류 하천정비(환경)사업 기본계획 및 실시설계용역-수공용_용담댐하류하천환경정비사업설계예산서(건희)_설계내역서(전체)" xfId="1867"/>
    <cellStyle name="_HIServlet?SLET=AttView&amp;APP=1&amp;ID=00050ozrw&amp;SEQ=0&amp;K=00U7A3Fxv1&amp;FILENAME=구조물단면_댐직하류 하천정비(환경)사업 기본계획 및 실시설계용역-수공용_용담댐하류하천환경정비사업설계예산서(건희)_신천금호강 종합개발 기본설계  내역서(수정분)" xfId="1868"/>
    <cellStyle name="_HIServlet?SLET=AttView&amp;APP=1&amp;ID=00050ozrw&amp;SEQ=0&amp;K=00U7A3Fxv1&amp;FILENAME=구조물단면_댐직하류 하천정비(환경)사업 기본계획 및 실시설계용역-수공용_용담댐하류하천환경정비사업설계예산서(건희)_신천금호강내역서(수정-보오링,사전재해및환경성제외,측량연장조정9(1).95억0726)" xfId="1869"/>
    <cellStyle name="_HIServlet?SLET=AttView&amp;APP=1&amp;ID=00050ozrw&amp;SEQ=0&amp;K=00U7A3Fxv1&amp;FILENAME=구조물단면_댐직하류 하천정비(환경)사업 기본계획 및 실시설계용역-수공용_용담댐하류하천환경정비사업설계예산서(건희)_심사내역서" xfId="1870"/>
    <cellStyle name="_HIServlet?SLET=AttView&amp;APP=1&amp;ID=00050ozrw&amp;SEQ=0&amp;K=00U7A3Fxv1&amp;FILENAME=구조물단면_용담댐하류하천환경정비사업설계예산서(건희)" xfId="1871"/>
    <cellStyle name="_HIServlet?SLET=AttView&amp;APP=1&amp;ID=00050ozrw&amp;SEQ=0&amp;K=00U7A3Fxv1&amp;FILENAME=구조물단면_용담댐하류하천환경정비사업설계예산서(건희)_1) 신천금호강 종합개발 기본설계" xfId="1872"/>
    <cellStyle name="_HIServlet?SLET=AttView&amp;APP=1&amp;ID=00050ozrw&amp;SEQ=0&amp;K=00U7A3Fxv1&amp;FILENAME=구조물단면_용담댐하류하천환경정비사업설계예산서(건희)_2) 신천금호강 종합개발 동영상제작(변경최종)" xfId="1873"/>
    <cellStyle name="_HIServlet?SLET=AttView&amp;APP=1&amp;ID=00050ozrw&amp;SEQ=0&amp;K=00U7A3Fxv1&amp;FILENAME=구조물단면_용담댐하류하천환경정비사업설계예산서(건희)_3) 신천금호강 종합개발 산책로 실시설계(변경최종)" xfId="1874"/>
    <cellStyle name="_HIServlet?SLET=AttView&amp;APP=1&amp;ID=00050ozrw&amp;SEQ=0&amp;K=00U7A3Fxv1&amp;FILENAME=구조물단면_용담댐하류하천환경정비사업설계예산서(건희)_설계내역서(신천-금호강)" xfId="1875"/>
    <cellStyle name="_HIServlet?SLET=AttView&amp;APP=1&amp;ID=00050ozrw&amp;SEQ=0&amp;K=00U7A3Fxv1&amp;FILENAME=구조물단면_용담댐하류하천환경정비사업설계예산서(건희)_설계내역서(전체)" xfId="1876"/>
    <cellStyle name="_HIServlet?SLET=AttView&amp;APP=1&amp;ID=00050ozrw&amp;SEQ=0&amp;K=00U7A3Fxv1&amp;FILENAME=구조물단면_용담댐하류하천환경정비사업설계예산서(건희)_신천금호강 종합개발 기본설계  내역서(수정분)" xfId="1877"/>
    <cellStyle name="_HIServlet?SLET=AttView&amp;APP=1&amp;ID=00050ozrw&amp;SEQ=0&amp;K=00U7A3Fxv1&amp;FILENAME=구조물단면_용담댐하류하천환경정비사업설계예산서(건희)_신천금호강내역서(수정-보오링,사전재해및환경성제외,측량연장조정9(1).95억0726)" xfId="1878"/>
    <cellStyle name="_HIServlet?SLET=AttView&amp;APP=1&amp;ID=00050ozrw&amp;SEQ=0&amp;K=00U7A3Fxv1&amp;FILENAME=구조물단면_용담댐하류하천환경정비사업설계예산서(건희)_심사내역서" xfId="1879"/>
    <cellStyle name="_IBM" xfId="1880"/>
    <cellStyle name="_ktis-Security견적(giga)_최종-조정안" xfId="1881"/>
    <cellStyle name="_P-03-092공통" xfId="1882"/>
    <cellStyle name="_P-04-007(공통)" xfId="1883"/>
    <cellStyle name="_P-04-007(총괄)" xfId="1884"/>
    <cellStyle name="_PC-01. U-City_시설종합관리시스템 개발비_상세내역_(0328)" xfId="1885"/>
    <cellStyle name="_RAMP-E교-최종000" xfId="1886"/>
    <cellStyle name="_RAMP-E교-최종000_로하스변경내역서-5(06.6.7)" xfId="1887"/>
    <cellStyle name="_RAMP-E교-최종000_로하스변경내역서-5(06.6.7)_로하스변경내역서-6(06(1).6.27 당초변경)" xfId="1888"/>
    <cellStyle name="_RAMP-E교-최종000_로하스변경내역서-6(06.6.21)" xfId="1889"/>
    <cellStyle name="_RAMP-E교-최종000_로하스변경내역서-6(06.6.21)_로하스변경내역서-6(06(1).6.27 당초변경)" xfId="1890"/>
    <cellStyle name="_RAMP-E교-최종000_시방서" xfId="1891"/>
    <cellStyle name="_RAMP-E교-최종000_시방서_로하스변경내역서-5(06.6.7)" xfId="1892"/>
    <cellStyle name="_RAMP-E교-최종000_시방서_로하스변경내역서-5(06.6.7)_로하스변경내역서-6(06(1).6.27 당초변경)" xfId="1893"/>
    <cellStyle name="_RAMP-E교-최종000_시방서_로하스변경내역서-6(06.6.21)" xfId="1894"/>
    <cellStyle name="_RAMP-E교-최종000_시방서_로하스변경내역서-6(06.6.21)_로하스변경내역서-6(06(1).6.27 당초변경)" xfId="1895"/>
    <cellStyle name="_RAMP-E교-최종000_파도 - 모항선 횡배수관 확장" xfId="1896"/>
    <cellStyle name="_RAMP-E교-최종000_파도 - 모항선 횡배수관 확장_로하스변경내역서-5(06.6.7)" xfId="1897"/>
    <cellStyle name="_RAMP-E교-최종000_파도 - 모항선 횡배수관 확장_로하스변경내역서-5(06.6.7)_로하스변경내역서-6(06(1).6.27 당초변경)" xfId="1898"/>
    <cellStyle name="_RAMP-E교-최종000_파도 - 모항선 횡배수관 확장_로하스변경내역서-6(06.6.21)" xfId="1899"/>
    <cellStyle name="_RAMP-E교-최종000_파도 - 모항선 횡배수관 확장_로하스변경내역서-6(06.6.21)_로하스변경내역서-6(06(1).6.27 당초변경)" xfId="1900"/>
    <cellStyle name="_RAMP-E교-최종000_파도 - 모항선 횡배수관 확장_시방서" xfId="1901"/>
    <cellStyle name="_RAMP-E교-최종000_파도 - 모항선 횡배수관 확장_시방서_로하스변경내역서-5(06.6.7)" xfId="1902"/>
    <cellStyle name="_RAMP-E교-최종000_파도 - 모항선 횡배수관 확장_시방서_로하스변경내역서-5(06.6.7)_로하스변경내역서-6(06(1).6.27 당초변경)" xfId="1903"/>
    <cellStyle name="_RAMP-E교-최종000_파도 - 모항선 횡배수관 확장_시방서_로하스변경내역서-6(06.6.21)" xfId="1904"/>
    <cellStyle name="_RAMP-E교-최종000_파도 - 모항선 횡배수관 확장_시방서_로하스변경내역서-6(06.6.21)_로하스변경내역서-6(06(1).6.27 당초변경)" xfId="1905"/>
    <cellStyle name="_SI부문_김천시" xfId="1906"/>
    <cellStyle name="_가천지방산단-사전&amp;평가" xfId="705"/>
    <cellStyle name="_강남대_네트웍_컴스(시스코쓰리콤견적)" xfId="706"/>
    <cellStyle name="_강원도 정책결정지원 인트라넷 구축사업_내역서" xfId="707"/>
    <cellStyle name="_개발비 산출양식(웨이버스)" xfId="708"/>
    <cellStyle name="_건국대학교 매체제작실 견적서 03.0929" xfId="709"/>
    <cellStyle name="_견적결과" xfId="710"/>
    <cellStyle name="_견적결과_간이배수펌프장설치에 따른 타당성용역내역" xfId="711"/>
    <cellStyle name="_견적결과_선정안(삼산)" xfId="712"/>
    <cellStyle name="_견적결과_선정안(삼산)_간이배수펌프장설치에 따른 타당성용역내역" xfId="713"/>
    <cellStyle name="_견적결과_추풍령" xfId="714"/>
    <cellStyle name="_견적결과_추풍령_간이배수펌프장설치에 따른 타당성용역내역" xfId="715"/>
    <cellStyle name="_견적결과_추풍령-1" xfId="716"/>
    <cellStyle name="_견적결과_추풍령-1_간이배수펌프장설치에 따른 타당성용역내역" xfId="717"/>
    <cellStyle name="_견적조건" xfId="718"/>
    <cellStyle name="_견적조건_간이배수펌프장설치에 따른 타당성용역내역" xfId="719"/>
    <cellStyle name="_견적조건_선정안(삼산)" xfId="720"/>
    <cellStyle name="_견적조건_선정안(삼산)_간이배수펌프장설치에 따른 타당성용역내역" xfId="721"/>
    <cellStyle name="_견적조건_추풍령" xfId="722"/>
    <cellStyle name="_견적조건_추풍령_간이배수펌프장설치에 따른 타당성용역내역" xfId="723"/>
    <cellStyle name="_견적조건_추풍령-1" xfId="724"/>
    <cellStyle name="_견적조건_추풍령-1_간이배수펌프장설치에 따른 타당성용역내역" xfId="725"/>
    <cellStyle name="_경남교통표지판" xfId="44"/>
    <cellStyle name="_경남교통표지판_문화의 거리 농로포장(김병국2차)" xfId="45"/>
    <cellStyle name="_경남교통표지판_문화의 거리 농로포장(김병국2차)_문화의 거리 농로포장(김병국2차)" xfId="46"/>
    <cellStyle name="_경영개선활동상반기실적(990708)" xfId="47"/>
    <cellStyle name="_경영개선활동상반기실적(990708)_1" xfId="48"/>
    <cellStyle name="_경영개선활동상반기실적(990708)_1_091110 안성천권역(중하류) 설계내역서" xfId="726"/>
    <cellStyle name="_경영개선활동상반기실적(990708)_1_100120 안성천권역(중하류) 2차분내역서" xfId="727"/>
    <cellStyle name="_경영개선활동상반기실적(990708)_1_논산천 권역 하천기본계획 설계예산서" xfId="728"/>
    <cellStyle name="_경영개선활동상반기실적(990708)_1_소양강 상류권역 하천기본계획(변경) 및 하천시설관리대장작성_Lidar측량" xfId="729"/>
    <cellStyle name="_경영개선활동상반기실적(990708)_1_안양천 하천기본계획 예산서_보완중" xfId="730"/>
    <cellStyle name="_경영개선활동상반기실적(990708)_1_안양천권역 하천기본계획 설계예산서" xfId="731"/>
    <cellStyle name="_경영개선활동상반기실적(990708)_1_한강하류 하천기본계획 설계예산서(지형측량)" xfId="732"/>
    <cellStyle name="_경영개선활동상반기실적(990708)_1_한강하류내역서_최종 (2)" xfId="733"/>
    <cellStyle name="_경영개선활동상반기실적(990708)_2" xfId="49"/>
    <cellStyle name="_경영개선활성화방안(990802)" xfId="50"/>
    <cellStyle name="_경영개선활성화방안(990802)_1" xfId="51"/>
    <cellStyle name="_경영개선활성화방안(990802)_1_091110 안성천권역(중하류) 설계내역서" xfId="734"/>
    <cellStyle name="_경영개선활성화방안(990802)_1_100120 안성천권역(중하류) 2차분내역서" xfId="735"/>
    <cellStyle name="_경영개선활성화방안(990802)_1_논산천 권역 하천기본계획 설계예산서" xfId="736"/>
    <cellStyle name="_경영개선활성화방안(990802)_1_소양강 상류권역 하천기본계획(변경) 및 하천시설관리대장작성_Lidar측량" xfId="737"/>
    <cellStyle name="_경영개선활성화방안(990802)_1_안양천 하천기본계획 예산서_보완중" xfId="738"/>
    <cellStyle name="_경영개선활성화방안(990802)_1_안양천권역 하천기본계획 설계예산서" xfId="739"/>
    <cellStyle name="_경영개선활성화방안(990802)_1_한강하류 하천기본계획 설계예산서(지형측량)" xfId="740"/>
    <cellStyle name="_경영개선활성화방안(990802)_1_한강하류내역서_최종 (2)" xfId="741"/>
    <cellStyle name="_경전철조사측량내역" xfId="742"/>
    <cellStyle name="_공사요율표-031008" xfId="743"/>
    <cellStyle name="_광역송수관 이설공사 설계(SK판넬, 최종)" xfId="834"/>
    <cellStyle name="_광역송수관 이설공사 설계(SK판넬, 최종)_댐직하류 하천정비(환경)사업 기본계획 및 실시설계용역-수공용" xfId="835"/>
    <cellStyle name="_광역송수관 이설공사 설계(SK판넬, 최종)_댐직하류 하천정비(환경)사업 기본계획 및 실시설계용역-수공용_용담댐직하류 하천정비공사 설계예산서(남원작성)-" xfId="836"/>
    <cellStyle name="_광역송수관 이설공사 설계(SK판넬, 최종)_댐직하류 하천정비(환경)사업 기본계획 및 실시설계용역-수공용_용담댐직하류 하천정비공사 설계예산서(남원작성)-_용담댐하류하천환경정비사업설계예산서(건희)" xfId="837"/>
    <cellStyle name="_광역송수관 이설공사 설계(SK판넬, 최종)_댐직하류 하천정비(환경)사업 기본계획 및 실시설계용역-수공용_용담댐직하류 하천정비공사 설계예산서(남원작성)-_용담댐하류하천환경정비사업설계예산서(건희)_1) 신천금호강 종합개발 기본설계" xfId="838"/>
    <cellStyle name="_광역송수관 이설공사 설계(SK판넬, 최종)_댐직하류 하천정비(환경)사업 기본계획 및 실시설계용역-수공용_용담댐직하류 하천정비공사 설계예산서(남원작성)-_용담댐하류하천환경정비사업설계예산서(건희)_2) 신천금호강 종합개발 동영상제작(변경최종)" xfId="839"/>
    <cellStyle name="_광역송수관 이설공사 설계(SK판넬, 최종)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840"/>
    <cellStyle name="_광역송수관 이설공사 설계(SK판넬, 최종)_댐직하류 하천정비(환경)사업 기본계획 및 실시설계용역-수공용_용담댐직하류 하천정비공사 설계예산서(남원작성)-_용담댐하류하천환경정비사업설계예산서(건희)_설계내역서(신천-금호강)" xfId="841"/>
    <cellStyle name="_광역송수관 이설공사 설계(SK판넬, 최종)_댐직하류 하천정비(환경)사업 기본계획 및 실시설계용역-수공용_용담댐직하류 하천정비공사 설계예산서(남원작성)-_용담댐하류하천환경정비사업설계예산서(건희)_설계내역서(전체)" xfId="842"/>
    <cellStyle name="_광역송수관 이설공사 설계(SK판넬, 최종)_댐직하류 하천정비(환경)사업 기본계획 및 실시설계용역-수공용_용담댐직하류 하천정비공사 설계예산서(남원작성)-_용담댐하류하천환경정비사업설계예산서(건희)_신천금호강 종합개발 기본설계  내역서(수정분)" xfId="843"/>
    <cellStyle name="_광역송수관 이설공사 설계(SK판넬, 최종)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844"/>
    <cellStyle name="_광역송수관 이설공사 설계(SK판넬, 최종)_댐직하류 하천정비(환경)사업 기본계획 및 실시설계용역-수공용_용담댐직하류 하천정비공사 설계예산서(남원작성)-_용담댐하류하천환경정비사업설계예산서(건희)_심사내역서" xfId="845"/>
    <cellStyle name="_광역송수관 이설공사 설계(SK판넬, 최종)_댐직하류 하천정비(환경)사업 기본계획 및 실시설계용역-수공용_용담댐하류하천환경정비사업설계예산서(건희)" xfId="846"/>
    <cellStyle name="_광역송수관 이설공사 설계(SK판넬, 최종)_댐직하류 하천정비(환경)사업 기본계획 및 실시설계용역-수공용_용담댐하류하천환경정비사업설계예산서(건희)_1) 신천금호강 종합개발 기본설계" xfId="847"/>
    <cellStyle name="_광역송수관 이설공사 설계(SK판넬, 최종)_댐직하류 하천정비(환경)사업 기본계획 및 실시설계용역-수공용_용담댐하류하천환경정비사업설계예산서(건희)_2) 신천금호강 종합개발 동영상제작(변경최종)" xfId="848"/>
    <cellStyle name="_광역송수관 이설공사 설계(SK판넬, 최종)_댐직하류 하천정비(환경)사업 기본계획 및 실시설계용역-수공용_용담댐하류하천환경정비사업설계예산서(건희)_3) 신천금호강 종합개발 산책로 실시설계(변경최종)" xfId="849"/>
    <cellStyle name="_광역송수관 이설공사 설계(SK판넬, 최종)_댐직하류 하천정비(환경)사업 기본계획 및 실시설계용역-수공용_용담댐하류하천환경정비사업설계예산서(건희)_설계내역서(신천-금호강)" xfId="850"/>
    <cellStyle name="_광역송수관 이설공사 설계(SK판넬, 최종)_댐직하류 하천정비(환경)사업 기본계획 및 실시설계용역-수공용_용담댐하류하천환경정비사업설계예산서(건희)_설계내역서(전체)" xfId="851"/>
    <cellStyle name="_광역송수관 이설공사 설계(SK판넬, 최종)_댐직하류 하천정비(환경)사업 기본계획 및 실시설계용역-수공용_용담댐하류하천환경정비사업설계예산서(건희)_신천금호강 종합개발 기본설계  내역서(수정분)" xfId="852"/>
    <cellStyle name="_광역송수관 이설공사 설계(SK판넬, 최종)_댐직하류 하천정비(환경)사업 기본계획 및 실시설계용역-수공용_용담댐하류하천환경정비사업설계예산서(건희)_신천금호강내역서(수정-보오링,사전재해및환경성제외,측량연장조정9(1).95억0726)" xfId="853"/>
    <cellStyle name="_광역송수관 이설공사 설계(SK판넬, 최종)_댐직하류 하천정비(환경)사업 기본계획 및 실시설계용역-수공용_용담댐하류하천환경정비사업설계예산서(건희)_심사내역서" xfId="854"/>
    <cellStyle name="_광역송수관 이설공사 설계(SK판넬, 최종)_용담댐하류하천환경정비사업설계예산서(건희)" xfId="855"/>
    <cellStyle name="_광역송수관 이설공사 설계(SK판넬, 최종)_용담댐하류하천환경정비사업설계예산서(건희)_1) 신천금호강 종합개발 기본설계" xfId="856"/>
    <cellStyle name="_광역송수관 이설공사 설계(SK판넬, 최종)_용담댐하류하천환경정비사업설계예산서(건희)_2) 신천금호강 종합개발 동영상제작(변경최종)" xfId="857"/>
    <cellStyle name="_광역송수관 이설공사 설계(SK판넬, 최종)_용담댐하류하천환경정비사업설계예산서(건희)_3) 신천금호강 종합개발 산책로 실시설계(변경최종)" xfId="858"/>
    <cellStyle name="_광역송수관 이설공사 설계(SK판넬, 최종)_용담댐하류하천환경정비사업설계예산서(건희)_설계내역서(신천-금호강)" xfId="859"/>
    <cellStyle name="_광역송수관 이설공사 설계(SK판넬, 최종)_용담댐하류하천환경정비사업설계예산서(건희)_설계내역서(전체)" xfId="860"/>
    <cellStyle name="_광역송수관 이설공사 설계(SK판넬, 최종)_용담댐하류하천환경정비사업설계예산서(건희)_신천금호강 종합개발 기본설계  내역서(수정분)" xfId="861"/>
    <cellStyle name="_광역송수관 이설공사 설계(SK판넬, 최종)_용담댐하류하천환경정비사업설계예산서(건희)_신천금호강내역서(수정-보오링,사전재해및환경성제외,측량연장조정9(1).95억0726)" xfId="862"/>
    <cellStyle name="_광역송수관 이설공사 설계(SK판넬, 최종)_용담댐하류하천환경정비사업설계예산서(건희)_심사내역서" xfId="863"/>
    <cellStyle name="_광역송수관 이설공사 설계(토공삭제최종)" xfId="744"/>
    <cellStyle name="_광역송수관 이설공사 설계(토공삭제최종)_댐직하류 하천정비(환경)사업 기본계획 및 실시설계용역-수공용" xfId="745"/>
    <cellStyle name="_광역송수관 이설공사 설계(토공삭제최종)_댐직하류 하천정비(환경)사업 기본계획 및 실시설계용역-수공용_용담댐직하류 하천정비공사 설계예산서(남원작성)-" xfId="746"/>
    <cellStyle name="_광역송수관 이설공사 설계(토공삭제최종)_댐직하류 하천정비(환경)사업 기본계획 및 실시설계용역-수공용_용담댐직하류 하천정비공사 설계예산서(남원작성)-_용담댐하류하천환경정비사업설계예산서(건희)" xfId="747"/>
    <cellStyle name="_광역송수관 이설공사 설계(토공삭제최종)_댐직하류 하천정비(환경)사업 기본계획 및 실시설계용역-수공용_용담댐직하류 하천정비공사 설계예산서(남원작성)-_용담댐하류하천환경정비사업설계예산서(건희)_1) 신천금호강 종합개발 기본설계" xfId="748"/>
    <cellStyle name="_광역송수관 이설공사 설계(토공삭제최종)_댐직하류 하천정비(환경)사업 기본계획 및 실시설계용역-수공용_용담댐직하류 하천정비공사 설계예산서(남원작성)-_용담댐하류하천환경정비사업설계예산서(건희)_2) 신천금호강 종합개발 동영상제작(변경최종)" xfId="749"/>
    <cellStyle name="_광역송수관 이설공사 설계(토공삭제최종)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750"/>
    <cellStyle name="_광역송수관 이설공사 설계(토공삭제최종)_댐직하류 하천정비(환경)사업 기본계획 및 실시설계용역-수공용_용담댐직하류 하천정비공사 설계예산서(남원작성)-_용담댐하류하천환경정비사업설계예산서(건희)_설계내역서(신천-금호강)" xfId="751"/>
    <cellStyle name="_광역송수관 이설공사 설계(토공삭제최종)_댐직하류 하천정비(환경)사업 기본계획 및 실시설계용역-수공용_용담댐직하류 하천정비공사 설계예산서(남원작성)-_용담댐하류하천환경정비사업설계예산서(건희)_설계내역서(전체)" xfId="752"/>
    <cellStyle name="_광역송수관 이설공사 설계(토공삭제최종)_댐직하류 하천정비(환경)사업 기본계획 및 실시설계용역-수공용_용담댐직하류 하천정비공사 설계예산서(남원작성)-_용담댐하류하천환경정비사업설계예산서(건희)_신천금호강 종합개발 기본설계  내역서(수정분)" xfId="753"/>
    <cellStyle name="_광역송수관 이설공사 설계(토공삭제최종)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754"/>
    <cellStyle name="_광역송수관 이설공사 설계(토공삭제최종)_댐직하류 하천정비(환경)사업 기본계획 및 실시설계용역-수공용_용담댐직하류 하천정비공사 설계예산서(남원작성)-_용담댐하류하천환경정비사업설계예산서(건희)_심사내역서" xfId="755"/>
    <cellStyle name="_광역송수관 이설공사 설계(토공삭제최종)_댐직하류 하천정비(환경)사업 기본계획 및 실시설계용역-수공용_용담댐하류하천환경정비사업설계예산서(건희)" xfId="756"/>
    <cellStyle name="_광역송수관 이설공사 설계(토공삭제최종)_댐직하류 하천정비(환경)사업 기본계획 및 실시설계용역-수공용_용담댐하류하천환경정비사업설계예산서(건희)_1) 신천금호강 종합개발 기본설계" xfId="757"/>
    <cellStyle name="_광역송수관 이설공사 설계(토공삭제최종)_댐직하류 하천정비(환경)사업 기본계획 및 실시설계용역-수공용_용담댐하류하천환경정비사업설계예산서(건희)_2) 신천금호강 종합개발 동영상제작(변경최종)" xfId="758"/>
    <cellStyle name="_광역송수관 이설공사 설계(토공삭제최종)_댐직하류 하천정비(환경)사업 기본계획 및 실시설계용역-수공용_용담댐하류하천환경정비사업설계예산서(건희)_3) 신천금호강 종합개발 산책로 실시설계(변경최종)" xfId="759"/>
    <cellStyle name="_광역송수관 이설공사 설계(토공삭제최종)_댐직하류 하천정비(환경)사업 기본계획 및 실시설계용역-수공용_용담댐하류하천환경정비사업설계예산서(건희)_설계내역서(신천-금호강)" xfId="760"/>
    <cellStyle name="_광역송수관 이설공사 설계(토공삭제최종)_댐직하류 하천정비(환경)사업 기본계획 및 실시설계용역-수공용_용담댐하류하천환경정비사업설계예산서(건희)_설계내역서(전체)" xfId="761"/>
    <cellStyle name="_광역송수관 이설공사 설계(토공삭제최종)_댐직하류 하천정비(환경)사업 기본계획 및 실시설계용역-수공용_용담댐하류하천환경정비사업설계예산서(건희)_신천금호강 종합개발 기본설계  내역서(수정분)" xfId="762"/>
    <cellStyle name="_광역송수관 이설공사 설계(토공삭제최종)_댐직하류 하천정비(환경)사업 기본계획 및 실시설계용역-수공용_용담댐하류하천환경정비사업설계예산서(건희)_신천금호강내역서(수정-보오링,사전재해및환경성제외,측량연장조정9(1).95억0726)" xfId="763"/>
    <cellStyle name="_광역송수관 이설공사 설계(토공삭제최종)_댐직하류 하천정비(환경)사업 기본계획 및 실시설계용역-수공용_용담댐하류하천환경정비사업설계예산서(건희)_심사내역서" xfId="764"/>
    <cellStyle name="_광역송수관 이설공사 설계(토공삭제최종)_용담댐하류하천환경정비사업설계예산서(건희)" xfId="765"/>
    <cellStyle name="_광역송수관 이설공사 설계(토공삭제최종)_용담댐하류하천환경정비사업설계예산서(건희)_1) 신천금호강 종합개발 기본설계" xfId="766"/>
    <cellStyle name="_광역송수관 이설공사 설계(토공삭제최종)_용담댐하류하천환경정비사업설계예산서(건희)_2) 신천금호강 종합개발 동영상제작(변경최종)" xfId="767"/>
    <cellStyle name="_광역송수관 이설공사 설계(토공삭제최종)_용담댐하류하천환경정비사업설계예산서(건희)_3) 신천금호강 종합개발 산책로 실시설계(변경최종)" xfId="768"/>
    <cellStyle name="_광역송수관 이설공사 설계(토공삭제최종)_용담댐하류하천환경정비사업설계예산서(건희)_설계내역서(신천-금호강)" xfId="769"/>
    <cellStyle name="_광역송수관 이설공사 설계(토공삭제최종)_용담댐하류하천환경정비사업설계예산서(건희)_설계내역서(전체)" xfId="770"/>
    <cellStyle name="_광역송수관 이설공사 설계(토공삭제최종)_용담댐하류하천환경정비사업설계예산서(건희)_신천금호강 종합개발 기본설계  내역서(수정분)" xfId="771"/>
    <cellStyle name="_광역송수관 이설공사 설계(토공삭제최종)_용담댐하류하천환경정비사업설계예산서(건희)_신천금호강내역서(수정-보오링,사전재해및환경성제외,측량연장조정9(1).95억0726)" xfId="772"/>
    <cellStyle name="_광역송수관 이설공사 설계(토공삭제최종)_용담댐하류하천환경정비사업설계예산서(건희)_심사내역서" xfId="773"/>
    <cellStyle name="_광역송수관 이설공사 설계(흙막이)" xfId="774"/>
    <cellStyle name="_광역송수관 이설공사 설계(흙막이)_댐직하류 하천정비(환경)사업 기본계획 및 실시설계용역-수공용" xfId="775"/>
    <cellStyle name="_광역송수관 이설공사 설계(흙막이)_댐직하류 하천정비(환경)사업 기본계획 및 실시설계용역-수공용_용담댐직하류 하천정비공사 설계예산서(남원작성)-" xfId="776"/>
    <cellStyle name="_광역송수관 이설공사 설계(흙막이)_댐직하류 하천정비(환경)사업 기본계획 및 실시설계용역-수공용_용담댐직하류 하천정비공사 설계예산서(남원작성)-_용담댐하류하천환경정비사업설계예산서(건희)" xfId="777"/>
    <cellStyle name="_광역송수관 이설공사 설계(흙막이)_댐직하류 하천정비(환경)사업 기본계획 및 실시설계용역-수공용_용담댐직하류 하천정비공사 설계예산서(남원작성)-_용담댐하류하천환경정비사업설계예산서(건희)_1) 신천금호강 종합개발 기본설계" xfId="778"/>
    <cellStyle name="_광역송수관 이설공사 설계(흙막이)_댐직하류 하천정비(환경)사업 기본계획 및 실시설계용역-수공용_용담댐직하류 하천정비공사 설계예산서(남원작성)-_용담댐하류하천환경정비사업설계예산서(건희)_2) 신천금호강 종합개발 동영상제작(변경최종)" xfId="779"/>
    <cellStyle name="_광역송수관 이설공사 설계(흙막이)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780"/>
    <cellStyle name="_광역송수관 이설공사 설계(흙막이)_댐직하류 하천정비(환경)사업 기본계획 및 실시설계용역-수공용_용담댐직하류 하천정비공사 설계예산서(남원작성)-_용담댐하류하천환경정비사업설계예산서(건희)_설계내역서(신천-금호강)" xfId="781"/>
    <cellStyle name="_광역송수관 이설공사 설계(흙막이)_댐직하류 하천정비(환경)사업 기본계획 및 실시설계용역-수공용_용담댐직하류 하천정비공사 설계예산서(남원작성)-_용담댐하류하천환경정비사업설계예산서(건희)_설계내역서(전체)" xfId="782"/>
    <cellStyle name="_광역송수관 이설공사 설계(흙막이)_댐직하류 하천정비(환경)사업 기본계획 및 실시설계용역-수공용_용담댐직하류 하천정비공사 설계예산서(남원작성)-_용담댐하류하천환경정비사업설계예산서(건희)_신천금호강 종합개발 기본설계  내역서(수정분)" xfId="783"/>
    <cellStyle name="_광역송수관 이설공사 설계(흙막이)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784"/>
    <cellStyle name="_광역송수관 이설공사 설계(흙막이)_댐직하류 하천정비(환경)사업 기본계획 및 실시설계용역-수공용_용담댐직하류 하천정비공사 설계예산서(남원작성)-_용담댐하류하천환경정비사업설계예산서(건희)_심사내역서" xfId="785"/>
    <cellStyle name="_광역송수관 이설공사 설계(흙막이)_댐직하류 하천정비(환경)사업 기본계획 및 실시설계용역-수공용_용담댐하류하천환경정비사업설계예산서(건희)" xfId="786"/>
    <cellStyle name="_광역송수관 이설공사 설계(흙막이)_댐직하류 하천정비(환경)사업 기본계획 및 실시설계용역-수공용_용담댐하류하천환경정비사업설계예산서(건희)_1) 신천금호강 종합개발 기본설계" xfId="787"/>
    <cellStyle name="_광역송수관 이설공사 설계(흙막이)_댐직하류 하천정비(환경)사업 기본계획 및 실시설계용역-수공용_용담댐하류하천환경정비사업설계예산서(건희)_2) 신천금호강 종합개발 동영상제작(변경최종)" xfId="788"/>
    <cellStyle name="_광역송수관 이설공사 설계(흙막이)_댐직하류 하천정비(환경)사업 기본계획 및 실시설계용역-수공용_용담댐하류하천환경정비사업설계예산서(건희)_3) 신천금호강 종합개발 산책로 실시설계(변경최종)" xfId="789"/>
    <cellStyle name="_광역송수관 이설공사 설계(흙막이)_댐직하류 하천정비(환경)사업 기본계획 및 실시설계용역-수공용_용담댐하류하천환경정비사업설계예산서(건희)_설계내역서(신천-금호강)" xfId="790"/>
    <cellStyle name="_광역송수관 이설공사 설계(흙막이)_댐직하류 하천정비(환경)사업 기본계획 및 실시설계용역-수공용_용담댐하류하천환경정비사업설계예산서(건희)_설계내역서(전체)" xfId="791"/>
    <cellStyle name="_광역송수관 이설공사 설계(흙막이)_댐직하류 하천정비(환경)사업 기본계획 및 실시설계용역-수공용_용담댐하류하천환경정비사업설계예산서(건희)_신천금호강 종합개발 기본설계  내역서(수정분)" xfId="792"/>
    <cellStyle name="_광역송수관 이설공사 설계(흙막이)_댐직하류 하천정비(환경)사업 기본계획 및 실시설계용역-수공용_용담댐하류하천환경정비사업설계예산서(건희)_신천금호강내역서(수정-보오링,사전재해및환경성제외,측량연장조정9(1).95억0726)" xfId="793"/>
    <cellStyle name="_광역송수관 이설공사 설계(흙막이)_댐직하류 하천정비(환경)사업 기본계획 및 실시설계용역-수공용_용담댐하류하천환경정비사업설계예산서(건희)_심사내역서" xfId="794"/>
    <cellStyle name="_광역송수관 이설공사 설계(흙막이)_용담댐하류하천환경정비사업설계예산서(건희)" xfId="795"/>
    <cellStyle name="_광역송수관 이설공사 설계(흙막이)_용담댐하류하천환경정비사업설계예산서(건희)_1) 신천금호강 종합개발 기본설계" xfId="796"/>
    <cellStyle name="_광역송수관 이설공사 설계(흙막이)_용담댐하류하천환경정비사업설계예산서(건희)_2) 신천금호강 종합개발 동영상제작(변경최종)" xfId="797"/>
    <cellStyle name="_광역송수관 이설공사 설계(흙막이)_용담댐하류하천환경정비사업설계예산서(건희)_3) 신천금호강 종합개발 산책로 실시설계(변경최종)" xfId="798"/>
    <cellStyle name="_광역송수관 이설공사 설계(흙막이)_용담댐하류하천환경정비사업설계예산서(건희)_설계내역서(신천-금호강)" xfId="799"/>
    <cellStyle name="_광역송수관 이설공사 설계(흙막이)_용담댐하류하천환경정비사업설계예산서(건희)_설계내역서(전체)" xfId="800"/>
    <cellStyle name="_광역송수관 이설공사 설계(흙막이)_용담댐하류하천환경정비사업설계예산서(건희)_신천금호강 종합개발 기본설계  내역서(수정분)" xfId="801"/>
    <cellStyle name="_광역송수관 이설공사 설계(흙막이)_용담댐하류하천환경정비사업설계예산서(건희)_신천금호강내역서(수정-보오링,사전재해및환경성제외,측량연장조정9(1).95억0726)" xfId="802"/>
    <cellStyle name="_광역송수관 이설공사 설계(흙막이)_용담댐하류하천환경정비사업설계예산서(건희)_심사내역서" xfId="803"/>
    <cellStyle name="_광역송수관 이설공사 설계(흙막이+양수)" xfId="804"/>
    <cellStyle name="_광역송수관 이설공사 설계(흙막이+양수)_댐직하류 하천정비(환경)사업 기본계획 및 실시설계용역-수공용" xfId="805"/>
    <cellStyle name="_광역송수관 이설공사 설계(흙막이+양수)_댐직하류 하천정비(환경)사업 기본계획 및 실시설계용역-수공용_용담댐직하류 하천정비공사 설계예산서(남원작성)-" xfId="806"/>
    <cellStyle name="_광역송수관 이설공사 설계(흙막이+양수)_댐직하류 하천정비(환경)사업 기본계획 및 실시설계용역-수공용_용담댐직하류 하천정비공사 설계예산서(남원작성)-_용담댐하류하천환경정비사업설계예산서(건희)" xfId="807"/>
    <cellStyle name="_광역송수관 이설공사 설계(흙막이+양수)_댐직하류 하천정비(환경)사업 기본계획 및 실시설계용역-수공용_용담댐직하류 하천정비공사 설계예산서(남원작성)-_용담댐하류하천환경정비사업설계예산서(건희)_1) 신천금호강 종합개발 기본설계" xfId="808"/>
    <cellStyle name="_광역송수관 이설공사 설계(흙막이+양수)_댐직하류 하천정비(환경)사업 기본계획 및 실시설계용역-수공용_용담댐직하류 하천정비공사 설계예산서(남원작성)-_용담댐하류하천환경정비사업설계예산서(건희)_2) 신천금호강 종합개발 동영상제작(변경최종)" xfId="809"/>
    <cellStyle name="_광역송수관 이설공사 설계(흙막이+양수)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810"/>
    <cellStyle name="_광역송수관 이설공사 설계(흙막이+양수)_댐직하류 하천정비(환경)사업 기본계획 및 실시설계용역-수공용_용담댐직하류 하천정비공사 설계예산서(남원작성)-_용담댐하류하천환경정비사업설계예산서(건희)_설계내역서(신천-금호강)" xfId="811"/>
    <cellStyle name="_광역송수관 이설공사 설계(흙막이+양수)_댐직하류 하천정비(환경)사업 기본계획 및 실시설계용역-수공용_용담댐직하류 하천정비공사 설계예산서(남원작성)-_용담댐하류하천환경정비사업설계예산서(건희)_설계내역서(전체)" xfId="812"/>
    <cellStyle name="_광역송수관 이설공사 설계(흙막이+양수)_댐직하류 하천정비(환경)사업 기본계획 및 실시설계용역-수공용_용담댐직하류 하천정비공사 설계예산서(남원작성)-_용담댐하류하천환경정비사업설계예산서(건희)_신천금호강 종합개발 기본설계  내역서(수정분)" xfId="813"/>
    <cellStyle name="_광역송수관 이설공사 설계(흙막이+양수)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814"/>
    <cellStyle name="_광역송수관 이설공사 설계(흙막이+양수)_댐직하류 하천정비(환경)사업 기본계획 및 실시설계용역-수공용_용담댐직하류 하천정비공사 설계예산서(남원작성)-_용담댐하류하천환경정비사업설계예산서(건희)_심사내역서" xfId="815"/>
    <cellStyle name="_광역송수관 이설공사 설계(흙막이+양수)_댐직하류 하천정비(환경)사업 기본계획 및 실시설계용역-수공용_용담댐하류하천환경정비사업설계예산서(건희)" xfId="816"/>
    <cellStyle name="_광역송수관 이설공사 설계(흙막이+양수)_댐직하류 하천정비(환경)사업 기본계획 및 실시설계용역-수공용_용담댐하류하천환경정비사업설계예산서(건희)_1) 신천금호강 종합개발 기본설계" xfId="817"/>
    <cellStyle name="_광역송수관 이설공사 설계(흙막이+양수)_댐직하류 하천정비(환경)사업 기본계획 및 실시설계용역-수공용_용담댐하류하천환경정비사업설계예산서(건희)_2) 신천금호강 종합개발 동영상제작(변경최종)" xfId="818"/>
    <cellStyle name="_광역송수관 이설공사 설계(흙막이+양수)_댐직하류 하천정비(환경)사업 기본계획 및 실시설계용역-수공용_용담댐하류하천환경정비사업설계예산서(건희)_3) 신천금호강 종합개발 산책로 실시설계(변경최종)" xfId="819"/>
    <cellStyle name="_광역송수관 이설공사 설계(흙막이+양수)_댐직하류 하천정비(환경)사업 기본계획 및 실시설계용역-수공용_용담댐하류하천환경정비사업설계예산서(건희)_설계내역서(신천-금호강)" xfId="820"/>
    <cellStyle name="_광역송수관 이설공사 설계(흙막이+양수)_댐직하류 하천정비(환경)사업 기본계획 및 실시설계용역-수공용_용담댐하류하천환경정비사업설계예산서(건희)_설계내역서(전체)" xfId="821"/>
    <cellStyle name="_광역송수관 이설공사 설계(흙막이+양수)_댐직하류 하천정비(환경)사업 기본계획 및 실시설계용역-수공용_용담댐하류하천환경정비사업설계예산서(건희)_신천금호강 종합개발 기본설계  내역서(수정분)" xfId="822"/>
    <cellStyle name="_광역송수관 이설공사 설계(흙막이+양수)_댐직하류 하천정비(환경)사업 기본계획 및 실시설계용역-수공용_용담댐하류하천환경정비사업설계예산서(건희)_신천금호강내역서(수정-보오링,사전재해및환경성제외,측량연장조정9(1).95억0726)" xfId="823"/>
    <cellStyle name="_광역송수관 이설공사 설계(흙막이+양수)_댐직하류 하천정비(환경)사업 기본계획 및 실시설계용역-수공용_용담댐하류하천환경정비사업설계예산서(건희)_심사내역서" xfId="824"/>
    <cellStyle name="_광역송수관 이설공사 설계(흙막이+양수)_용담댐하류하천환경정비사업설계예산서(건희)" xfId="825"/>
    <cellStyle name="_광역송수관 이설공사 설계(흙막이+양수)_용담댐하류하천환경정비사업설계예산서(건희)_1) 신천금호강 종합개발 기본설계" xfId="826"/>
    <cellStyle name="_광역송수관 이설공사 설계(흙막이+양수)_용담댐하류하천환경정비사업설계예산서(건희)_2) 신천금호강 종합개발 동영상제작(변경최종)" xfId="827"/>
    <cellStyle name="_광역송수관 이설공사 설계(흙막이+양수)_용담댐하류하천환경정비사업설계예산서(건희)_3) 신천금호강 종합개발 산책로 실시설계(변경최종)" xfId="828"/>
    <cellStyle name="_광역송수관 이설공사 설계(흙막이+양수)_용담댐하류하천환경정비사업설계예산서(건희)_설계내역서(신천-금호강)" xfId="829"/>
    <cellStyle name="_광역송수관 이설공사 설계(흙막이+양수)_용담댐하류하천환경정비사업설계예산서(건희)_설계내역서(전체)" xfId="830"/>
    <cellStyle name="_광역송수관 이설공사 설계(흙막이+양수)_용담댐하류하천환경정비사업설계예산서(건희)_신천금호강 종합개발 기본설계  내역서(수정분)" xfId="831"/>
    <cellStyle name="_광역송수관 이설공사 설계(흙막이+양수)_용담댐하류하천환경정비사업설계예산서(건희)_신천금호강내역서(수정-보오링,사전재해및환경성제외,측량연장조정9(1).95억0726)" xfId="832"/>
    <cellStyle name="_광역송수관 이설공사 설계(흙막이+양수)_용담댐하류하천환경정비사업설계예산서(건희)_심사내역서" xfId="833"/>
    <cellStyle name="_광주시 2차 시스템" xfId="864"/>
    <cellStyle name="_광주시 도로와 지하시설물도 공동구축사업(2차) 설계내역서_1.0" xfId="865"/>
    <cellStyle name="_광주시도로와지하시설물도공동구축사업_04072" xfId="52"/>
    <cellStyle name="_국공유지실태조사(최종)" xfId="866"/>
    <cellStyle name="_군산내항-품셈기준" xfId="53"/>
    <cellStyle name="_군산시_UIS설계서(0308)" xfId="867"/>
    <cellStyle name="_군포시 지하시설물통합정보시스템 구축사업 설계내역서_2.3" xfId="868"/>
    <cellStyle name="_금강시스템구축_용역내역서" xfId="869"/>
    <cellStyle name="_기본 및 실시설계(특수구조물 포함)" xfId="870"/>
    <cellStyle name="_기본 및 실시설계, 경관설계(고천)" xfId="871"/>
    <cellStyle name="_기본_및_실시설계" xfId="872"/>
    <cellStyle name="_기본_및_실시설계,_경관설계(고천)" xfId="873"/>
    <cellStyle name="_기본계획_기존(문화재포함)_GJ" xfId="874"/>
    <cellStyle name="_김제시 GIS 구축사업 설계내역서_시스템부문_4" xfId="876"/>
    <cellStyle name="_김제시 도로와 지하시설물 공동구축사업 설계서_계약(1차년도)_1" xfId="875"/>
    <cellStyle name="_김천시설계서(제출용)" xfId="877"/>
    <cellStyle name="_김포시 UIS-설계내역서" xfId="878"/>
    <cellStyle name="_김해시_도로와지하시설물도공동구축사업 설계내역서.2.9" xfId="879"/>
    <cellStyle name="_나주시-품셈기준" xfId="54"/>
    <cellStyle name="_낙동강(상류)사전재해내역서(0508)" xfId="880"/>
    <cellStyle name="_낙동강(상류)사전재해내역서(0508)_091110 안성천권역(중하류) 설계내역서" xfId="881"/>
    <cellStyle name="_낙동강(상류)사전재해내역서(0508)_100120 안성천권역(중하류) 2차분내역서" xfId="882"/>
    <cellStyle name="_낙동강(상류)사전재해내역서(0508)_논산천 권역 하천기본계획 설계예산서" xfId="883"/>
    <cellStyle name="_낙동강(상류)사전재해내역서(0508)_소양강 상류권역 하천기본계획(변경) 및 하천시설관리대장작성_Lidar측량" xfId="884"/>
    <cellStyle name="_낙동강(상류)사전재해내역서(0508)_안양천 하천기본계획 예산서_보완중" xfId="885"/>
    <cellStyle name="_낙동강(상류)사전재해내역서(0508)_안양천권역 하천기본계획 설계예산서" xfId="886"/>
    <cellStyle name="_낙동강(상류)사전재해내역서(0508)_한강하류 하천기본계획 설계예산서(지형측량)" xfId="887"/>
    <cellStyle name="_낙동강(상류)사전재해내역서(0508)_한강하류내역서_최종 (2)" xfId="888"/>
    <cellStyle name="_내역서" xfId="55"/>
    <cellStyle name="_내역서(개발계획단계-환지)" xfId="889"/>
    <cellStyle name="_내역서(개발실시)1227" xfId="890"/>
    <cellStyle name="_내역서(실시계획)수정" xfId="891"/>
    <cellStyle name="_내역서(실시계획단계)" xfId="892"/>
    <cellStyle name="_내역서(총괄착수내역서)" xfId="893"/>
    <cellStyle name="_내역서_5공구 설계내역서" xfId="894"/>
    <cellStyle name="_내역서_문화의 거리 농로포장(김병국2차)" xfId="56"/>
    <cellStyle name="_내역서_문화의 거리 농로포장(김병국2차)_문화의 거리 농로포장(김병국2차)" xfId="57"/>
    <cellStyle name="_내역서-구룡지구" xfId="895"/>
    <cellStyle name="_노천1지구1공구" xfId="896"/>
    <cellStyle name="_노천1지구2공구" xfId="897"/>
    <cellStyle name="_노천1지구2공구_2(변경)-토공" xfId="898"/>
    <cellStyle name="_노천3지구3공구" xfId="899"/>
    <cellStyle name="_다우SW(1023)" xfId="900"/>
    <cellStyle name="_단가산출서" xfId="901"/>
    <cellStyle name="_단가산출서_댐직하류 하천정비(환경)사업 기본계획 및 실시설계용역-수공용" xfId="902"/>
    <cellStyle name="_단가산출서_댐직하류 하천정비(환경)사업 기본계획 및 실시설계용역-수공용_용담댐직하류 하천정비공사 설계예산서(남원작성)-" xfId="903"/>
    <cellStyle name="_단가산출서_댐직하류 하천정비(환경)사업 기본계획 및 실시설계용역-수공용_용담댐직하류 하천정비공사 설계예산서(남원작성)-_용담댐하류하천환경정비사업설계예산서(건희)" xfId="904"/>
    <cellStyle name="_단가산출서_댐직하류 하천정비(환경)사업 기본계획 및 실시설계용역-수공용_용담댐직하류 하천정비공사 설계예산서(남원작성)-_용담댐하류하천환경정비사업설계예산서(건희)_1) 신천금호강 종합개발 기본설계" xfId="905"/>
    <cellStyle name="_단가산출서_댐직하류 하천정비(환경)사업 기본계획 및 실시설계용역-수공용_용담댐직하류 하천정비공사 설계예산서(남원작성)-_용담댐하류하천환경정비사업설계예산서(건희)_2) 신천금호강 종합개발 동영상제작(변경최종)" xfId="906"/>
    <cellStyle name="_단가산출서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907"/>
    <cellStyle name="_단가산출서_댐직하류 하천정비(환경)사업 기본계획 및 실시설계용역-수공용_용담댐직하류 하천정비공사 설계예산서(남원작성)-_용담댐하류하천환경정비사업설계예산서(건희)_설계내역서(신천-금호강)" xfId="908"/>
    <cellStyle name="_단가산출서_댐직하류 하천정비(환경)사업 기본계획 및 실시설계용역-수공용_용담댐직하류 하천정비공사 설계예산서(남원작성)-_용담댐하류하천환경정비사업설계예산서(건희)_설계내역서(전체)" xfId="909"/>
    <cellStyle name="_단가산출서_댐직하류 하천정비(환경)사업 기본계획 및 실시설계용역-수공용_용담댐직하류 하천정비공사 설계예산서(남원작성)-_용담댐하류하천환경정비사업설계예산서(건희)_신천금호강 종합개발 기본설계  내역서(수정분)" xfId="910"/>
    <cellStyle name="_단가산출서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911"/>
    <cellStyle name="_단가산출서_댐직하류 하천정비(환경)사업 기본계획 및 실시설계용역-수공용_용담댐직하류 하천정비공사 설계예산서(남원작성)-_용담댐하류하천환경정비사업설계예산서(건희)_심사내역서" xfId="912"/>
    <cellStyle name="_단가산출서_댐직하류 하천정비(환경)사업 기본계획 및 실시설계용역-수공용_용담댐하류하천환경정비사업설계예산서(건희)" xfId="913"/>
    <cellStyle name="_단가산출서_댐직하류 하천정비(환경)사업 기본계획 및 실시설계용역-수공용_용담댐하류하천환경정비사업설계예산서(건희)_1) 신천금호강 종합개발 기본설계" xfId="914"/>
    <cellStyle name="_단가산출서_댐직하류 하천정비(환경)사업 기본계획 및 실시설계용역-수공용_용담댐하류하천환경정비사업설계예산서(건희)_2) 신천금호강 종합개발 동영상제작(변경최종)" xfId="915"/>
    <cellStyle name="_단가산출서_댐직하류 하천정비(환경)사업 기본계획 및 실시설계용역-수공용_용담댐하류하천환경정비사업설계예산서(건희)_3) 신천금호강 종합개발 산책로 실시설계(변경최종)" xfId="916"/>
    <cellStyle name="_단가산출서_댐직하류 하천정비(환경)사업 기본계획 및 실시설계용역-수공용_용담댐하류하천환경정비사업설계예산서(건희)_설계내역서(신천-금호강)" xfId="917"/>
    <cellStyle name="_단가산출서_댐직하류 하천정비(환경)사업 기본계획 및 실시설계용역-수공용_용담댐하류하천환경정비사업설계예산서(건희)_설계내역서(전체)" xfId="918"/>
    <cellStyle name="_단가산출서_댐직하류 하천정비(환경)사업 기본계획 및 실시설계용역-수공용_용담댐하류하천환경정비사업설계예산서(건희)_신천금호강 종합개발 기본설계  내역서(수정분)" xfId="919"/>
    <cellStyle name="_단가산출서_댐직하류 하천정비(환경)사업 기본계획 및 실시설계용역-수공용_용담댐하류하천환경정비사업설계예산서(건희)_신천금호강내역서(수정-보오링,사전재해및환경성제외,측량연장조정9(1).95억0726)" xfId="920"/>
    <cellStyle name="_단가산출서_댐직하류 하천정비(환경)사업 기본계획 및 실시설계용역-수공용_용담댐하류하천환경정비사업설계예산서(건희)_심사내역서" xfId="921"/>
    <cellStyle name="_단가산출서_용담댐하류하천환경정비사업설계예산서(건희)" xfId="922"/>
    <cellStyle name="_단가산출서_용담댐하류하천환경정비사업설계예산서(건희)_1) 신천금호강 종합개발 기본설계" xfId="923"/>
    <cellStyle name="_단가산출서_용담댐하류하천환경정비사업설계예산서(건희)_2) 신천금호강 종합개발 동영상제작(변경최종)" xfId="924"/>
    <cellStyle name="_단가산출서_용담댐하류하천환경정비사업설계예산서(건희)_3) 신천금호강 종합개발 산책로 실시설계(변경최종)" xfId="925"/>
    <cellStyle name="_단가산출서_용담댐하류하천환경정비사업설계예산서(건희)_설계내역서(신천-금호강)" xfId="926"/>
    <cellStyle name="_단가산출서_용담댐하류하천환경정비사업설계예산서(건희)_설계내역서(전체)" xfId="927"/>
    <cellStyle name="_단가산출서_용담댐하류하천환경정비사업설계예산서(건희)_신천금호강 종합개발 기본설계  내역서(수정분)" xfId="928"/>
    <cellStyle name="_단가산출서_용담댐하류하천환경정비사업설계예산서(건희)_신천금호강내역서(수정-보오링,사전재해및환경성제외,측량연장조정9(1).95억0726)" xfId="929"/>
    <cellStyle name="_단가산출서_용담댐하류하천환경정비사업설계예산서(건희)_심사내역서" xfId="930"/>
    <cellStyle name="_대구시 일원 항공사진측량 용역" xfId="931"/>
    <cellStyle name="_도곡1교 교대 수량" xfId="932"/>
    <cellStyle name="_도곡1교 교대 수량_2(변경)-토공" xfId="933"/>
    <cellStyle name="_도곡1교 교대 수량_RAMP-E교-최종000" xfId="943"/>
    <cellStyle name="_도곡1교 교대 수량_RAMP-E교-최종000_로하스변경내역서-5(06.6.7)" xfId="944"/>
    <cellStyle name="_도곡1교 교대 수량_RAMP-E교-최종000_로하스변경내역서-5(06.6.7)_로하스변경내역서-6(06(1).6.27 당초변경)" xfId="945"/>
    <cellStyle name="_도곡1교 교대 수량_RAMP-E교-최종000_로하스변경내역서-6(06.6.21)" xfId="946"/>
    <cellStyle name="_도곡1교 교대 수량_RAMP-E교-최종000_로하스변경내역서-6(06.6.21)_로하스변경내역서-6(06(1).6.27 당초변경)" xfId="947"/>
    <cellStyle name="_도곡1교 교대 수량_RAMP-E교-최종000_시방서" xfId="948"/>
    <cellStyle name="_도곡1교 교대 수량_RAMP-E교-최종000_시방서_로하스변경내역서-5(06.6.7)" xfId="949"/>
    <cellStyle name="_도곡1교 교대 수량_RAMP-E교-최종000_시방서_로하스변경내역서-5(06.6.7)_로하스변경내역서-6(06(1).6.27 당초변경)" xfId="950"/>
    <cellStyle name="_도곡1교 교대 수량_RAMP-E교-최종000_시방서_로하스변경내역서-6(06.6.21)" xfId="951"/>
    <cellStyle name="_도곡1교 교대 수량_RAMP-E교-최종000_시방서_로하스변경내역서-6(06.6.21)_로하스변경내역서-6(06(1).6.27 당초변경)" xfId="952"/>
    <cellStyle name="_도곡1교 교대 수량_RAMP-E교-최종000_파도 - 모항선 횡배수관 확장" xfId="953"/>
    <cellStyle name="_도곡1교 교대 수량_RAMP-E교-최종000_파도 - 모항선 횡배수관 확장_로하스변경내역서-5(06.6.7)" xfId="954"/>
    <cellStyle name="_도곡1교 교대 수량_RAMP-E교-최종000_파도 - 모항선 횡배수관 확장_로하스변경내역서-5(06.6.7)_로하스변경내역서-6(06(1).6.27 당초변경)" xfId="955"/>
    <cellStyle name="_도곡1교 교대 수량_RAMP-E교-최종000_파도 - 모항선 횡배수관 확장_로하스변경내역서-6(06.6.21)" xfId="956"/>
    <cellStyle name="_도곡1교 교대 수량_RAMP-E교-최종000_파도 - 모항선 횡배수관 확장_로하스변경내역서-6(06.6.21)_로하스변경내역서-6(06(1).6.27 당초변경)" xfId="957"/>
    <cellStyle name="_도곡1교 교대 수량_RAMP-E교-최종000_파도 - 모항선 횡배수관 확장_시방서" xfId="958"/>
    <cellStyle name="_도곡1교 교대 수량_RAMP-E교-최종000_파도 - 모항선 횡배수관 확장_시방서_로하스변경내역서-5(06.6.7)" xfId="959"/>
    <cellStyle name="_도곡1교 교대 수량_RAMP-E교-최종000_파도 - 모항선 횡배수관 확장_시방서_로하스변경내역서-5(06.6.7)_로하스변경내역서-6(06(1).6.27 당초변경)" xfId="960"/>
    <cellStyle name="_도곡1교 교대 수량_RAMP-E교-최종000_파도 - 모항선 횡배수관 확장_시방서_로하스변경내역서-6(06.6.21)" xfId="961"/>
    <cellStyle name="_도곡1교 교대 수량_RAMP-E교-최종000_파도 - 모항선 횡배수관 확장_시방서_로하스변경내역서-6(06.6.21)_로하스변경내역서-6(06(1).6.27 당초변경)" xfId="962"/>
    <cellStyle name="_도곡1교 교대 수량_로하스변경내역서-5(06.6.7)" xfId="934"/>
    <cellStyle name="_도곡1교 교대 수량_로하스변경내역서-5(06.6.7)_로하스변경내역서-6(06(1).6.27 당초변경)" xfId="935"/>
    <cellStyle name="_도곡1교 교대 수량_로하스변경내역서-6(06.6.21)" xfId="936"/>
    <cellStyle name="_도곡1교 교대 수량_로하스변경내역서-6(06.6.21)_로하스변경내역서-6(06(1).6.27 당초변경)" xfId="937"/>
    <cellStyle name="_도곡1교 교대 수량_시방서" xfId="938"/>
    <cellStyle name="_도곡1교 교대 수량_시방서_로하스변경내역서-5(06.6.7)" xfId="939"/>
    <cellStyle name="_도곡1교 교대 수량_시방서_로하스변경내역서-5(06.6.7)_로하스변경내역서-6(06(1).6.27 당초변경)" xfId="940"/>
    <cellStyle name="_도곡1교 교대 수량_시방서_로하스변경내역서-6(06.6.21)" xfId="941"/>
    <cellStyle name="_도곡1교 교대 수량_시방서_로하스변경내역서-6(06.6.21)_로하스변경내역서-6(06(1).6.27 당초변경)" xfId="942"/>
    <cellStyle name="_도곡1교 교대(시점) 수량" xfId="963"/>
    <cellStyle name="_도곡1교 교대(시점) 수량_2(변경)-토공" xfId="964"/>
    <cellStyle name="_도곡1교 교대(시점) 수량_RAMP-E교-최종000" xfId="974"/>
    <cellStyle name="_도곡1교 교대(시점) 수량_RAMP-E교-최종000_로하스변경내역서-5(06.6.7)" xfId="975"/>
    <cellStyle name="_도곡1교 교대(시점) 수량_RAMP-E교-최종000_로하스변경내역서-5(06.6.7)_로하스변경내역서-6(06(1).6.27 당초변경)" xfId="976"/>
    <cellStyle name="_도곡1교 교대(시점) 수량_RAMP-E교-최종000_로하스변경내역서-6(06.6.21)" xfId="977"/>
    <cellStyle name="_도곡1교 교대(시점) 수량_RAMP-E교-최종000_로하스변경내역서-6(06.6.21)_로하스변경내역서-6(06(1).6.27 당초변경)" xfId="978"/>
    <cellStyle name="_도곡1교 교대(시점) 수량_RAMP-E교-최종000_시방서" xfId="979"/>
    <cellStyle name="_도곡1교 교대(시점) 수량_RAMP-E교-최종000_시방서_로하스변경내역서-5(06.6.7)" xfId="980"/>
    <cellStyle name="_도곡1교 교대(시점) 수량_RAMP-E교-최종000_시방서_로하스변경내역서-5(06.6.7)_로하스변경내역서-6(06(1).6.27 당초변경)" xfId="981"/>
    <cellStyle name="_도곡1교 교대(시점) 수량_RAMP-E교-최종000_시방서_로하스변경내역서-6(06.6.21)" xfId="982"/>
    <cellStyle name="_도곡1교 교대(시점) 수량_RAMP-E교-최종000_시방서_로하스변경내역서-6(06.6.21)_로하스변경내역서-6(06(1).6.27 당초변경)" xfId="983"/>
    <cellStyle name="_도곡1교 교대(시점) 수량_RAMP-E교-최종000_파도 - 모항선 횡배수관 확장" xfId="984"/>
    <cellStyle name="_도곡1교 교대(시점) 수량_RAMP-E교-최종000_파도 - 모항선 횡배수관 확장_로하스변경내역서-5(06.6.7)" xfId="985"/>
    <cellStyle name="_도곡1교 교대(시점) 수량_RAMP-E교-최종000_파도 - 모항선 횡배수관 확장_로하스변경내역서-5(06.6.7)_로하스변경내역서-6(06(1).6.27 당초변경)" xfId="986"/>
    <cellStyle name="_도곡1교 교대(시점) 수량_RAMP-E교-최종000_파도 - 모항선 횡배수관 확장_로하스변경내역서-6(06.6.21)" xfId="987"/>
    <cellStyle name="_도곡1교 교대(시점) 수량_RAMP-E교-최종000_파도 - 모항선 횡배수관 확장_로하스변경내역서-6(06.6.21)_로하스변경내역서-6(06(1).6.27 당초변경)" xfId="988"/>
    <cellStyle name="_도곡1교 교대(시점) 수량_RAMP-E교-최종000_파도 - 모항선 횡배수관 확장_시방서" xfId="989"/>
    <cellStyle name="_도곡1교 교대(시점) 수량_RAMP-E교-최종000_파도 - 모항선 횡배수관 확장_시방서_로하스변경내역서-5(06.6.7)" xfId="990"/>
    <cellStyle name="_도곡1교 교대(시점) 수량_RAMP-E교-최종000_파도 - 모항선 횡배수관 확장_시방서_로하스변경내역서-5(06.6.7)_로하스변경내역서-6(06(1).6.27 당초변경)" xfId="991"/>
    <cellStyle name="_도곡1교 교대(시점) 수량_RAMP-E교-최종000_파도 - 모항선 횡배수관 확장_시방서_로하스변경내역서-6(06.6.21)" xfId="992"/>
    <cellStyle name="_도곡1교 교대(시점) 수량_RAMP-E교-최종000_파도 - 모항선 횡배수관 확장_시방서_로하스변경내역서-6(06.6.21)_로하스변경내역서-6(06(1).6.27 당초변경)" xfId="993"/>
    <cellStyle name="_도곡1교 교대(시점) 수량_로하스변경내역서-5(06.6.7)" xfId="965"/>
    <cellStyle name="_도곡1교 교대(시점) 수량_로하스변경내역서-5(06.6.7)_로하스변경내역서-6(06(1).6.27 당초변경)" xfId="966"/>
    <cellStyle name="_도곡1교 교대(시점) 수량_로하스변경내역서-6(06.6.21)" xfId="967"/>
    <cellStyle name="_도곡1교 교대(시점) 수량_로하스변경내역서-6(06.6.21)_로하스변경내역서-6(06(1).6.27 당초변경)" xfId="968"/>
    <cellStyle name="_도곡1교 교대(시점) 수량_시방서" xfId="969"/>
    <cellStyle name="_도곡1교 교대(시점) 수량_시방서_로하스변경내역서-5(06.6.7)" xfId="970"/>
    <cellStyle name="_도곡1교 교대(시점) 수량_시방서_로하스변경내역서-5(06.6.7)_로하스변경내역서-6(06(1).6.27 당초변경)" xfId="971"/>
    <cellStyle name="_도곡1교 교대(시점) 수량_시방서_로하스변경내역서-6(06.6.21)" xfId="972"/>
    <cellStyle name="_도곡1교 교대(시점) 수량_시방서_로하스변경내역서-6(06.6.21)_로하스변경내역서-6(06(1).6.27 당초변경)" xfId="973"/>
    <cellStyle name="_도곡1교 하부공 수량" xfId="994"/>
    <cellStyle name="_도곡1교 하부공 수량_2(변경)-토공" xfId="995"/>
    <cellStyle name="_도곡1교 하부공 수량_RAMP-E교-최종000" xfId="1005"/>
    <cellStyle name="_도곡1교 하부공 수량_RAMP-E교-최종000_로하스변경내역서-5(06.6.7)" xfId="1006"/>
    <cellStyle name="_도곡1교 하부공 수량_RAMP-E교-최종000_로하스변경내역서-5(06.6.7)_로하스변경내역서-6(06(1).6.27 당초변경)" xfId="1007"/>
    <cellStyle name="_도곡1교 하부공 수량_RAMP-E교-최종000_로하스변경내역서-6(06.6.21)" xfId="1008"/>
    <cellStyle name="_도곡1교 하부공 수량_RAMP-E교-최종000_로하스변경내역서-6(06.6.21)_로하스변경내역서-6(06(1).6.27 당초변경)" xfId="1009"/>
    <cellStyle name="_도곡1교 하부공 수량_RAMP-E교-최종000_시방서" xfId="1010"/>
    <cellStyle name="_도곡1교 하부공 수량_RAMP-E교-최종000_시방서_로하스변경내역서-5(06.6.7)" xfId="1011"/>
    <cellStyle name="_도곡1교 하부공 수량_RAMP-E교-최종000_시방서_로하스변경내역서-5(06.6.7)_로하스변경내역서-6(06(1).6.27 당초변경)" xfId="1012"/>
    <cellStyle name="_도곡1교 하부공 수량_RAMP-E교-최종000_시방서_로하스변경내역서-6(06.6.21)" xfId="1013"/>
    <cellStyle name="_도곡1교 하부공 수량_RAMP-E교-최종000_시방서_로하스변경내역서-6(06.6.21)_로하스변경내역서-6(06(1).6.27 당초변경)" xfId="1014"/>
    <cellStyle name="_도곡1교 하부공 수량_RAMP-E교-최종000_파도 - 모항선 횡배수관 확장" xfId="1015"/>
    <cellStyle name="_도곡1교 하부공 수량_RAMP-E교-최종000_파도 - 모항선 횡배수관 확장_로하스변경내역서-5(06.6.7)" xfId="1016"/>
    <cellStyle name="_도곡1교 하부공 수량_RAMP-E교-최종000_파도 - 모항선 횡배수관 확장_로하스변경내역서-5(06.6.7)_로하스변경내역서-6(06(1).6.27 당초변경)" xfId="1017"/>
    <cellStyle name="_도곡1교 하부공 수량_RAMP-E교-최종000_파도 - 모항선 횡배수관 확장_로하스변경내역서-6(06.6.21)" xfId="1018"/>
    <cellStyle name="_도곡1교 하부공 수량_RAMP-E교-최종000_파도 - 모항선 횡배수관 확장_로하스변경내역서-6(06.6.21)_로하스변경내역서-6(06(1).6.27 당초변경)" xfId="1019"/>
    <cellStyle name="_도곡1교 하부공 수량_RAMP-E교-최종000_파도 - 모항선 횡배수관 확장_시방서" xfId="1020"/>
    <cellStyle name="_도곡1교 하부공 수량_RAMP-E교-최종000_파도 - 모항선 횡배수관 확장_시방서_로하스변경내역서-5(06.6.7)" xfId="1021"/>
    <cellStyle name="_도곡1교 하부공 수량_RAMP-E교-최종000_파도 - 모항선 횡배수관 확장_시방서_로하스변경내역서-5(06.6.7)_로하스변경내역서-6(06(1).6.27 당초변경)" xfId="1022"/>
    <cellStyle name="_도곡1교 하부공 수량_RAMP-E교-최종000_파도 - 모항선 횡배수관 확장_시방서_로하스변경내역서-6(06.6.21)" xfId="1023"/>
    <cellStyle name="_도곡1교 하부공 수량_RAMP-E교-최종000_파도 - 모항선 횡배수관 확장_시방서_로하스변경내역서-6(06.6.21)_로하스변경내역서-6(06(1).6.27 당초변경)" xfId="1024"/>
    <cellStyle name="_도곡1교 하부공 수량_로하스변경내역서-5(06.6.7)" xfId="996"/>
    <cellStyle name="_도곡1교 하부공 수량_로하스변경내역서-5(06.6.7)_로하스변경내역서-6(06(1).6.27 당초변경)" xfId="997"/>
    <cellStyle name="_도곡1교 하부공 수량_로하스변경내역서-6(06.6.21)" xfId="998"/>
    <cellStyle name="_도곡1교 하부공 수량_로하스변경내역서-6(06.6.21)_로하스변경내역서-6(06(1).6.27 당초변경)" xfId="999"/>
    <cellStyle name="_도곡1교 하부공 수량_시방서" xfId="1000"/>
    <cellStyle name="_도곡1교 하부공 수량_시방서_로하스변경내역서-5(06.6.7)" xfId="1001"/>
    <cellStyle name="_도곡1교 하부공 수량_시방서_로하스변경내역서-5(06.6.7)_로하스변경내역서-6(06(1).6.27 당초변경)" xfId="1002"/>
    <cellStyle name="_도곡1교 하부공 수량_시방서_로하스변경내역서-6(06.6.21)" xfId="1003"/>
    <cellStyle name="_도곡1교 하부공 수량_시방서_로하스변경내역서-6(06.6.21)_로하스변경내역서-6(06(1).6.27 당초변경)" xfId="1004"/>
    <cellStyle name="_도곡2교 교대 수량" xfId="1025"/>
    <cellStyle name="_도곡2교 교대 수량_2(변경)-토공" xfId="1026"/>
    <cellStyle name="_도곡2교 교대 수량_RAMP-E교-최종000" xfId="1036"/>
    <cellStyle name="_도곡2교 교대 수량_RAMP-E교-최종000_로하스변경내역서-5(06.6.7)" xfId="1037"/>
    <cellStyle name="_도곡2교 교대 수량_RAMP-E교-최종000_로하스변경내역서-5(06.6.7)_로하스변경내역서-6(06(1).6.27 당초변경)" xfId="1038"/>
    <cellStyle name="_도곡2교 교대 수량_RAMP-E교-최종000_로하스변경내역서-6(06.6.21)" xfId="1039"/>
    <cellStyle name="_도곡2교 교대 수량_RAMP-E교-최종000_로하스변경내역서-6(06.6.21)_로하스변경내역서-6(06(1).6.27 당초변경)" xfId="1040"/>
    <cellStyle name="_도곡2교 교대 수량_RAMP-E교-최종000_시방서" xfId="1041"/>
    <cellStyle name="_도곡2교 교대 수량_RAMP-E교-최종000_시방서_로하스변경내역서-5(06.6.7)" xfId="1042"/>
    <cellStyle name="_도곡2교 교대 수량_RAMP-E교-최종000_시방서_로하스변경내역서-5(06.6.7)_로하스변경내역서-6(06(1).6.27 당초변경)" xfId="1043"/>
    <cellStyle name="_도곡2교 교대 수량_RAMP-E교-최종000_시방서_로하스변경내역서-6(06.6.21)" xfId="1044"/>
    <cellStyle name="_도곡2교 교대 수량_RAMP-E교-최종000_시방서_로하스변경내역서-6(06.6.21)_로하스변경내역서-6(06(1).6.27 당초변경)" xfId="1045"/>
    <cellStyle name="_도곡2교 교대 수량_RAMP-E교-최종000_파도 - 모항선 횡배수관 확장" xfId="1046"/>
    <cellStyle name="_도곡2교 교대 수량_RAMP-E교-최종000_파도 - 모항선 횡배수관 확장_로하스변경내역서-5(06.6.7)" xfId="1047"/>
    <cellStyle name="_도곡2교 교대 수량_RAMP-E교-최종000_파도 - 모항선 횡배수관 확장_로하스변경내역서-5(06.6.7)_로하스변경내역서-6(06(1).6.27 당초변경)" xfId="1048"/>
    <cellStyle name="_도곡2교 교대 수량_RAMP-E교-최종000_파도 - 모항선 횡배수관 확장_로하스변경내역서-6(06.6.21)" xfId="1049"/>
    <cellStyle name="_도곡2교 교대 수량_RAMP-E교-최종000_파도 - 모항선 횡배수관 확장_로하스변경내역서-6(06.6.21)_로하스변경내역서-6(06(1).6.27 당초변경)" xfId="1050"/>
    <cellStyle name="_도곡2교 교대 수량_RAMP-E교-최종000_파도 - 모항선 횡배수관 확장_시방서" xfId="1051"/>
    <cellStyle name="_도곡2교 교대 수량_RAMP-E교-최종000_파도 - 모항선 횡배수관 확장_시방서_로하스변경내역서-5(06.6.7)" xfId="1052"/>
    <cellStyle name="_도곡2교 교대 수량_RAMP-E교-최종000_파도 - 모항선 횡배수관 확장_시방서_로하스변경내역서-5(06.6.7)_로하스변경내역서-6(06(1).6.27 당초변경)" xfId="1053"/>
    <cellStyle name="_도곡2교 교대 수량_RAMP-E교-최종000_파도 - 모항선 횡배수관 확장_시방서_로하스변경내역서-6(06.6.21)" xfId="1054"/>
    <cellStyle name="_도곡2교 교대 수량_RAMP-E교-최종000_파도 - 모항선 횡배수관 확장_시방서_로하스변경내역서-6(06.6.21)_로하스변경내역서-6(06(1).6.27 당초변경)" xfId="1055"/>
    <cellStyle name="_도곡2교 교대 수량_로하스변경내역서-5(06.6.7)" xfId="1027"/>
    <cellStyle name="_도곡2교 교대 수량_로하스변경내역서-5(06.6.7)_로하스변경내역서-6(06(1).6.27 당초변경)" xfId="1028"/>
    <cellStyle name="_도곡2교 교대 수량_로하스변경내역서-6(06.6.21)" xfId="1029"/>
    <cellStyle name="_도곡2교 교대 수량_로하스변경내역서-6(06.6.21)_로하스변경내역서-6(06(1).6.27 당초변경)" xfId="1030"/>
    <cellStyle name="_도곡2교 교대 수량_시방서" xfId="1031"/>
    <cellStyle name="_도곡2교 교대 수량_시방서_로하스변경내역서-5(06.6.7)" xfId="1032"/>
    <cellStyle name="_도곡2교 교대 수량_시방서_로하스변경내역서-5(06.6.7)_로하스변경내역서-6(06(1).6.27 당초변경)" xfId="1033"/>
    <cellStyle name="_도곡2교 교대 수량_시방서_로하스변경내역서-6(06.6.21)" xfId="1034"/>
    <cellStyle name="_도곡2교 교대 수량_시방서_로하스변경내역서-6(06.6.21)_로하스변경내역서-6(06(1).6.27 당초변경)" xfId="1035"/>
    <cellStyle name="_도곡2교 교대(종점) 수량" xfId="1056"/>
    <cellStyle name="_도곡2교 교대(종점) 수량_2(변경)-토공" xfId="1057"/>
    <cellStyle name="_도곡2교 교대(종점) 수량_RAMP-E교-최종000" xfId="1067"/>
    <cellStyle name="_도곡2교 교대(종점) 수량_RAMP-E교-최종000_로하스변경내역서-5(06.6.7)" xfId="1068"/>
    <cellStyle name="_도곡2교 교대(종점) 수량_RAMP-E교-최종000_로하스변경내역서-5(06.6.7)_로하스변경내역서-6(06(1).6.27 당초변경)" xfId="1069"/>
    <cellStyle name="_도곡2교 교대(종점) 수량_RAMP-E교-최종000_로하스변경내역서-6(06.6.21)" xfId="1070"/>
    <cellStyle name="_도곡2교 교대(종점) 수량_RAMP-E교-최종000_로하스변경내역서-6(06.6.21)_로하스변경내역서-6(06(1).6.27 당초변경)" xfId="1071"/>
    <cellStyle name="_도곡2교 교대(종점) 수량_RAMP-E교-최종000_시방서" xfId="1072"/>
    <cellStyle name="_도곡2교 교대(종점) 수량_RAMP-E교-최종000_시방서_로하스변경내역서-5(06.6.7)" xfId="1073"/>
    <cellStyle name="_도곡2교 교대(종점) 수량_RAMP-E교-최종000_시방서_로하스변경내역서-5(06.6.7)_로하스변경내역서-6(06(1).6.27 당초변경)" xfId="1074"/>
    <cellStyle name="_도곡2교 교대(종점) 수량_RAMP-E교-최종000_시방서_로하스변경내역서-6(06.6.21)" xfId="1075"/>
    <cellStyle name="_도곡2교 교대(종점) 수량_RAMP-E교-최종000_시방서_로하스변경내역서-6(06.6.21)_로하스변경내역서-6(06(1).6.27 당초변경)" xfId="1076"/>
    <cellStyle name="_도곡2교 교대(종점) 수량_RAMP-E교-최종000_파도 - 모항선 횡배수관 확장" xfId="1077"/>
    <cellStyle name="_도곡2교 교대(종점) 수량_RAMP-E교-최종000_파도 - 모항선 횡배수관 확장_로하스변경내역서-5(06.6.7)" xfId="1078"/>
    <cellStyle name="_도곡2교 교대(종점) 수량_RAMP-E교-최종000_파도 - 모항선 횡배수관 확장_로하스변경내역서-5(06.6.7)_로하스변경내역서-6(06(1).6.27 당초변경)" xfId="1079"/>
    <cellStyle name="_도곡2교 교대(종점) 수량_RAMP-E교-최종000_파도 - 모항선 횡배수관 확장_로하스변경내역서-6(06.6.21)" xfId="1080"/>
    <cellStyle name="_도곡2교 교대(종점) 수량_RAMP-E교-최종000_파도 - 모항선 횡배수관 확장_로하스변경내역서-6(06.6.21)_로하스변경내역서-6(06(1).6.27 당초변경)" xfId="1081"/>
    <cellStyle name="_도곡2교 교대(종점) 수량_RAMP-E교-최종000_파도 - 모항선 횡배수관 확장_시방서" xfId="1082"/>
    <cellStyle name="_도곡2교 교대(종점) 수량_RAMP-E교-최종000_파도 - 모항선 횡배수관 확장_시방서_로하스변경내역서-5(06.6.7)" xfId="1083"/>
    <cellStyle name="_도곡2교 교대(종점) 수량_RAMP-E교-최종000_파도 - 모항선 횡배수관 확장_시방서_로하스변경내역서-5(06.6.7)_로하스변경내역서-6(06(1).6.27 당초변경)" xfId="1084"/>
    <cellStyle name="_도곡2교 교대(종점) 수량_RAMP-E교-최종000_파도 - 모항선 횡배수관 확장_시방서_로하스변경내역서-6(06.6.21)" xfId="1085"/>
    <cellStyle name="_도곡2교 교대(종점) 수량_RAMP-E교-최종000_파도 - 모항선 횡배수관 확장_시방서_로하스변경내역서-6(06.6.21)_로하스변경내역서-6(06(1).6.27 당초변경)" xfId="1086"/>
    <cellStyle name="_도곡2교 교대(종점) 수량_로하스변경내역서-5(06.6.7)" xfId="1058"/>
    <cellStyle name="_도곡2교 교대(종점) 수량_로하스변경내역서-5(06.6.7)_로하스변경내역서-6(06(1).6.27 당초변경)" xfId="1059"/>
    <cellStyle name="_도곡2교 교대(종점) 수량_로하스변경내역서-6(06.6.21)" xfId="1060"/>
    <cellStyle name="_도곡2교 교대(종점) 수량_로하스변경내역서-6(06.6.21)_로하스변경내역서-6(06(1).6.27 당초변경)" xfId="1061"/>
    <cellStyle name="_도곡2교 교대(종점) 수량_시방서" xfId="1062"/>
    <cellStyle name="_도곡2교 교대(종점) 수량_시방서_로하스변경내역서-5(06.6.7)" xfId="1063"/>
    <cellStyle name="_도곡2교 교대(종점) 수량_시방서_로하스변경내역서-5(06.6.7)_로하스변경내역서-6(06(1).6.27 당초변경)" xfId="1064"/>
    <cellStyle name="_도곡2교 교대(종점) 수량_시방서_로하스변경내역서-6(06.6.21)" xfId="1065"/>
    <cellStyle name="_도곡2교 교대(종점) 수량_시방서_로하스변경내역서-6(06.6.21)_로하스변경내역서-6(06(1).6.27 당초변경)" xfId="1066"/>
    <cellStyle name="_도곡3교 교대 수량" xfId="1087"/>
    <cellStyle name="_도곡3교 교대 수량_2(변경)-토공" xfId="1088"/>
    <cellStyle name="_도곡3교 교대 수량_RAMP-E교-최종000" xfId="1098"/>
    <cellStyle name="_도곡3교 교대 수량_RAMP-E교-최종000_로하스변경내역서-5(06.6.7)" xfId="1099"/>
    <cellStyle name="_도곡3교 교대 수량_RAMP-E교-최종000_로하스변경내역서-5(06.6.7)_로하스변경내역서-6(06(1).6.27 당초변경)" xfId="1100"/>
    <cellStyle name="_도곡3교 교대 수량_RAMP-E교-최종000_로하스변경내역서-6(06.6.21)" xfId="1101"/>
    <cellStyle name="_도곡3교 교대 수량_RAMP-E교-최종000_로하스변경내역서-6(06.6.21)_로하스변경내역서-6(06(1).6.27 당초변경)" xfId="1102"/>
    <cellStyle name="_도곡3교 교대 수량_RAMP-E교-최종000_시방서" xfId="1103"/>
    <cellStyle name="_도곡3교 교대 수량_RAMP-E교-최종000_시방서_로하스변경내역서-5(06.6.7)" xfId="1104"/>
    <cellStyle name="_도곡3교 교대 수량_RAMP-E교-최종000_시방서_로하스변경내역서-5(06.6.7)_로하스변경내역서-6(06(1).6.27 당초변경)" xfId="1105"/>
    <cellStyle name="_도곡3교 교대 수량_RAMP-E교-최종000_시방서_로하스변경내역서-6(06.6.21)" xfId="1106"/>
    <cellStyle name="_도곡3교 교대 수량_RAMP-E교-최종000_시방서_로하스변경내역서-6(06.6.21)_로하스변경내역서-6(06(1).6.27 당초변경)" xfId="1107"/>
    <cellStyle name="_도곡3교 교대 수량_RAMP-E교-최종000_파도 - 모항선 횡배수관 확장" xfId="1108"/>
    <cellStyle name="_도곡3교 교대 수량_RAMP-E교-최종000_파도 - 모항선 횡배수관 확장_로하스변경내역서-5(06.6.7)" xfId="1109"/>
    <cellStyle name="_도곡3교 교대 수량_RAMP-E교-최종000_파도 - 모항선 횡배수관 확장_로하스변경내역서-5(06.6.7)_로하스변경내역서-6(06(1).6.27 당초변경)" xfId="1110"/>
    <cellStyle name="_도곡3교 교대 수량_RAMP-E교-최종000_파도 - 모항선 횡배수관 확장_로하스변경내역서-6(06.6.21)" xfId="1111"/>
    <cellStyle name="_도곡3교 교대 수량_RAMP-E교-최종000_파도 - 모항선 횡배수관 확장_로하스변경내역서-6(06.6.21)_로하스변경내역서-6(06(1).6.27 당초변경)" xfId="1112"/>
    <cellStyle name="_도곡3교 교대 수량_RAMP-E교-최종000_파도 - 모항선 횡배수관 확장_시방서" xfId="1113"/>
    <cellStyle name="_도곡3교 교대 수량_RAMP-E교-최종000_파도 - 모항선 횡배수관 확장_시방서_로하스변경내역서-5(06.6.7)" xfId="1114"/>
    <cellStyle name="_도곡3교 교대 수량_RAMP-E교-최종000_파도 - 모항선 횡배수관 확장_시방서_로하스변경내역서-5(06.6.7)_로하스변경내역서-6(06(1).6.27 당초변경)" xfId="1115"/>
    <cellStyle name="_도곡3교 교대 수량_RAMP-E교-최종000_파도 - 모항선 횡배수관 확장_시방서_로하스변경내역서-6(06.6.21)" xfId="1116"/>
    <cellStyle name="_도곡3교 교대 수량_RAMP-E교-최종000_파도 - 모항선 횡배수관 확장_시방서_로하스변경내역서-6(06.6.21)_로하스변경내역서-6(06(1).6.27 당초변경)" xfId="1117"/>
    <cellStyle name="_도곡3교 교대 수량_로하스변경내역서-5(06.6.7)" xfId="1089"/>
    <cellStyle name="_도곡3교 교대 수량_로하스변경내역서-5(06.6.7)_로하스변경내역서-6(06(1).6.27 당초변경)" xfId="1090"/>
    <cellStyle name="_도곡3교 교대 수량_로하스변경내역서-6(06.6.21)" xfId="1091"/>
    <cellStyle name="_도곡3교 교대 수량_로하스변경내역서-6(06.6.21)_로하스변경내역서-6(06(1).6.27 당초변경)" xfId="1092"/>
    <cellStyle name="_도곡3교 교대 수량_시방서" xfId="1093"/>
    <cellStyle name="_도곡3교 교대 수량_시방서_로하스변경내역서-5(06.6.7)" xfId="1094"/>
    <cellStyle name="_도곡3교 교대 수량_시방서_로하스변경내역서-5(06.6.7)_로하스변경내역서-6(06(1).6.27 당초변경)" xfId="1095"/>
    <cellStyle name="_도곡3교 교대 수량_시방서_로하스변경내역서-6(06.6.21)" xfId="1096"/>
    <cellStyle name="_도곡3교 교대 수량_시방서_로하스변경내역서-6(06.6.21)_로하스변경내역서-6(06(1).6.27 당초변경)" xfId="1097"/>
    <cellStyle name="_도곡4교 하부공 수량" xfId="1118"/>
    <cellStyle name="_도곡4교 하부공 수량_2(변경)-토공" xfId="1119"/>
    <cellStyle name="_도곡4교 하부공 수량_RAMP-E교-최종000" xfId="1129"/>
    <cellStyle name="_도곡4교 하부공 수량_RAMP-E교-최종000_로하스변경내역서-5(06.6.7)" xfId="1130"/>
    <cellStyle name="_도곡4교 하부공 수량_RAMP-E교-최종000_로하스변경내역서-5(06.6.7)_로하스변경내역서-6(06(1).6.27 당초변경)" xfId="1131"/>
    <cellStyle name="_도곡4교 하부공 수량_RAMP-E교-최종000_로하스변경내역서-6(06.6.21)" xfId="1132"/>
    <cellStyle name="_도곡4교 하부공 수량_RAMP-E교-최종000_로하스변경내역서-6(06.6.21)_로하스변경내역서-6(06(1).6.27 당초변경)" xfId="1133"/>
    <cellStyle name="_도곡4교 하부공 수량_RAMP-E교-최종000_시방서" xfId="1134"/>
    <cellStyle name="_도곡4교 하부공 수량_RAMP-E교-최종000_시방서_로하스변경내역서-5(06.6.7)" xfId="1135"/>
    <cellStyle name="_도곡4교 하부공 수량_RAMP-E교-최종000_시방서_로하스변경내역서-5(06.6.7)_로하스변경내역서-6(06(1).6.27 당초변경)" xfId="1136"/>
    <cellStyle name="_도곡4교 하부공 수량_RAMP-E교-최종000_시방서_로하스변경내역서-6(06.6.21)" xfId="1137"/>
    <cellStyle name="_도곡4교 하부공 수량_RAMP-E교-최종000_시방서_로하스변경내역서-6(06.6.21)_로하스변경내역서-6(06(1).6.27 당초변경)" xfId="1138"/>
    <cellStyle name="_도곡4교 하부공 수량_RAMP-E교-최종000_파도 - 모항선 횡배수관 확장" xfId="1139"/>
    <cellStyle name="_도곡4교 하부공 수량_RAMP-E교-최종000_파도 - 모항선 횡배수관 확장_로하스변경내역서-5(06.6.7)" xfId="1140"/>
    <cellStyle name="_도곡4교 하부공 수량_RAMP-E교-최종000_파도 - 모항선 횡배수관 확장_로하스변경내역서-5(06.6.7)_로하스변경내역서-6(06(1).6.27 당초변경)" xfId="1141"/>
    <cellStyle name="_도곡4교 하부공 수량_RAMP-E교-최종000_파도 - 모항선 횡배수관 확장_로하스변경내역서-6(06.6.21)" xfId="1142"/>
    <cellStyle name="_도곡4교 하부공 수량_RAMP-E교-최종000_파도 - 모항선 횡배수관 확장_로하스변경내역서-6(06.6.21)_로하스변경내역서-6(06(1).6.27 당초변경)" xfId="1143"/>
    <cellStyle name="_도곡4교 하부공 수량_RAMP-E교-최종000_파도 - 모항선 횡배수관 확장_시방서" xfId="1144"/>
    <cellStyle name="_도곡4교 하부공 수량_RAMP-E교-최종000_파도 - 모항선 횡배수관 확장_시방서_로하스변경내역서-5(06.6.7)" xfId="1145"/>
    <cellStyle name="_도곡4교 하부공 수량_RAMP-E교-최종000_파도 - 모항선 횡배수관 확장_시방서_로하스변경내역서-5(06.6.7)_로하스변경내역서-6(06(1).6.27 당초변경)" xfId="1146"/>
    <cellStyle name="_도곡4교 하부공 수량_RAMP-E교-최종000_파도 - 모항선 횡배수관 확장_시방서_로하스변경내역서-6(06.6.21)" xfId="1147"/>
    <cellStyle name="_도곡4교 하부공 수량_RAMP-E교-최종000_파도 - 모항선 횡배수관 확장_시방서_로하스변경내역서-6(06.6.21)_로하스변경내역서-6(06(1).6.27 당초변경)" xfId="1148"/>
    <cellStyle name="_도곡4교 하부공 수량_로하스변경내역서-5(06.6.7)" xfId="1120"/>
    <cellStyle name="_도곡4교 하부공 수량_로하스변경내역서-5(06.6.7)_로하스변경내역서-6(06(1).6.27 당초변경)" xfId="1121"/>
    <cellStyle name="_도곡4교 하부공 수량_로하스변경내역서-6(06.6.21)" xfId="1122"/>
    <cellStyle name="_도곡4교 하부공 수량_로하스변경내역서-6(06.6.21)_로하스변경내역서-6(06(1).6.27 당초변경)" xfId="1123"/>
    <cellStyle name="_도곡4교 하부공 수량_시방서" xfId="1124"/>
    <cellStyle name="_도곡4교 하부공 수량_시방서_로하스변경내역서-5(06.6.7)" xfId="1125"/>
    <cellStyle name="_도곡4교 하부공 수량_시방서_로하스변경내역서-5(06.6.7)_로하스변경내역서-6(06(1).6.27 당초변경)" xfId="1126"/>
    <cellStyle name="_도곡4교 하부공 수량_시방서_로하스변경내역서-6(06.6.21)" xfId="1127"/>
    <cellStyle name="_도곡4교 하부공 수량_시방서_로하스변경내역서-6(06.6.21)_로하스변경내역서-6(06(1).6.27 당초변경)" xfId="1128"/>
    <cellStyle name="_도곡교 교대 수량" xfId="1149"/>
    <cellStyle name="_도곡교 교대 수량_2(변경)-토공" xfId="1150"/>
    <cellStyle name="_도곡교 교대 수량_RAMP-E교-최종000" xfId="1160"/>
    <cellStyle name="_도곡교 교대 수량_RAMP-E교-최종000_로하스변경내역서-5(06.6.7)" xfId="1161"/>
    <cellStyle name="_도곡교 교대 수량_RAMP-E교-최종000_로하스변경내역서-5(06.6.7)_로하스변경내역서-6(06(1).6.27 당초변경)" xfId="1162"/>
    <cellStyle name="_도곡교 교대 수량_RAMP-E교-최종000_로하스변경내역서-6(06.6.21)" xfId="1163"/>
    <cellStyle name="_도곡교 교대 수량_RAMP-E교-최종000_로하스변경내역서-6(06.6.21)_로하스변경내역서-6(06(1).6.27 당초변경)" xfId="1164"/>
    <cellStyle name="_도곡교 교대 수량_RAMP-E교-최종000_시방서" xfId="1165"/>
    <cellStyle name="_도곡교 교대 수량_RAMP-E교-최종000_시방서_로하스변경내역서-5(06.6.7)" xfId="1166"/>
    <cellStyle name="_도곡교 교대 수량_RAMP-E교-최종000_시방서_로하스변경내역서-5(06.6.7)_로하스변경내역서-6(06(1).6.27 당초변경)" xfId="1167"/>
    <cellStyle name="_도곡교 교대 수량_RAMP-E교-최종000_시방서_로하스변경내역서-6(06.6.21)" xfId="1168"/>
    <cellStyle name="_도곡교 교대 수량_RAMP-E교-최종000_시방서_로하스변경내역서-6(06.6.21)_로하스변경내역서-6(06(1).6.27 당초변경)" xfId="1169"/>
    <cellStyle name="_도곡교 교대 수량_RAMP-E교-최종000_파도 - 모항선 횡배수관 확장" xfId="1170"/>
    <cellStyle name="_도곡교 교대 수량_RAMP-E교-최종000_파도 - 모항선 횡배수관 확장_로하스변경내역서-5(06.6.7)" xfId="1171"/>
    <cellStyle name="_도곡교 교대 수량_RAMP-E교-최종000_파도 - 모항선 횡배수관 확장_로하스변경내역서-5(06.6.7)_로하스변경내역서-6(06(1).6.27 당초변경)" xfId="1172"/>
    <cellStyle name="_도곡교 교대 수량_RAMP-E교-최종000_파도 - 모항선 횡배수관 확장_로하스변경내역서-6(06.6.21)" xfId="1173"/>
    <cellStyle name="_도곡교 교대 수량_RAMP-E교-최종000_파도 - 모항선 횡배수관 확장_로하스변경내역서-6(06.6.21)_로하스변경내역서-6(06(1).6.27 당초변경)" xfId="1174"/>
    <cellStyle name="_도곡교 교대 수량_RAMP-E교-최종000_파도 - 모항선 횡배수관 확장_시방서" xfId="1175"/>
    <cellStyle name="_도곡교 교대 수량_RAMP-E교-최종000_파도 - 모항선 횡배수관 확장_시방서_로하스변경내역서-5(06.6.7)" xfId="1176"/>
    <cellStyle name="_도곡교 교대 수량_RAMP-E교-최종000_파도 - 모항선 횡배수관 확장_시방서_로하스변경내역서-5(06.6.7)_로하스변경내역서-6(06(1).6.27 당초변경)" xfId="1177"/>
    <cellStyle name="_도곡교 교대 수량_RAMP-E교-최종000_파도 - 모항선 횡배수관 확장_시방서_로하스변경내역서-6(06.6.21)" xfId="1178"/>
    <cellStyle name="_도곡교 교대 수량_RAMP-E교-최종000_파도 - 모항선 횡배수관 확장_시방서_로하스변경내역서-6(06.6.21)_로하스변경내역서-6(06(1).6.27 당초변경)" xfId="1179"/>
    <cellStyle name="_도곡교 교대 수량_로하스변경내역서-5(06.6.7)" xfId="1151"/>
    <cellStyle name="_도곡교 교대 수량_로하스변경내역서-5(06.6.7)_로하스변경내역서-6(06(1).6.27 당초변경)" xfId="1152"/>
    <cellStyle name="_도곡교 교대 수량_로하스변경내역서-6(06.6.21)" xfId="1153"/>
    <cellStyle name="_도곡교 교대 수량_로하스변경내역서-6(06.6.21)_로하스변경내역서-6(06(1).6.27 당초변경)" xfId="1154"/>
    <cellStyle name="_도곡교 교대 수량_시방서" xfId="1155"/>
    <cellStyle name="_도곡교 교대 수량_시방서_로하스변경내역서-5(06.6.7)" xfId="1156"/>
    <cellStyle name="_도곡교 교대 수량_시방서_로하스변경내역서-5(06.6.7)_로하스변경내역서-6(06(1).6.27 당초변경)" xfId="1157"/>
    <cellStyle name="_도곡교 교대 수량_시방서_로하스변경내역서-6(06.6.21)" xfId="1158"/>
    <cellStyle name="_도곡교 교대 수량_시방서_로하스변경내역서-6(06.6.21)_로하스변경내역서-6(06(1).6.27 당초변경)" xfId="1159"/>
    <cellStyle name="_도로,상,하수 DB구축설계서(2,4급)" xfId="1180"/>
    <cellStyle name="_도로,상,하수 DB구축설계서(2,4급)_2005" xfId="1181"/>
    <cellStyle name="_도로+상수+하수(2003년진주시)-1차-최종" xfId="1182"/>
    <cellStyle name="_도로+상수+하수총괄분(진주시)" xfId="1183"/>
    <cellStyle name="_도로+상수+하수총괄분(진주시)-총괄-최종" xfId="1184"/>
    <cellStyle name="_도로및지하시설물도공동구축사업 설계내역서.1.0" xfId="1185"/>
    <cellStyle name="_도로시설물020517총괄" xfId="1186"/>
    <cellStyle name="_도로와 지하시설물도 구축사업(2차) 설계내역서_v4" xfId="1187"/>
    <cellStyle name="_도로와 지하시설물도 시범사업 설계내역서_1.2" xfId="1188"/>
    <cellStyle name="_돌망태수량(바이리)" xfId="58"/>
    <cellStyle name="_동홍천외12개하천(도급내역)" xfId="59"/>
    <cellStyle name="_동홍천외12개하천(도급내역)_091110 안성천권역(중하류) 설계내역서" xfId="1189"/>
    <cellStyle name="_동홍천외12개하천(도급내역)_100120 안성천권역(중하류) 2차분내역서" xfId="1190"/>
    <cellStyle name="_동홍천외12개하천(도급내역)_논산천 권역 하천기본계획 설계예산서" xfId="1191"/>
    <cellStyle name="_동홍천외12개하천(도급내역)_소양강 상류권역 하천기본계획(변경) 및 하천시설관리대장작성_Lidar측량" xfId="1192"/>
    <cellStyle name="_동홍천외12개하천(도급내역)_안양천 하천기본계획 예산서_보완중" xfId="1193"/>
    <cellStyle name="_동홍천외12개하천(도급내역)_안양천권역 하천기본계획 설계예산서" xfId="1194"/>
    <cellStyle name="_동홍천외12개하천(도급내역)_한강하류 하천기본계획 설계예산서(지형측량)" xfId="1195"/>
    <cellStyle name="_동홍천외12개하천(도급내역)_한강하류내역서_최종 (2)" xfId="1196"/>
    <cellStyle name="_두산중공업_021203" xfId="1197"/>
    <cellStyle name="_디지털_도시_기반공사_견적_내역" xfId="1198"/>
    <cellStyle name="_디지털산업단지견적서" xfId="60"/>
    <cellStyle name="_로하스변경내역서-6(06.6.29 당초변경)" xfId="1199"/>
    <cellStyle name="_마무리공사" xfId="1200"/>
    <cellStyle name="_매출분석" xfId="1201"/>
    <cellStyle name="_문화재GIS_설계내역_040718_v3" xfId="1202"/>
    <cellStyle name="_물건조사" xfId="61"/>
    <cellStyle name="_발안천수계내역서" xfId="1203"/>
    <cellStyle name="_방범서비스 년도별 매출분석_20051216" xfId="1204"/>
    <cellStyle name="_범용 공동구축사업 설계내역서_샘플1.3" xfId="1205"/>
    <cellStyle name="_범용 공동구축사업 설계내역서_샘플1.4" xfId="1206"/>
    <cellStyle name="_범용추가개발 설계내역서(평균가중치방식)" xfId="62"/>
    <cellStyle name="_범용추가개발내역" xfId="1207"/>
    <cellStyle name="_범용프로그램도입 예산설계서(2003기준)_1.6" xfId="63"/>
    <cellStyle name="_범용프로그램도입 예산설계서_1.2" xfId="64"/>
    <cellStyle name="_별첨(계획서및실적서양식)" xfId="65"/>
    <cellStyle name="_별첨(계획서및실적서양식)_1" xfId="66"/>
    <cellStyle name="_별첨(계획서및실적서양식)_1_091110 안성천권역(중하류) 설계내역서" xfId="1208"/>
    <cellStyle name="_별첨(계획서및실적서양식)_1_100120 안성천권역(중하류) 2차분내역서" xfId="1209"/>
    <cellStyle name="_별첨(계획서및실적서양식)_1_논산천 권역 하천기본계획 설계예산서" xfId="1210"/>
    <cellStyle name="_별첨(계획서및실적서양식)_1_소양강 상류권역 하천기본계획(변경) 및 하천시설관리대장작성_Lidar측량" xfId="1211"/>
    <cellStyle name="_별첨(계획서및실적서양식)_1_안양천 하천기본계획 예산서_보완중" xfId="1212"/>
    <cellStyle name="_별첨(계획서및실적서양식)_1_안양천권역 하천기본계획 설계예산서" xfId="1213"/>
    <cellStyle name="_별첨(계획서및실적서양식)_1_한강하류 하천기본계획 설계예산서(지형측량)" xfId="1214"/>
    <cellStyle name="_별첨(계획서및실적서양식)_1_한강하류내역서_최종 (2)" xfId="1215"/>
    <cellStyle name="_보건대학조경공사내역서(0302)" xfId="67"/>
    <cellStyle name="_보완측량_시설물" xfId="1216"/>
    <cellStyle name="_보통천,장현천하천정비기본계획 및 실시설계 내역서(도급)" xfId="68"/>
    <cellStyle name="_복하천(촬영포함)-최종" xfId="1217"/>
    <cellStyle name="_복하천도급내역서(1차분)" xfId="1218"/>
    <cellStyle name="_부산교통가격제안서" xfId="1219"/>
    <cellStyle name="_부안누에타운실시설계 내역서-4 (06.7.17)" xfId="1220"/>
    <cellStyle name="_부천시 지하시설물통합정보시스템 구축사업 설계내역서_0514(FP)" xfId="1221"/>
    <cellStyle name="_부천시 지하시설물통합정보시스템 구축사업 설계내역서_2.1(FP)" xfId="1222"/>
    <cellStyle name="_부천시 현장시설물관리시스템 구축사업 설계내역서_2.1(FP)" xfId="1223"/>
    <cellStyle name="_사동초중" xfId="69"/>
    <cellStyle name="_사본 - 수정" xfId="1224"/>
    <cellStyle name="_사본 - 수정_댐직하류 하천정비(환경)사업 기본계획 및 실시설계용역-수공용" xfId="1225"/>
    <cellStyle name="_사본 - 수정_댐직하류 하천정비(환경)사업 기본계획 및 실시설계용역-수공용_용담댐직하류 하천정비공사 설계예산서(남원작성)-" xfId="1226"/>
    <cellStyle name="_사본 - 수정_댐직하류 하천정비(환경)사업 기본계획 및 실시설계용역-수공용_용담댐직하류 하천정비공사 설계예산서(남원작성)-_용담댐하류하천환경정비사업설계예산서(건희)" xfId="1227"/>
    <cellStyle name="_사본 - 수정_댐직하류 하천정비(환경)사업 기본계획 및 실시설계용역-수공용_용담댐직하류 하천정비공사 설계예산서(남원작성)-_용담댐하류하천환경정비사업설계예산서(건희)_1) 신천금호강 종합개발 기본설계" xfId="1228"/>
    <cellStyle name="_사본 - 수정_댐직하류 하천정비(환경)사업 기본계획 및 실시설계용역-수공용_용담댐직하류 하천정비공사 설계예산서(남원작성)-_용담댐하류하천환경정비사업설계예산서(건희)_2) 신천금호강 종합개발 동영상제작(변경최종)" xfId="1229"/>
    <cellStyle name="_사본 - 수정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230"/>
    <cellStyle name="_사본 - 수정_댐직하류 하천정비(환경)사업 기본계획 및 실시설계용역-수공용_용담댐직하류 하천정비공사 설계예산서(남원작성)-_용담댐하류하천환경정비사업설계예산서(건희)_설계내역서(신천-금호강)" xfId="1231"/>
    <cellStyle name="_사본 - 수정_댐직하류 하천정비(환경)사업 기본계획 및 실시설계용역-수공용_용담댐직하류 하천정비공사 설계예산서(남원작성)-_용담댐하류하천환경정비사업설계예산서(건희)_설계내역서(전체)" xfId="1232"/>
    <cellStyle name="_사본 - 수정_댐직하류 하천정비(환경)사업 기본계획 및 실시설계용역-수공용_용담댐직하류 하천정비공사 설계예산서(남원작성)-_용담댐하류하천환경정비사업설계예산서(건희)_신천금호강 종합개발 기본설계  내역서(수정분)" xfId="1233"/>
    <cellStyle name="_사본 - 수정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234"/>
    <cellStyle name="_사본 - 수정_댐직하류 하천정비(환경)사업 기본계획 및 실시설계용역-수공용_용담댐직하류 하천정비공사 설계예산서(남원작성)-_용담댐하류하천환경정비사업설계예산서(건희)_심사내역서" xfId="1235"/>
    <cellStyle name="_사본 - 수정_댐직하류 하천정비(환경)사업 기본계획 및 실시설계용역-수공용_용담댐하류하천환경정비사업설계예산서(건희)" xfId="1236"/>
    <cellStyle name="_사본 - 수정_댐직하류 하천정비(환경)사업 기본계획 및 실시설계용역-수공용_용담댐하류하천환경정비사업설계예산서(건희)_1) 신천금호강 종합개발 기본설계" xfId="1237"/>
    <cellStyle name="_사본 - 수정_댐직하류 하천정비(환경)사업 기본계획 및 실시설계용역-수공용_용담댐하류하천환경정비사업설계예산서(건희)_2) 신천금호강 종합개발 동영상제작(변경최종)" xfId="1238"/>
    <cellStyle name="_사본 - 수정_댐직하류 하천정비(환경)사업 기본계획 및 실시설계용역-수공용_용담댐하류하천환경정비사업설계예산서(건희)_3) 신천금호강 종합개발 산책로 실시설계(변경최종)" xfId="1239"/>
    <cellStyle name="_사본 - 수정_댐직하류 하천정비(환경)사업 기본계획 및 실시설계용역-수공용_용담댐하류하천환경정비사업설계예산서(건희)_설계내역서(신천-금호강)" xfId="1240"/>
    <cellStyle name="_사본 - 수정_댐직하류 하천정비(환경)사업 기본계획 및 실시설계용역-수공용_용담댐하류하천환경정비사업설계예산서(건희)_설계내역서(전체)" xfId="1241"/>
    <cellStyle name="_사본 - 수정_댐직하류 하천정비(환경)사업 기본계획 및 실시설계용역-수공용_용담댐하류하천환경정비사업설계예산서(건희)_신천금호강 종합개발 기본설계  내역서(수정분)" xfId="1242"/>
    <cellStyle name="_사본 - 수정_댐직하류 하천정비(환경)사업 기본계획 및 실시설계용역-수공용_용담댐하류하천환경정비사업설계예산서(건희)_신천금호강내역서(수정-보오링,사전재해및환경성제외,측량연장조정9(1).95억0726)" xfId="1243"/>
    <cellStyle name="_사본 - 수정_댐직하류 하천정비(환경)사업 기본계획 및 실시설계용역-수공용_용담댐하류하천환경정비사업설계예산서(건희)_심사내역서" xfId="1244"/>
    <cellStyle name="_사본 - 수정_용담댐하류하천환경정비사업설계예산서(건희)" xfId="1245"/>
    <cellStyle name="_사본 - 수정_용담댐하류하천환경정비사업설계예산서(건희)_1) 신천금호강 종합개발 기본설계" xfId="1246"/>
    <cellStyle name="_사본 - 수정_용담댐하류하천환경정비사업설계예산서(건희)_2) 신천금호강 종합개발 동영상제작(변경최종)" xfId="1247"/>
    <cellStyle name="_사본 - 수정_용담댐하류하천환경정비사업설계예산서(건희)_3) 신천금호강 종합개발 산책로 실시설계(변경최종)" xfId="1248"/>
    <cellStyle name="_사본 - 수정_용담댐하류하천환경정비사업설계예산서(건희)_설계내역서(신천-금호강)" xfId="1249"/>
    <cellStyle name="_사본 - 수정_용담댐하류하천환경정비사업설계예산서(건희)_설계내역서(전체)" xfId="1250"/>
    <cellStyle name="_사본 - 수정_용담댐하류하천환경정비사업설계예산서(건희)_신천금호강 종합개발 기본설계  내역서(수정분)" xfId="1251"/>
    <cellStyle name="_사본 - 수정_용담댐하류하천환경정비사업설계예산서(건희)_신천금호강내역서(수정-보오링,사전재해및환경성제외,측량연장조정9(1).95억0726)" xfId="1252"/>
    <cellStyle name="_사본 - 수정_용담댐하류하천환경정비사업설계예산서(건희)_심사내역서" xfId="1253"/>
    <cellStyle name="_사본 - 중앙김병교설계내역서" xfId="1254"/>
    <cellStyle name="_사업대가기준(최신자료)" xfId="1255"/>
    <cellStyle name="_사전재해영향성검토(1억5천)2" xfId="1256"/>
    <cellStyle name="_사천시 2차사업 설계내역서_최종(2004.6.10)" xfId="1257"/>
    <cellStyle name="_사천시범용도입설계내역서(범아송부)" xfId="1258"/>
    <cellStyle name="_산근1" xfId="1259"/>
    <cellStyle name="_산근4" xfId="1260"/>
    <cellStyle name="_산근5" xfId="1261"/>
    <cellStyle name="_산근7" xfId="1262"/>
    <cellStyle name="_산업단지(33만평)기본및실시설계내역서" xfId="1263"/>
    <cellStyle name="_산업단지(33만평)지구지정(개발계획) 내역서" xfId="1264"/>
    <cellStyle name="_산업단지(40만평)내역서" xfId="1265"/>
    <cellStyle name="_산업단지(40만평)지구지정(개발계획) 내역서" xfId="1266"/>
    <cellStyle name="_삼남" xfId="70"/>
    <cellStyle name="_삼남_2차변경단가산출근거" xfId="71"/>
    <cellStyle name="_삼남_2차변경단가산출근거_3차변경단가산출근거" xfId="72"/>
    <cellStyle name="_삼남_2차변경단가산출근거_3차변경단가산출근거_문화의 거리 농로포장(김병국2차)" xfId="73"/>
    <cellStyle name="_삼남_2차변경단가산출근거_3차변경단가산출근거_문화의 거리 농로포장(김병국2차)_문화의 거리 농로포장(김병국2차)" xfId="74"/>
    <cellStyle name="_삼남_2차변경단가산출근거_문화의 거리 농로포장(김병국2차)" xfId="75"/>
    <cellStyle name="_삼남_2차변경단가산출근거_문화의 거리 농로포장(김병국2차)_문화의 거리 농로포장(김병국2차)" xfId="76"/>
    <cellStyle name="_삼남_문화의 거리 농로포장(김병국2차)" xfId="77"/>
    <cellStyle name="_삼남_문화의 거리 농로포장(김병국2차)_문화의 거리 농로포장(김병국2차)" xfId="78"/>
    <cellStyle name="_삼남_외국인투자지역" xfId="79"/>
    <cellStyle name="_삼남_외국인투자지역_3차변경단가산출근거" xfId="80"/>
    <cellStyle name="_삼남_외국인투자지역_3차변경단가산출근거_문화의 거리 농로포장(김병국2차)" xfId="81"/>
    <cellStyle name="_삼남_외국인투자지역_3차변경단가산출근거_문화의 거리 농로포장(김병국2차)_문화의 거리 농로포장(김병국2차)" xfId="82"/>
    <cellStyle name="_삼남_외국인투자지역_문화의 거리 농로포장(김병국2차)" xfId="83"/>
    <cellStyle name="_삼남_외국인투자지역_문화의 거리 농로포장(김병국2차)_문화의 거리 농로포장(김병국2차)" xfId="84"/>
    <cellStyle name="_상수 DB구축설계서(2,4급)-설계중" xfId="1267"/>
    <cellStyle name="_상주GIS기본계획수립설계내역서(총괄)" xfId="1268"/>
    <cellStyle name="_상하수도 범용도입 설계내역서2.0" xfId="1269"/>
    <cellStyle name="_상하수탐사내역서" xfId="1270"/>
    <cellStyle name="_새주소웹서버" xfId="85"/>
    <cellStyle name="_서학내역서(준공내역서)" xfId="86"/>
    <cellStyle name="_석축공" xfId="1271"/>
    <cellStyle name="_선정(1)" xfId="1272"/>
    <cellStyle name="_선정(1)_간이배수펌프장설치에 따른 타당성용역내역" xfId="1273"/>
    <cellStyle name="_선정(1)_선정안(삼산)" xfId="1274"/>
    <cellStyle name="_선정(1)_선정안(삼산)_간이배수펌프장설치에 따른 타당성용역내역" xfId="1275"/>
    <cellStyle name="_선정(1)_추풍령" xfId="1276"/>
    <cellStyle name="_선정(1)_추풍령_간이배수펌프장설치에 따른 타당성용역내역" xfId="1277"/>
    <cellStyle name="_선정(1)_추풍령-1" xfId="1278"/>
    <cellStyle name="_선정(1)_추풍령-1_간이배수펌프장설치에 따른 타당성용역내역" xfId="1279"/>
    <cellStyle name="_선정(2)" xfId="1280"/>
    <cellStyle name="_선정(2)_간이배수펌프장설치에 따른 타당성용역내역" xfId="1281"/>
    <cellStyle name="_선정(2)_선정안(삼산)" xfId="1282"/>
    <cellStyle name="_선정(2)_선정안(삼산)_간이배수펌프장설치에 따른 타당성용역내역" xfId="1283"/>
    <cellStyle name="_선정(2)_추풍령" xfId="1284"/>
    <cellStyle name="_선정(2)_추풍령_간이배수펌프장설치에 따른 타당성용역내역" xfId="1285"/>
    <cellStyle name="_선정(2)_추풍령-1" xfId="1286"/>
    <cellStyle name="_선정(2)_추풍령-1_간이배수펌프장설치에 따른 타당성용역내역" xfId="1287"/>
    <cellStyle name="_선정(3)" xfId="1288"/>
    <cellStyle name="_선정(3)_간이배수펌프장설치에 따른 타당성용역내역" xfId="1289"/>
    <cellStyle name="_선정(3)_선정안(삼산)" xfId="1290"/>
    <cellStyle name="_선정(3)_선정안(삼산)_간이배수펌프장설치에 따른 타당성용역내역" xfId="1291"/>
    <cellStyle name="_선정(3)_추풍령" xfId="1292"/>
    <cellStyle name="_선정(3)_추풍령_간이배수펌프장설치에 따른 타당성용역내역" xfId="1293"/>
    <cellStyle name="_선정(3)_추풍령-1" xfId="1294"/>
    <cellStyle name="_선정(3)_추풍령-1_간이배수펌프장설치에 따른 타당성용역내역" xfId="1295"/>
    <cellStyle name="_선정(4)" xfId="1296"/>
    <cellStyle name="_선정(4)_간이배수펌프장설치에 따른 타당성용역내역" xfId="1297"/>
    <cellStyle name="_선정(4)_선정안(삼산)" xfId="1298"/>
    <cellStyle name="_선정(4)_선정안(삼산)_간이배수펌프장설치에 따른 타당성용역내역" xfId="1299"/>
    <cellStyle name="_선정(4)_추풍령" xfId="1300"/>
    <cellStyle name="_선정(4)_추풍령_간이배수펌프장설치에 따른 타당성용역내역" xfId="1301"/>
    <cellStyle name="_선정(4)_추풍령-1" xfId="1302"/>
    <cellStyle name="_선정(4)_추풍령-1_간이배수펌프장설치에 따른 타당성용역내역" xfId="1303"/>
    <cellStyle name="_선정(5)" xfId="1304"/>
    <cellStyle name="_선정(5)_간이배수펌프장설치에 따른 타당성용역내역" xfId="1305"/>
    <cellStyle name="_선정(5)_선정안(삼산)" xfId="1306"/>
    <cellStyle name="_선정(5)_선정안(삼산)_간이배수펌프장설치에 따른 타당성용역내역" xfId="1307"/>
    <cellStyle name="_선정(5)_추풍령" xfId="1308"/>
    <cellStyle name="_선정(5)_추풍령_간이배수펌프장설치에 따른 타당성용역내역" xfId="1309"/>
    <cellStyle name="_선정(5)_추풍령-1" xfId="1310"/>
    <cellStyle name="_선정(5)_추풍령-1_간이배수펌프장설치에 따른 타당성용역내역" xfId="1311"/>
    <cellStyle name="_설계내역서(0208)" xfId="1312"/>
    <cellStyle name="_설계내역서(0208)1" xfId="1313"/>
    <cellStyle name="_설계내역서(계약용)" xfId="1314"/>
    <cellStyle name="_설계내역서(공시지가)" xfId="1315"/>
    <cellStyle name="_설계내역서(완료)" xfId="1316"/>
    <cellStyle name="_설계내역서(제영향평가)" xfId="1317"/>
    <cellStyle name="_설계내역서_금액조정" xfId="1318"/>
    <cellStyle name="_설계내역서_발주" xfId="1319"/>
    <cellStyle name="_설계변경(2004.05)최종" xfId="1320"/>
    <cellStyle name="_설계변경(2004.06)" xfId="1321"/>
    <cellStyle name="_설계변경(문화재추가)오산시내역" xfId="1322"/>
    <cellStyle name="_설계변경(정산용)" xfId="1323"/>
    <cellStyle name="_설계변경(최종安)" xfId="1324"/>
    <cellStyle name="_설계변경내역서(서측도로)" xfId="1325"/>
    <cellStyle name="_설계서" xfId="1326"/>
    <cellStyle name="_설계서(2004년 sample)" xfId="1327"/>
    <cellStyle name="_설계서_GIS_1최종(속초시_ver2.1)" xfId="1328"/>
    <cellStyle name="_설계서_GIS_1최종(속초시_ver3.3)_1" xfId="1329"/>
    <cellStyle name="_설계서00_연기" xfId="87"/>
    <cellStyle name="_설계서-김포시청(백미진)" xfId="1330"/>
    <cellStyle name="_설계예산내역서" xfId="1331"/>
    <cellStyle name="_설계예산서" xfId="1332"/>
    <cellStyle name="_성남시 3D설계" xfId="1333"/>
    <cellStyle name="_성남시SW개발내역서" xfId="1334"/>
    <cellStyle name="_성남시SW개발내역서(V1(1).1)" xfId="1335"/>
    <cellStyle name="_성남시SW개발내역서_1215" xfId="1336"/>
    <cellStyle name="_성주일반산업단지 기본 및 실시설계(낙찰율적용)" xfId="1337"/>
    <cellStyle name="_수치표고자료" xfId="1338"/>
    <cellStyle name="_시방서" xfId="1339"/>
    <cellStyle name="_시방서_로하스변경내역서-5(06.6.7)" xfId="1340"/>
    <cellStyle name="_시방서_로하스변경내역서-5(06.6.7)_로하스변경내역서-6(06(1).6.27 당초변경)" xfId="1341"/>
    <cellStyle name="_시방서_로하스변경내역서-6(06.6.21)" xfId="1342"/>
    <cellStyle name="_시방서_로하스변경내역서-6(06.6.21)_로하스변경내역서-6(06(1).6.27 당초변경)" xfId="1343"/>
    <cellStyle name="_시설물관리시스템상세내역" xfId="1344"/>
    <cellStyle name="_시스템" xfId="88"/>
    <cellStyle name="_시스템개발산출양식_2003" xfId="1345"/>
    <cellStyle name="_신언1공구수량산출" xfId="89"/>
    <cellStyle name="_실시계획내역서(최종안)-원내역" xfId="1346"/>
    <cellStyle name="_안동컨트리클럽-품셈기준" xfId="90"/>
    <cellStyle name="_안동컨트리클럽-품셈기준(단계별수정)" xfId="1347"/>
    <cellStyle name="_안면도 지포지구-품셈기준" xfId="91"/>
    <cellStyle name="_안성시 GIS 총괄 설계내역서_1.0" xfId="1348"/>
    <cellStyle name="_앙성계통 능암리 관로이설공사" xfId="1349"/>
    <cellStyle name="_앙성계통 능암리 관로이설공사(최종)" xfId="1350"/>
    <cellStyle name="_앙성계통 능암리 관로이설공사(최종)_댐직하류 하천정비(환경)사업 기본계획 및 실시설계용역-수공용" xfId="1351"/>
    <cellStyle name="_앙성계통 능암리 관로이설공사(최종)_댐직하류 하천정비(환경)사업 기본계획 및 실시설계용역-수공용_용담댐직하류 하천정비공사 설계예산서(남원작성)-" xfId="1352"/>
    <cellStyle name="_앙성계통 능암리 관로이설공사(최종)_댐직하류 하천정비(환경)사업 기본계획 및 실시설계용역-수공용_용담댐직하류 하천정비공사 설계예산서(남원작성)-_용담댐하류하천환경정비사업설계예산서(건희)" xfId="1353"/>
    <cellStyle name="_앙성계통 능암리 관로이설공사(최종)_댐직하류 하천정비(환경)사업 기본계획 및 실시설계용역-수공용_용담댐직하류 하천정비공사 설계예산서(남원작성)-_용담댐하류하천환경정비사업설계예산서(건희)_1) 신천금호강 종합개발 기본설계" xfId="1354"/>
    <cellStyle name="_앙성계통 능암리 관로이설공사(최종)_댐직하류 하천정비(환경)사업 기본계획 및 실시설계용역-수공용_용담댐직하류 하천정비공사 설계예산서(남원작성)-_용담댐하류하천환경정비사업설계예산서(건희)_2) 신천금호강 종합개발 동영상제작(변경최종)" xfId="1355"/>
    <cellStyle name="_앙성계통 능암리 관로이설공사(최종)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356"/>
    <cellStyle name="_앙성계통 능암리 관로이설공사(최종)_댐직하류 하천정비(환경)사업 기본계획 및 실시설계용역-수공용_용담댐직하류 하천정비공사 설계예산서(남원작성)-_용담댐하류하천환경정비사업설계예산서(건희)_설계내역서(신천-금호강)" xfId="1357"/>
    <cellStyle name="_앙성계통 능암리 관로이설공사(최종)_댐직하류 하천정비(환경)사업 기본계획 및 실시설계용역-수공용_용담댐직하류 하천정비공사 설계예산서(남원작성)-_용담댐하류하천환경정비사업설계예산서(건희)_설계내역서(전체)" xfId="1358"/>
    <cellStyle name="_앙성계통 능암리 관로이설공사(최종)_댐직하류 하천정비(환경)사업 기본계획 및 실시설계용역-수공용_용담댐직하류 하천정비공사 설계예산서(남원작성)-_용담댐하류하천환경정비사업설계예산서(건희)_신천금호강 종합개발 기본설계  내역서(수정분)" xfId="1359"/>
    <cellStyle name="_앙성계통 능암리 관로이설공사(최종)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360"/>
    <cellStyle name="_앙성계통 능암리 관로이설공사(최종)_댐직하류 하천정비(환경)사업 기본계획 및 실시설계용역-수공용_용담댐직하류 하천정비공사 설계예산서(남원작성)-_용담댐하류하천환경정비사업설계예산서(건희)_심사내역서" xfId="1361"/>
    <cellStyle name="_앙성계통 능암리 관로이설공사(최종)_댐직하류 하천정비(환경)사업 기본계획 및 실시설계용역-수공용_용담댐하류하천환경정비사업설계예산서(건희)" xfId="1362"/>
    <cellStyle name="_앙성계통 능암리 관로이설공사(최종)_댐직하류 하천정비(환경)사업 기본계획 및 실시설계용역-수공용_용담댐하류하천환경정비사업설계예산서(건희)_1) 신천금호강 종합개발 기본설계" xfId="1363"/>
    <cellStyle name="_앙성계통 능암리 관로이설공사(최종)_댐직하류 하천정비(환경)사업 기본계획 및 실시설계용역-수공용_용담댐하류하천환경정비사업설계예산서(건희)_2) 신천금호강 종합개발 동영상제작(변경최종)" xfId="1364"/>
    <cellStyle name="_앙성계통 능암리 관로이설공사(최종)_댐직하류 하천정비(환경)사업 기본계획 및 실시설계용역-수공용_용담댐하류하천환경정비사업설계예산서(건희)_3) 신천금호강 종합개발 산책로 실시설계(변경최종)" xfId="1365"/>
    <cellStyle name="_앙성계통 능암리 관로이설공사(최종)_댐직하류 하천정비(환경)사업 기본계획 및 실시설계용역-수공용_용담댐하류하천환경정비사업설계예산서(건희)_설계내역서(신천-금호강)" xfId="1366"/>
    <cellStyle name="_앙성계통 능암리 관로이설공사(최종)_댐직하류 하천정비(환경)사업 기본계획 및 실시설계용역-수공용_용담댐하류하천환경정비사업설계예산서(건희)_설계내역서(전체)" xfId="1367"/>
    <cellStyle name="_앙성계통 능암리 관로이설공사(최종)_댐직하류 하천정비(환경)사업 기본계획 및 실시설계용역-수공용_용담댐하류하천환경정비사업설계예산서(건희)_신천금호강 종합개발 기본설계  내역서(수정분)" xfId="1368"/>
    <cellStyle name="_앙성계통 능암리 관로이설공사(최종)_댐직하류 하천정비(환경)사업 기본계획 및 실시설계용역-수공용_용담댐하류하천환경정비사업설계예산서(건희)_신천금호강내역서(수정-보오링,사전재해및환경성제외,측량연장조정9(1).95억0726)" xfId="1369"/>
    <cellStyle name="_앙성계통 능암리 관로이설공사(최종)_댐직하류 하천정비(환경)사업 기본계획 및 실시설계용역-수공용_용담댐하류하천환경정비사업설계예산서(건희)_심사내역서" xfId="1370"/>
    <cellStyle name="_앙성계통 능암리 관로이설공사(최종)_용담댐하류하천환경정비사업설계예산서(건희)" xfId="1371"/>
    <cellStyle name="_앙성계통 능암리 관로이설공사(최종)_용담댐하류하천환경정비사업설계예산서(건희)_1) 신천금호강 종합개발 기본설계" xfId="1372"/>
    <cellStyle name="_앙성계통 능암리 관로이설공사(최종)_용담댐하류하천환경정비사업설계예산서(건희)_2) 신천금호강 종합개발 동영상제작(변경최종)" xfId="1373"/>
    <cellStyle name="_앙성계통 능암리 관로이설공사(최종)_용담댐하류하천환경정비사업설계예산서(건희)_3) 신천금호강 종합개발 산책로 실시설계(변경최종)" xfId="1374"/>
    <cellStyle name="_앙성계통 능암리 관로이설공사(최종)_용담댐하류하천환경정비사업설계예산서(건희)_설계내역서(신천-금호강)" xfId="1375"/>
    <cellStyle name="_앙성계통 능암리 관로이설공사(최종)_용담댐하류하천환경정비사업설계예산서(건희)_설계내역서(전체)" xfId="1376"/>
    <cellStyle name="_앙성계통 능암리 관로이설공사(최종)_용담댐하류하천환경정비사업설계예산서(건희)_신천금호강 종합개발 기본설계  내역서(수정분)" xfId="1377"/>
    <cellStyle name="_앙성계통 능암리 관로이설공사(최종)_용담댐하류하천환경정비사업설계예산서(건희)_신천금호강내역서(수정-보오링,사전재해및환경성제외,측량연장조정9(1).95억0726)" xfId="1378"/>
    <cellStyle name="_앙성계통 능암리 관로이설공사(최종)_용담댐하류하천환경정비사업설계예산서(건희)_심사내역서" xfId="1379"/>
    <cellStyle name="_앙성계통 능암리 관로이설공사_댐직하류 하천정비(환경)사업 기본계획 및 실시설계용역-수공용" xfId="1380"/>
    <cellStyle name="_앙성계통 능암리 관로이설공사_댐직하류 하천정비(환경)사업 기본계획 및 실시설계용역-수공용_용담댐직하류 하천정비공사 설계예산서(남원작성)-" xfId="1381"/>
    <cellStyle name="_앙성계통 능암리 관로이설공사_댐직하류 하천정비(환경)사업 기본계획 및 실시설계용역-수공용_용담댐직하류 하천정비공사 설계예산서(남원작성)-_용담댐하류하천환경정비사업설계예산서(건희)" xfId="1382"/>
    <cellStyle name="_앙성계통 능암리 관로이설공사_댐직하류 하천정비(환경)사업 기본계획 및 실시설계용역-수공용_용담댐직하류 하천정비공사 설계예산서(남원작성)-_용담댐하류하천환경정비사업설계예산서(건희)_1) 신천금호강 종합개발 기본설계" xfId="1383"/>
    <cellStyle name="_앙성계통 능암리 관로이설공사_댐직하류 하천정비(환경)사업 기본계획 및 실시설계용역-수공용_용담댐직하류 하천정비공사 설계예산서(남원작성)-_용담댐하류하천환경정비사업설계예산서(건희)_2) 신천금호강 종합개발 동영상제작(변경최종)" xfId="1384"/>
    <cellStyle name="_앙성계통 능암리 관로이설공사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385"/>
    <cellStyle name="_앙성계통 능암리 관로이설공사_댐직하류 하천정비(환경)사업 기본계획 및 실시설계용역-수공용_용담댐직하류 하천정비공사 설계예산서(남원작성)-_용담댐하류하천환경정비사업설계예산서(건희)_설계내역서(신천-금호강)" xfId="1386"/>
    <cellStyle name="_앙성계통 능암리 관로이설공사_댐직하류 하천정비(환경)사업 기본계획 및 실시설계용역-수공용_용담댐직하류 하천정비공사 설계예산서(남원작성)-_용담댐하류하천환경정비사업설계예산서(건희)_설계내역서(전체)" xfId="1387"/>
    <cellStyle name="_앙성계통 능암리 관로이설공사_댐직하류 하천정비(환경)사업 기본계획 및 실시설계용역-수공용_용담댐직하류 하천정비공사 설계예산서(남원작성)-_용담댐하류하천환경정비사업설계예산서(건희)_신천금호강 종합개발 기본설계  내역서(수정분)" xfId="1388"/>
    <cellStyle name="_앙성계통 능암리 관로이설공사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389"/>
    <cellStyle name="_앙성계통 능암리 관로이설공사_댐직하류 하천정비(환경)사업 기본계획 및 실시설계용역-수공용_용담댐직하류 하천정비공사 설계예산서(남원작성)-_용담댐하류하천환경정비사업설계예산서(건희)_심사내역서" xfId="1390"/>
    <cellStyle name="_앙성계통 능암리 관로이설공사_댐직하류 하천정비(환경)사업 기본계획 및 실시설계용역-수공용_용담댐하류하천환경정비사업설계예산서(건희)" xfId="1391"/>
    <cellStyle name="_앙성계통 능암리 관로이설공사_댐직하류 하천정비(환경)사업 기본계획 및 실시설계용역-수공용_용담댐하류하천환경정비사업설계예산서(건희)_1) 신천금호강 종합개발 기본설계" xfId="1392"/>
    <cellStyle name="_앙성계통 능암리 관로이설공사_댐직하류 하천정비(환경)사업 기본계획 및 실시설계용역-수공용_용담댐하류하천환경정비사업설계예산서(건희)_2) 신천금호강 종합개발 동영상제작(변경최종)" xfId="1393"/>
    <cellStyle name="_앙성계통 능암리 관로이설공사_댐직하류 하천정비(환경)사업 기본계획 및 실시설계용역-수공용_용담댐하류하천환경정비사업설계예산서(건희)_3) 신천금호강 종합개발 산책로 실시설계(변경최종)" xfId="1394"/>
    <cellStyle name="_앙성계통 능암리 관로이설공사_댐직하류 하천정비(환경)사업 기본계획 및 실시설계용역-수공용_용담댐하류하천환경정비사업설계예산서(건희)_설계내역서(신천-금호강)" xfId="1395"/>
    <cellStyle name="_앙성계통 능암리 관로이설공사_댐직하류 하천정비(환경)사업 기본계획 및 실시설계용역-수공용_용담댐하류하천환경정비사업설계예산서(건희)_설계내역서(전체)" xfId="1396"/>
    <cellStyle name="_앙성계통 능암리 관로이설공사_댐직하류 하천정비(환경)사업 기본계획 및 실시설계용역-수공용_용담댐하류하천환경정비사업설계예산서(건희)_신천금호강 종합개발 기본설계  내역서(수정분)" xfId="1397"/>
    <cellStyle name="_앙성계통 능암리 관로이설공사_댐직하류 하천정비(환경)사업 기본계획 및 실시설계용역-수공용_용담댐하류하천환경정비사업설계예산서(건희)_신천금호강내역서(수정-보오링,사전재해및환경성제외,측량연장조정9(1).95억0726)" xfId="1398"/>
    <cellStyle name="_앙성계통 능암리 관로이설공사_댐직하류 하천정비(환경)사업 기본계획 및 실시설계용역-수공용_용담댐하류하천환경정비사업설계예산서(건희)_심사내역서" xfId="1399"/>
    <cellStyle name="_앙성계통 능암리 관로이설공사_용담댐하류하천환경정비사업설계예산서(건희)" xfId="1400"/>
    <cellStyle name="_앙성계통 능암리 관로이설공사_용담댐하류하천환경정비사업설계예산서(건희)_1) 신천금호강 종합개발 기본설계" xfId="1401"/>
    <cellStyle name="_앙성계통 능암리 관로이설공사_용담댐하류하천환경정비사업설계예산서(건희)_2) 신천금호강 종합개발 동영상제작(변경최종)" xfId="1402"/>
    <cellStyle name="_앙성계통 능암리 관로이설공사_용담댐하류하천환경정비사업설계예산서(건희)_3) 신천금호강 종합개발 산책로 실시설계(변경최종)" xfId="1403"/>
    <cellStyle name="_앙성계통 능암리 관로이설공사_용담댐하류하천환경정비사업설계예산서(건희)_설계내역서(신천-금호강)" xfId="1404"/>
    <cellStyle name="_앙성계통 능암리 관로이설공사_용담댐하류하천환경정비사업설계예산서(건희)_설계내역서(전체)" xfId="1405"/>
    <cellStyle name="_앙성계통 능암리 관로이설공사_용담댐하류하천환경정비사업설계예산서(건희)_신천금호강 종합개발 기본설계  내역서(수정분)" xfId="1406"/>
    <cellStyle name="_앙성계통 능암리 관로이설공사_용담댐하류하천환경정비사업설계예산서(건희)_신천금호강내역서(수정-보오링,사전재해및환경성제외,측량연장조정9(1).95억0726)" xfId="1407"/>
    <cellStyle name="_앙성계통 능암리 관로이설공사_용담댐하류하천환경정비사업설계예산서(건희)_심사내역서" xfId="1408"/>
    <cellStyle name="_양식" xfId="92"/>
    <cellStyle name="_양식_091110 안성천권역(중하류) 설계내역서" xfId="1409"/>
    <cellStyle name="_양식_1" xfId="93"/>
    <cellStyle name="_양식_100120 안성천권역(중하류) 2차분내역서" xfId="1410"/>
    <cellStyle name="_양식_2" xfId="94"/>
    <cellStyle name="_양식_논산천 권역 하천기본계획 설계예산서" xfId="1411"/>
    <cellStyle name="_양식_소양강 상류권역 하천기본계획(변경) 및 하천시설관리대장작성_Lidar측량" xfId="1412"/>
    <cellStyle name="_양식_안양천 하천기본계획 예산서_보완중" xfId="1413"/>
    <cellStyle name="_양식_안양천권역 하천기본계획 설계예산서" xfId="1414"/>
    <cellStyle name="_양식_한강하류 하천기본계획 설계예산서(지형측량)" xfId="1415"/>
    <cellStyle name="_양식_한강하류내역서_최종 (2)" xfId="1416"/>
    <cellStyle name="_어린이도서관주차장설치공사" xfId="1417"/>
    <cellStyle name="_연천관리계획용역 내역서" xfId="95"/>
    <cellStyle name="_연천군 관리계획 및 지형도면고시용역 설계서" xfId="96"/>
    <cellStyle name="_연천군 관리계획용역 설계서" xfId="97"/>
    <cellStyle name="_오수차집연결공사" xfId="1418"/>
    <cellStyle name="_오수차집연결공사(최종분)" xfId="1419"/>
    <cellStyle name="_오수차집연결공사(최종분)_댐직하류 하천정비(환경)사업 기본계획 및 실시설계용역-수공용" xfId="1420"/>
    <cellStyle name="_오수차집연결공사(최종분)_댐직하류 하천정비(환경)사업 기본계획 및 실시설계용역-수공용_용담댐직하류 하천정비공사 설계예산서(남원작성)-" xfId="1421"/>
    <cellStyle name="_오수차집연결공사(최종분)_댐직하류 하천정비(환경)사업 기본계획 및 실시설계용역-수공용_용담댐직하류 하천정비공사 설계예산서(남원작성)-_용담댐하류하천환경정비사업설계예산서(건희)" xfId="1422"/>
    <cellStyle name="_오수차집연결공사(최종분)_댐직하류 하천정비(환경)사업 기본계획 및 실시설계용역-수공용_용담댐직하류 하천정비공사 설계예산서(남원작성)-_용담댐하류하천환경정비사업설계예산서(건희)_1) 신천금호강 종합개발 기본설계" xfId="1423"/>
    <cellStyle name="_오수차집연결공사(최종분)_댐직하류 하천정비(환경)사업 기본계획 및 실시설계용역-수공용_용담댐직하류 하천정비공사 설계예산서(남원작성)-_용담댐하류하천환경정비사업설계예산서(건희)_2) 신천금호강 종합개발 동영상제작(변경최종)" xfId="1424"/>
    <cellStyle name="_오수차집연결공사(최종분)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425"/>
    <cellStyle name="_오수차집연결공사(최종분)_댐직하류 하천정비(환경)사업 기본계획 및 실시설계용역-수공용_용담댐직하류 하천정비공사 설계예산서(남원작성)-_용담댐하류하천환경정비사업설계예산서(건희)_설계내역서(신천-금호강)" xfId="1426"/>
    <cellStyle name="_오수차집연결공사(최종분)_댐직하류 하천정비(환경)사업 기본계획 및 실시설계용역-수공용_용담댐직하류 하천정비공사 설계예산서(남원작성)-_용담댐하류하천환경정비사업설계예산서(건희)_설계내역서(전체)" xfId="1427"/>
    <cellStyle name="_오수차집연결공사(최종분)_댐직하류 하천정비(환경)사업 기본계획 및 실시설계용역-수공용_용담댐직하류 하천정비공사 설계예산서(남원작성)-_용담댐하류하천환경정비사업설계예산서(건희)_신천금호강 종합개발 기본설계  내역서(수정분)" xfId="1428"/>
    <cellStyle name="_오수차집연결공사(최종분)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429"/>
    <cellStyle name="_오수차집연결공사(최종분)_댐직하류 하천정비(환경)사업 기본계획 및 실시설계용역-수공용_용담댐직하류 하천정비공사 설계예산서(남원작성)-_용담댐하류하천환경정비사업설계예산서(건희)_심사내역서" xfId="1430"/>
    <cellStyle name="_오수차집연결공사(최종분)_댐직하류 하천정비(환경)사업 기본계획 및 실시설계용역-수공용_용담댐하류하천환경정비사업설계예산서(건희)" xfId="1431"/>
    <cellStyle name="_오수차집연결공사(최종분)_댐직하류 하천정비(환경)사업 기본계획 및 실시설계용역-수공용_용담댐하류하천환경정비사업설계예산서(건희)_1) 신천금호강 종합개발 기본설계" xfId="1432"/>
    <cellStyle name="_오수차집연결공사(최종분)_댐직하류 하천정비(환경)사업 기본계획 및 실시설계용역-수공용_용담댐하류하천환경정비사업설계예산서(건희)_2) 신천금호강 종합개발 동영상제작(변경최종)" xfId="1433"/>
    <cellStyle name="_오수차집연결공사(최종분)_댐직하류 하천정비(환경)사업 기본계획 및 실시설계용역-수공용_용담댐하류하천환경정비사업설계예산서(건희)_3) 신천금호강 종합개발 산책로 실시설계(변경최종)" xfId="1434"/>
    <cellStyle name="_오수차집연결공사(최종분)_댐직하류 하천정비(환경)사업 기본계획 및 실시설계용역-수공용_용담댐하류하천환경정비사업설계예산서(건희)_설계내역서(신천-금호강)" xfId="1435"/>
    <cellStyle name="_오수차집연결공사(최종분)_댐직하류 하천정비(환경)사업 기본계획 및 실시설계용역-수공용_용담댐하류하천환경정비사업설계예산서(건희)_설계내역서(전체)" xfId="1436"/>
    <cellStyle name="_오수차집연결공사(최종분)_댐직하류 하천정비(환경)사업 기본계획 및 실시설계용역-수공용_용담댐하류하천환경정비사업설계예산서(건희)_신천금호강 종합개발 기본설계  내역서(수정분)" xfId="1437"/>
    <cellStyle name="_오수차집연결공사(최종분)_댐직하류 하천정비(환경)사업 기본계획 및 실시설계용역-수공용_용담댐하류하천환경정비사업설계예산서(건희)_신천금호강내역서(수정-보오링,사전재해및환경성제외,측량연장조정9(1).95억0726)" xfId="1438"/>
    <cellStyle name="_오수차집연결공사(최종분)_댐직하류 하천정비(환경)사업 기본계획 및 실시설계용역-수공용_용담댐하류하천환경정비사업설계예산서(건희)_심사내역서" xfId="1439"/>
    <cellStyle name="_오수차집연결공사(최종분)_용담댐하류하천환경정비사업설계예산서(건희)" xfId="1440"/>
    <cellStyle name="_오수차집연결공사(최종분)_용담댐하류하천환경정비사업설계예산서(건희)_1) 신천금호강 종합개발 기본설계" xfId="1441"/>
    <cellStyle name="_오수차집연결공사(최종분)_용담댐하류하천환경정비사업설계예산서(건희)_2) 신천금호강 종합개발 동영상제작(변경최종)" xfId="1442"/>
    <cellStyle name="_오수차집연결공사(최종분)_용담댐하류하천환경정비사업설계예산서(건희)_3) 신천금호강 종합개발 산책로 실시설계(변경최종)" xfId="1443"/>
    <cellStyle name="_오수차집연결공사(최종분)_용담댐하류하천환경정비사업설계예산서(건희)_설계내역서(신천-금호강)" xfId="1444"/>
    <cellStyle name="_오수차집연결공사(최종분)_용담댐하류하천환경정비사업설계예산서(건희)_설계내역서(전체)" xfId="1445"/>
    <cellStyle name="_오수차집연결공사(최종분)_용담댐하류하천환경정비사업설계예산서(건희)_신천금호강 종합개발 기본설계  내역서(수정분)" xfId="1446"/>
    <cellStyle name="_오수차집연결공사(최종분)_용담댐하류하천환경정비사업설계예산서(건희)_신천금호강내역서(수정-보오링,사전재해및환경성제외,측량연장조정9(1).95억0726)" xfId="1447"/>
    <cellStyle name="_오수차집연결공사(최종분)_용담댐하류하천환경정비사업설계예산서(건희)_심사내역서" xfId="1448"/>
    <cellStyle name="_오수차집연결공사_댐직하류 하천정비(환경)사업 기본계획 및 실시설계용역-수공용" xfId="1449"/>
    <cellStyle name="_오수차집연결공사_댐직하류 하천정비(환경)사업 기본계획 및 실시설계용역-수공용_용담댐직하류 하천정비공사 설계예산서(남원작성)-" xfId="1450"/>
    <cellStyle name="_오수차집연결공사_댐직하류 하천정비(환경)사업 기본계획 및 실시설계용역-수공용_용담댐직하류 하천정비공사 설계예산서(남원작성)-_용담댐하류하천환경정비사업설계예산서(건희)" xfId="1451"/>
    <cellStyle name="_오수차집연결공사_댐직하류 하천정비(환경)사업 기본계획 및 실시설계용역-수공용_용담댐직하류 하천정비공사 설계예산서(남원작성)-_용담댐하류하천환경정비사업설계예산서(건희)_1) 신천금호강 종합개발 기본설계" xfId="1452"/>
    <cellStyle name="_오수차집연결공사_댐직하류 하천정비(환경)사업 기본계획 및 실시설계용역-수공용_용담댐직하류 하천정비공사 설계예산서(남원작성)-_용담댐하류하천환경정비사업설계예산서(건희)_2) 신천금호강 종합개발 동영상제작(변경최종)" xfId="1453"/>
    <cellStyle name="_오수차집연결공사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454"/>
    <cellStyle name="_오수차집연결공사_댐직하류 하천정비(환경)사업 기본계획 및 실시설계용역-수공용_용담댐직하류 하천정비공사 설계예산서(남원작성)-_용담댐하류하천환경정비사업설계예산서(건희)_설계내역서(신천-금호강)" xfId="1455"/>
    <cellStyle name="_오수차집연결공사_댐직하류 하천정비(환경)사업 기본계획 및 실시설계용역-수공용_용담댐직하류 하천정비공사 설계예산서(남원작성)-_용담댐하류하천환경정비사업설계예산서(건희)_설계내역서(전체)" xfId="1456"/>
    <cellStyle name="_오수차집연결공사_댐직하류 하천정비(환경)사업 기본계획 및 실시설계용역-수공용_용담댐직하류 하천정비공사 설계예산서(남원작성)-_용담댐하류하천환경정비사업설계예산서(건희)_신천금호강 종합개발 기본설계  내역서(수정분)" xfId="1457"/>
    <cellStyle name="_오수차집연결공사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458"/>
    <cellStyle name="_오수차집연결공사_댐직하류 하천정비(환경)사업 기본계획 및 실시설계용역-수공용_용담댐직하류 하천정비공사 설계예산서(남원작성)-_용담댐하류하천환경정비사업설계예산서(건희)_심사내역서" xfId="1459"/>
    <cellStyle name="_오수차집연결공사_댐직하류 하천정비(환경)사업 기본계획 및 실시설계용역-수공용_용담댐하류하천환경정비사업설계예산서(건희)" xfId="1460"/>
    <cellStyle name="_오수차집연결공사_댐직하류 하천정비(환경)사업 기본계획 및 실시설계용역-수공용_용담댐하류하천환경정비사업설계예산서(건희)_1) 신천금호강 종합개발 기본설계" xfId="1461"/>
    <cellStyle name="_오수차집연결공사_댐직하류 하천정비(환경)사업 기본계획 및 실시설계용역-수공용_용담댐하류하천환경정비사업설계예산서(건희)_2) 신천금호강 종합개발 동영상제작(변경최종)" xfId="1462"/>
    <cellStyle name="_오수차집연결공사_댐직하류 하천정비(환경)사업 기본계획 및 실시설계용역-수공용_용담댐하류하천환경정비사업설계예산서(건희)_3) 신천금호강 종합개발 산책로 실시설계(변경최종)" xfId="1463"/>
    <cellStyle name="_오수차집연결공사_댐직하류 하천정비(환경)사업 기본계획 및 실시설계용역-수공용_용담댐하류하천환경정비사업설계예산서(건희)_설계내역서(신천-금호강)" xfId="1464"/>
    <cellStyle name="_오수차집연결공사_댐직하류 하천정비(환경)사업 기본계획 및 실시설계용역-수공용_용담댐하류하천환경정비사업설계예산서(건희)_설계내역서(전체)" xfId="1465"/>
    <cellStyle name="_오수차집연결공사_댐직하류 하천정비(환경)사업 기본계획 및 실시설계용역-수공용_용담댐하류하천환경정비사업설계예산서(건희)_신천금호강 종합개발 기본설계  내역서(수정분)" xfId="1466"/>
    <cellStyle name="_오수차집연결공사_댐직하류 하천정비(환경)사업 기본계획 및 실시설계용역-수공용_용담댐하류하천환경정비사업설계예산서(건희)_신천금호강내역서(수정-보오링,사전재해및환경성제외,측량연장조정9(1).95억0726)" xfId="1467"/>
    <cellStyle name="_오수차집연결공사_댐직하류 하천정비(환경)사업 기본계획 및 실시설계용역-수공용_용담댐하류하천환경정비사업설계예산서(건희)_심사내역서" xfId="1468"/>
    <cellStyle name="_오수차집연결공사_용담댐하류하천환경정비사업설계예산서(건희)" xfId="1469"/>
    <cellStyle name="_오수차집연결공사_용담댐하류하천환경정비사업설계예산서(건희)_1) 신천금호강 종합개발 기본설계" xfId="1470"/>
    <cellStyle name="_오수차집연결공사_용담댐하류하천환경정비사업설계예산서(건희)_2) 신천금호강 종합개발 동영상제작(변경최종)" xfId="1471"/>
    <cellStyle name="_오수차집연결공사_용담댐하류하천환경정비사업설계예산서(건희)_3) 신천금호강 종합개발 산책로 실시설계(변경최종)" xfId="1472"/>
    <cellStyle name="_오수차집연결공사_용담댐하류하천환경정비사업설계예산서(건희)_설계내역서(신천-금호강)" xfId="1473"/>
    <cellStyle name="_오수차집연결공사_용담댐하류하천환경정비사업설계예산서(건희)_설계내역서(전체)" xfId="1474"/>
    <cellStyle name="_오수차집연결공사_용담댐하류하천환경정비사업설계예산서(건희)_신천금호강 종합개발 기본설계  내역서(수정분)" xfId="1475"/>
    <cellStyle name="_오수차집연결공사_용담댐하류하천환경정비사업설계예산서(건희)_신천금호강내역서(수정-보오링,사전재해및환경성제외,측량연장조정9(1).95억0726)" xfId="1476"/>
    <cellStyle name="_오수차집연결공사_용담댐하류하천환경정비사업설계예산서(건희)_심사내역서" xfId="1477"/>
    <cellStyle name="_옥동천변경내역(최종)" xfId="98"/>
    <cellStyle name="_옥동천변경내역(최종)_091110 안성천권역(중하류) 설계내역서" xfId="1478"/>
    <cellStyle name="_옥동천변경내역(최종)_100120 안성천권역(중하류) 2차분내역서" xfId="1479"/>
    <cellStyle name="_옥동천변경내역(최종)_논산천 권역 하천기본계획 설계예산서" xfId="1480"/>
    <cellStyle name="_옥동천변경내역(최종)_소양강 상류권역 하천기본계획(변경) 및 하천시설관리대장작성_Lidar측량" xfId="1481"/>
    <cellStyle name="_옥동천변경내역(최종)_안양천 하천기본계획 예산서_보완중" xfId="1482"/>
    <cellStyle name="_옥동천변경내역(최종)_안양천권역 하천기본계획 설계예산서" xfId="1483"/>
    <cellStyle name="_옥동천변경내역(최종)_한강하류 하천기본계획 설계예산서(지형측량)" xfId="1484"/>
    <cellStyle name="_옥동천변경내역(최종)_한강하류내역서_최종 (2)" xfId="1485"/>
    <cellStyle name="_온더아이티_BS 서버견적" xfId="1486"/>
    <cellStyle name="_용담댐3차원하천-070515" xfId="1487"/>
    <cellStyle name="_용담댐직하류 하천정비공사 설계예산서(남원작성)" xfId="1488"/>
    <cellStyle name="_용담댐직하류 하천정비공사 설계예산서(남원작성)-" xfId="1489"/>
    <cellStyle name="_용담댐직하류 하천정비공사 설계예산서(남원작성)-_091110 안성천권역(중하류) 설계내역서" xfId="1490"/>
    <cellStyle name="_용담댐직하류 하천정비공사 설계예산서(남원작성)-_100120 안성천권역(중하류) 2차분내역서" xfId="1491"/>
    <cellStyle name="_용담댐직하류 하천정비공사 설계예산서(남원작성)-_논산천 권역 하천기본계획 설계예산서" xfId="1492"/>
    <cellStyle name="_용담댐직하류 하천정비공사 설계예산서(남원작성)-_소양강 상류권역 하천기본계획(변경) 및 하천시설관리대장작성_Lidar측량" xfId="1493"/>
    <cellStyle name="_용담댐직하류 하천정비공사 설계예산서(남원작성)-_안양천 하천기본계획 예산서_보완중" xfId="1494"/>
    <cellStyle name="_용담댐직하류 하천정비공사 설계예산서(남원작성)-_안양천권역 하천기본계획 설계예산서" xfId="1495"/>
    <cellStyle name="_용담댐직하류 하천정비공사 설계예산서(남원작성)-_한강하류 하천기본계획 설계예산서(지형측량)" xfId="1496"/>
    <cellStyle name="_용담댐직하류 하천정비공사 설계예산서(남원작성)-_한강하류내역서_최종 (2)" xfId="1497"/>
    <cellStyle name="_용담호생태공원설계변경내역서-2 (06.12.5)" xfId="1498"/>
    <cellStyle name="_용인흥덕_시설종합관리_200610_15" xfId="1499"/>
    <cellStyle name="_울산시총괄안-20030509v1" xfId="99"/>
    <cellStyle name="_웅천 하천기본계획 사전환경성검토 내역서(091021)-행정계획" xfId="1500"/>
    <cellStyle name="_원가계산서(양식)" xfId="1501"/>
    <cellStyle name="_웹기반 범용프로그램 기본설계용역 예산설계서_050322" xfId="1502"/>
    <cellStyle name="_웹기반 수치지도 활용시스템 도입 설계서_1.1" xfId="100"/>
    <cellStyle name="_웹기반 수치지도 활용시스템 도입 설계서_2.0" xfId="1503"/>
    <cellStyle name="_유관기관연계시스템개발내역서" xfId="1504"/>
    <cellStyle name="_유첨3(서식)" xfId="101"/>
    <cellStyle name="_유첨3(서식)_091110 안성천권역(중하류) 설계내역서" xfId="1505"/>
    <cellStyle name="_유첨3(서식)_1" xfId="102"/>
    <cellStyle name="_유첨3(서식)_100120 안성천권역(중하류) 2차분내역서" xfId="1506"/>
    <cellStyle name="_유첨3(서식)_논산천 권역 하천기본계획 설계예산서" xfId="1507"/>
    <cellStyle name="_유첨3(서식)_소양강 상류권역 하천기본계획(변경) 및 하천시설관리대장작성_Lidar측량" xfId="1508"/>
    <cellStyle name="_유첨3(서식)_안양천 하천기본계획 예산서_보완중" xfId="1509"/>
    <cellStyle name="_유첨3(서식)_안양천권역 하천기본계획 설계예산서" xfId="1510"/>
    <cellStyle name="_유첨3(서식)_한강하류 하천기본계획 설계예산서(지형측량)" xfId="1511"/>
    <cellStyle name="_유첨3(서식)_한강하류내역서_최종 (2)" xfId="1512"/>
    <cellStyle name="_은행천변경내역서(061128)" xfId="1513"/>
    <cellStyle name="_은행천변경내역서(061128)_091110 안성천권역(중하류) 설계내역서" xfId="1514"/>
    <cellStyle name="_은행천변경내역서(061128)_100120 안성천권역(중하류) 2차분내역서" xfId="1515"/>
    <cellStyle name="_은행천변경내역서(061128)_논산천 권역 하천기본계획 설계예산서" xfId="1516"/>
    <cellStyle name="_은행천변경내역서(061128)_소양강 상류권역 하천기본계획(변경) 및 하천시설관리대장작성_Lidar측량" xfId="1517"/>
    <cellStyle name="_은행천변경내역서(061128)_안양천 하천기본계획 예산서_보완중" xfId="1518"/>
    <cellStyle name="_은행천변경내역서(061128)_안양천권역 하천기본계획 설계예산서" xfId="1519"/>
    <cellStyle name="_은행천변경내역서(061128)_한강하류 하천기본계획 설계예산서(지형측량)" xfId="1520"/>
    <cellStyle name="_은행천변경내역서(061128)_한강하류내역서_최종 (2)" xfId="1521"/>
    <cellStyle name="_의왕 왕송저수지 조성사업 환경재해영향평가용역" xfId="1522"/>
    <cellStyle name="_의왕 왕송저수지 조성사업 환경재해영향평가용역_로하스변경내역서-5(06.6.7)" xfId="1523"/>
    <cellStyle name="_의왕 왕송저수지 조성사업 환경재해영향평가용역_로하스변경내역서-5(06.6.7)_로하스변경내역서-6(06(1).6.27 당초변경)" xfId="1524"/>
    <cellStyle name="_의왕 왕송저수지 조성사업 환경재해영향평가용역_로하스변경내역서-6(06.6.21)" xfId="1525"/>
    <cellStyle name="_의왕 왕송저수지 조성사업 환경재해영향평가용역_로하스변경내역서-6(06.6.21)_로하스변경내역서-6(06(1).6.27 당초변경)" xfId="1526"/>
    <cellStyle name="_의왕고천 조사설계 내역서(수정)" xfId="1527"/>
    <cellStyle name="_의정부  상하수도 설계내역서_1.2" xfId="1528"/>
    <cellStyle name="_의정부_설계내역서" xfId="1529"/>
    <cellStyle name="_의정부_설계내역서(제출용)" xfId="1530"/>
    <cellStyle name="_이담지리지 보완확장사업 설계내역서_1.1" xfId="1531"/>
    <cellStyle name="_인구평가(시흥군자지구)(1).xls-수정" xfId="103"/>
    <cellStyle name="_인원계획표 " xfId="104"/>
    <cellStyle name="_인원계획표 _(경북)조사설계용역 예산내역서(원본)_지하차도_r" xfId="105"/>
    <cellStyle name="_인원계획표 _(경북)조사설계용역 예산내역서(원본)_지하차도_r_평택 설계변경내역(소하천)-도급률적용(1)" xfId="106"/>
    <cellStyle name="_인원계획표 _적격 " xfId="107"/>
    <cellStyle name="_인원계획표 _적격 _(경북)조사설계용역 예산내역서(원본)_지하차도_r" xfId="108"/>
    <cellStyle name="_인원계획표 _적격 _(경북)조사설계용역 예산내역서(원본)_지하차도_r_평택 설계변경내역(소하천)-도급률적용(1)" xfId="109"/>
    <cellStyle name="_인원계획표 _적격 _평택 설계변경내역(소하천)-도급률적용(1)" xfId="110"/>
    <cellStyle name="_인원계획표 _평택 설계변경내역(소하천)-도급률적용(1)" xfId="111"/>
    <cellStyle name="_인증견적자료" xfId="1532"/>
    <cellStyle name="_인천시 지하시설물통합정보시스템 구축사업 설계내역서_0514(FP)" xfId="1533"/>
    <cellStyle name="_인트라넷개발내역" xfId="1534"/>
    <cellStyle name="_일위대가" xfId="1535"/>
    <cellStyle name="_일위대가2" xfId="1536"/>
    <cellStyle name="_입찰표지 " xfId="112"/>
    <cellStyle name="_입찰표지 _(경북)조사설계용역 예산내역서(원본)_지하차도_r" xfId="113"/>
    <cellStyle name="_입찰표지 _(경북)조사설계용역 예산내역서(원본)_지하차도_r_평택 설계변경내역(소하천)-도급률적용(1)" xfId="114"/>
    <cellStyle name="_입찰표지 _평택 설계변경내역(소하천)-도급률적용(1)" xfId="115"/>
    <cellStyle name="_자동화저장설비정비유지" xfId="1537"/>
    <cellStyle name="_장비" xfId="1538"/>
    <cellStyle name="_장비견적분석" xfId="1539"/>
    <cellStyle name="_적격 " xfId="116"/>
    <cellStyle name="_적격 _(경북)조사설계용역 예산내역서(원본)_지하차도_r" xfId="117"/>
    <cellStyle name="_적격 _(경북)조사설계용역 예산내역서(원본)_지하차도_r_평택 설계변경내역(소하천)-도급률적용(1)" xfId="118"/>
    <cellStyle name="_적격 _집행갑지 " xfId="119"/>
    <cellStyle name="_적격 _집행갑지 _(경북)조사설계용역 예산내역서(원본)_지하차도_r" xfId="120"/>
    <cellStyle name="_적격 _집행갑지 _(경북)조사설계용역 예산내역서(원본)_지하차도_r_평택 설계변경내역(소하천)-도급률적용(1)" xfId="121"/>
    <cellStyle name="_적격 _집행갑지 _평택 설계변경내역(소하천)-도급률적용(1)" xfId="122"/>
    <cellStyle name="_적격 _평택 설계변경내역(소하천)-도급률적용(1)" xfId="123"/>
    <cellStyle name="_적격(화산) " xfId="124"/>
    <cellStyle name="_적격(화산) _(경북)조사설계용역 예산내역서(원본)_지하차도_r" xfId="125"/>
    <cellStyle name="_적격(화산) _(경북)조사설계용역 예산내역서(원본)_지하차도_r_평택 설계변경내역(소하천)-도급률적용(1)" xfId="126"/>
    <cellStyle name="_적격(화산) _평택 설계변경내역(소하천)-도급률적용(1)" xfId="127"/>
    <cellStyle name="_전기" xfId="1540"/>
    <cellStyle name="_전기공사 내역(근로복지공단)-88-051208" xfId="1541"/>
    <cellStyle name="_접근불능지역(최종)" xfId="1542"/>
    <cellStyle name="_정사사진제작을위한수치지도제작(1000)" xfId="1543"/>
    <cellStyle name="_정사영상제작_소프트웨어" xfId="1544"/>
    <cellStyle name="_정산설계내역서(양주신도시사업단사무소).xls" xfId="1545"/>
    <cellStyle name="_정산설계변경서(금강4교)ex(1)" xfId="1546"/>
    <cellStyle name="_정산설계변경서(별내주변도로-시내)" xfId="1547"/>
    <cellStyle name="_정읍시내역서_최종" xfId="1548"/>
    <cellStyle name="_제1보급창(총괄)" xfId="1549"/>
    <cellStyle name="_제1보급창SW유지보수(총괄)" xfId="1550"/>
    <cellStyle name="_제안견적서" xfId="1551"/>
    <cellStyle name="_제주시_운용소프트웨어개발" xfId="1552"/>
    <cellStyle name="_제천실시계획내역서-보고용조정" xfId="1553"/>
    <cellStyle name="_조달청_계약내역(기성1차)" xfId="128"/>
    <cellStyle name="_조사설계용역 및 관리용역 설계내역서" xfId="1554"/>
    <cellStyle name="_종합통제보안 견적(선도_KTN_토공)_20060206" xfId="1555"/>
    <cellStyle name="_주공_실행예산산출_040903_협상 (2)" xfId="1556"/>
    <cellStyle name="_지정과제1분기실적(확정990408)" xfId="129"/>
    <cellStyle name="_지정과제1분기실적(확정990408)_091110 안성천권역(중하류) 설계내역서" xfId="1557"/>
    <cellStyle name="_지정과제1분기실적(확정990408)_1" xfId="130"/>
    <cellStyle name="_지정과제1분기실적(확정990408)_100120 안성천권역(중하류) 2차분내역서" xfId="1558"/>
    <cellStyle name="_지정과제1분기실적(확정990408)_논산천 권역 하천기본계획 설계예산서" xfId="1559"/>
    <cellStyle name="_지정과제1분기실적(확정990408)_소양강 상류권역 하천기본계획(변경) 및 하천시설관리대장작성_Lidar측량" xfId="1560"/>
    <cellStyle name="_지정과제1분기실적(확정990408)_안양천 하천기본계획 예산서_보완중" xfId="1561"/>
    <cellStyle name="_지정과제1분기실적(확정990408)_안양천권역 하천기본계획 설계예산서" xfId="1562"/>
    <cellStyle name="_지정과제1분기실적(확정990408)_한강하류 하천기본계획 설계예산서(지형측량)" xfId="1563"/>
    <cellStyle name="_지정과제1분기실적(확정990408)_한강하류내역서_최종 (2)" xfId="1564"/>
    <cellStyle name="_지정과제2차심의list" xfId="131"/>
    <cellStyle name="_지정과제2차심의list_1" xfId="132"/>
    <cellStyle name="_지정과제2차심의list_2" xfId="133"/>
    <cellStyle name="_지정과제2차심의list_2_091110 안성천권역(중하류) 설계내역서" xfId="1605"/>
    <cellStyle name="_지정과제2차심의list_2_100120 안성천권역(중하류) 2차분내역서" xfId="1606"/>
    <cellStyle name="_지정과제2차심의list_2_논산천 권역 하천기본계획 설계예산서" xfId="1607"/>
    <cellStyle name="_지정과제2차심의list_2_소양강 상류권역 하천기본계획(변경) 및 하천시설관리대장작성_Lidar측량" xfId="1608"/>
    <cellStyle name="_지정과제2차심의list_2_안양천 하천기본계획 예산서_보완중" xfId="1609"/>
    <cellStyle name="_지정과제2차심의list_2_안양천권역 하천기본계획 설계예산서" xfId="1610"/>
    <cellStyle name="_지정과제2차심의list_2_한강하류 하천기본계획 설계예산서(지형측량)" xfId="1611"/>
    <cellStyle name="_지정과제2차심의list_2_한강하류내역서_최종 (2)" xfId="1612"/>
    <cellStyle name="_지정과제2차심의결과" xfId="134"/>
    <cellStyle name="_지정과제2차심의결과(금액조정후최종)" xfId="135"/>
    <cellStyle name="_지정과제2차심의결과(금액조정후최종)_091110 안성천권역(중하류) 설계내역서" xfId="1565"/>
    <cellStyle name="_지정과제2차심의결과(금액조정후최종)_1" xfId="136"/>
    <cellStyle name="_지정과제2차심의결과(금액조정후최종)_1_경영개선실적보고(전주공장)" xfId="137"/>
    <cellStyle name="_지정과제2차심의결과(금액조정후최종)_1_별첨1_2" xfId="138"/>
    <cellStyle name="_지정과제2차심의결과(금액조정후최종)_1_별첨1_2_091110 안성천권역(중하류) 설계내역서" xfId="1566"/>
    <cellStyle name="_지정과제2차심의결과(금액조정후최종)_1_별첨1_2_100120 안성천권역(중하류) 2차분내역서" xfId="1567"/>
    <cellStyle name="_지정과제2차심의결과(금액조정후최종)_1_별첨1_2_논산천 권역 하천기본계획 설계예산서" xfId="1568"/>
    <cellStyle name="_지정과제2차심의결과(금액조정후최종)_1_별첨1_2_소양강 상류권역 하천기본계획(변경) 및 하천시설관리대장작성_Lidar측량" xfId="1569"/>
    <cellStyle name="_지정과제2차심의결과(금액조정후최종)_1_별첨1_2_안양천 하천기본계획 예산서_보완중" xfId="1570"/>
    <cellStyle name="_지정과제2차심의결과(금액조정후최종)_1_별첨1_2_안양천권역 하천기본계획 설계예산서" xfId="1571"/>
    <cellStyle name="_지정과제2차심의결과(금액조정후최종)_1_별첨1_2_한강하류 하천기본계획 설계예산서(지형측량)" xfId="1572"/>
    <cellStyle name="_지정과제2차심의결과(금액조정후최종)_1_별첨1_2_한강하류내역서_최종 (2)" xfId="1573"/>
    <cellStyle name="_지정과제2차심의결과(금액조정후최종)_1_제안과제집계표(공장전체)" xfId="139"/>
    <cellStyle name="_지정과제2차심의결과(금액조정후최종)_100120 안성천권역(중하류) 2차분내역서" xfId="1574"/>
    <cellStyle name="_지정과제2차심의결과(금액조정후최종)_경영개선실적보고(전주공장)" xfId="140"/>
    <cellStyle name="_지정과제2차심의결과(금액조정후최종)_경영개선실적보고(전주공장)_091110 안성천권역(중하류) 설계내역서" xfId="1575"/>
    <cellStyle name="_지정과제2차심의결과(금액조정후최종)_경영개선실적보고(전주공장)_100120 안성천권역(중하류) 2차분내역서" xfId="1576"/>
    <cellStyle name="_지정과제2차심의결과(금액조정후최종)_경영개선실적보고(전주공장)_논산천 권역 하천기본계획 설계예산서" xfId="1577"/>
    <cellStyle name="_지정과제2차심의결과(금액조정후최종)_경영개선실적보고(전주공장)_소양강 상류권역 하천기본계획(변경) 및 하천시설관리대장작성_Lidar측량" xfId="1578"/>
    <cellStyle name="_지정과제2차심의결과(금액조정후최종)_경영개선실적보고(전주공장)_안양천 하천기본계획 예산서_보완중" xfId="1579"/>
    <cellStyle name="_지정과제2차심의결과(금액조정후최종)_경영개선실적보고(전주공장)_안양천권역 하천기본계획 설계예산서" xfId="1580"/>
    <cellStyle name="_지정과제2차심의결과(금액조정후최종)_경영개선실적보고(전주공장)_한강하류 하천기본계획 설계예산서(지형측량)" xfId="1581"/>
    <cellStyle name="_지정과제2차심의결과(금액조정후최종)_경영개선실적보고(전주공장)_한강하류내역서_최종 (2)" xfId="1582"/>
    <cellStyle name="_지정과제2차심의결과(금액조정후최종)_논산천 권역 하천기본계획 설계예산서" xfId="1583"/>
    <cellStyle name="_지정과제2차심의결과(금액조정후최종)_별첨1_2" xfId="141"/>
    <cellStyle name="_지정과제2차심의결과(금액조정후최종)_소양강 상류권역 하천기본계획(변경) 및 하천시설관리대장작성_Lidar측량" xfId="1584"/>
    <cellStyle name="_지정과제2차심의결과(금액조정후최종)_안양천 하천기본계획 예산서_보완중" xfId="1585"/>
    <cellStyle name="_지정과제2차심의결과(금액조정후최종)_안양천권역 하천기본계획 설계예산서" xfId="1586"/>
    <cellStyle name="_지정과제2차심의결과(금액조정후최종)_제안과제집계표(공장전체)" xfId="142"/>
    <cellStyle name="_지정과제2차심의결과(금액조정후최종)_제안과제집계표(공장전체)_091110 안성천권역(중하류) 설계내역서" xfId="1587"/>
    <cellStyle name="_지정과제2차심의결과(금액조정후최종)_제안과제집계표(공장전체)_100120 안성천권역(중하류) 2차분내역서" xfId="1588"/>
    <cellStyle name="_지정과제2차심의결과(금액조정후최종)_제안과제집계표(공장전체)_논산천 권역 하천기본계획 설계예산서" xfId="1589"/>
    <cellStyle name="_지정과제2차심의결과(금액조정후최종)_제안과제집계표(공장전체)_소양강 상류권역 하천기본계획(변경) 및 하천시설관리대장작성_Lidar측량" xfId="1590"/>
    <cellStyle name="_지정과제2차심의결과(금액조정후최종)_제안과제집계표(공장전체)_안양천 하천기본계획 예산서_보완중" xfId="1591"/>
    <cellStyle name="_지정과제2차심의결과(금액조정후최종)_제안과제집계표(공장전체)_안양천권역 하천기본계획 설계예산서" xfId="1592"/>
    <cellStyle name="_지정과제2차심의결과(금액조정후최종)_제안과제집계표(공장전체)_한강하류 하천기본계획 설계예산서(지형측량)" xfId="1593"/>
    <cellStyle name="_지정과제2차심의결과(금액조정후최종)_제안과제집계표(공장전체)_한강하류내역서_최종 (2)" xfId="1594"/>
    <cellStyle name="_지정과제2차심의결과(금액조정후최종)_한강하류 하천기본계획 설계예산서(지형측량)" xfId="1595"/>
    <cellStyle name="_지정과제2차심의결과(금액조정후최종)_한강하류내역서_최종 (2)" xfId="1596"/>
    <cellStyle name="_지정과제2차심의결과_091110 안성천권역(중하류) 설계내역서" xfId="1597"/>
    <cellStyle name="_지정과제2차심의결과_1" xfId="143"/>
    <cellStyle name="_지정과제2차심의결과_100120 안성천권역(중하류) 2차분내역서" xfId="1598"/>
    <cellStyle name="_지정과제2차심의결과_논산천 권역 하천기본계획 설계예산서" xfId="1599"/>
    <cellStyle name="_지정과제2차심의결과_소양강 상류권역 하천기본계획(변경) 및 하천시설관리대장작성_Lidar측량" xfId="1600"/>
    <cellStyle name="_지정과제2차심의결과_안양천 하천기본계획 예산서_보완중" xfId="1601"/>
    <cellStyle name="_지정과제2차심의결과_안양천권역 하천기본계획 설계예산서" xfId="1602"/>
    <cellStyle name="_지정과제2차심의결과_한강하류 하천기본계획 설계예산서(지형측량)" xfId="1603"/>
    <cellStyle name="_지정과제2차심의결과_한강하류내역서_최종 (2)" xfId="1604"/>
    <cellStyle name="_지질조사비(본댐좌우안)-2" xfId="144"/>
    <cellStyle name="_지하시설물(도로77㎞)측량설계10.31(최종)2급 15개" xfId="1613"/>
    <cellStyle name="_지하시설물_시스템_설계내역서" xfId="1614"/>
    <cellStyle name="_지하시설물DB용역 설계서(고읍)" xfId="1619"/>
    <cellStyle name="_지하시설물관리현장지원시스템구축 산출내역서_1.0" xfId="1615"/>
    <cellStyle name="_지하시설물구축총괄분" xfId="1616"/>
    <cellStyle name="_지하시설물통합관리설계내역서_1.0" xfId="1617"/>
    <cellStyle name="_지하시설물통합및굴착복구관리 설계내역서_1.1" xfId="1618"/>
    <cellStyle name="_지하통합 보완개발 예상비용_v1" xfId="1620"/>
    <cellStyle name="_진벌천 하천기본계획 내역서_52" xfId="1621"/>
    <cellStyle name="_진천관말 이토변설치설계" xfId="1622"/>
    <cellStyle name="_진천관말 이토변설치설계_댐직하류 하천정비(환경)사업 기본계획 및 실시설계용역-수공용" xfId="1623"/>
    <cellStyle name="_진천관말 이토변설치설계_댐직하류 하천정비(환경)사업 기본계획 및 실시설계용역-수공용_용담댐직하류 하천정비공사 설계예산서(남원작성)-" xfId="1624"/>
    <cellStyle name="_진천관말 이토변설치설계_댐직하류 하천정비(환경)사업 기본계획 및 실시설계용역-수공용_용담댐직하류 하천정비공사 설계예산서(남원작성)-_용담댐하류하천환경정비사업설계예산서(건희)" xfId="1625"/>
    <cellStyle name="_진천관말 이토변설치설계_댐직하류 하천정비(환경)사업 기본계획 및 실시설계용역-수공용_용담댐직하류 하천정비공사 설계예산서(남원작성)-_용담댐하류하천환경정비사업설계예산서(건희)_1) 신천금호강 종합개발 기본설계" xfId="1626"/>
    <cellStyle name="_진천관말 이토변설치설계_댐직하류 하천정비(환경)사업 기본계획 및 실시설계용역-수공용_용담댐직하류 하천정비공사 설계예산서(남원작성)-_용담댐하류하천환경정비사업설계예산서(건희)_2) 신천금호강 종합개발 동영상제작(변경최종)" xfId="1627"/>
    <cellStyle name="_진천관말 이토변설치설계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628"/>
    <cellStyle name="_진천관말 이토변설치설계_댐직하류 하천정비(환경)사업 기본계획 및 실시설계용역-수공용_용담댐직하류 하천정비공사 설계예산서(남원작성)-_용담댐하류하천환경정비사업설계예산서(건희)_설계내역서(신천-금호강)" xfId="1629"/>
    <cellStyle name="_진천관말 이토변설치설계_댐직하류 하천정비(환경)사업 기본계획 및 실시설계용역-수공용_용담댐직하류 하천정비공사 설계예산서(남원작성)-_용담댐하류하천환경정비사업설계예산서(건희)_설계내역서(전체)" xfId="1630"/>
    <cellStyle name="_진천관말 이토변설치설계_댐직하류 하천정비(환경)사업 기본계획 및 실시설계용역-수공용_용담댐직하류 하천정비공사 설계예산서(남원작성)-_용담댐하류하천환경정비사업설계예산서(건희)_신천금호강 종합개발 기본설계  내역서(수정분)" xfId="1631"/>
    <cellStyle name="_진천관말 이토변설치설계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632"/>
    <cellStyle name="_진천관말 이토변설치설계_댐직하류 하천정비(환경)사업 기본계획 및 실시설계용역-수공용_용담댐직하류 하천정비공사 설계예산서(남원작성)-_용담댐하류하천환경정비사업설계예산서(건희)_심사내역서" xfId="1633"/>
    <cellStyle name="_진천관말 이토변설치설계_댐직하류 하천정비(환경)사업 기본계획 및 실시설계용역-수공용_용담댐하류하천환경정비사업설계예산서(건희)" xfId="1634"/>
    <cellStyle name="_진천관말 이토변설치설계_댐직하류 하천정비(환경)사업 기본계획 및 실시설계용역-수공용_용담댐하류하천환경정비사업설계예산서(건희)_1) 신천금호강 종합개발 기본설계" xfId="1635"/>
    <cellStyle name="_진천관말 이토변설치설계_댐직하류 하천정비(환경)사업 기본계획 및 실시설계용역-수공용_용담댐하류하천환경정비사업설계예산서(건희)_2) 신천금호강 종합개발 동영상제작(변경최종)" xfId="1636"/>
    <cellStyle name="_진천관말 이토변설치설계_댐직하류 하천정비(환경)사업 기본계획 및 실시설계용역-수공용_용담댐하류하천환경정비사업설계예산서(건희)_3) 신천금호강 종합개발 산책로 실시설계(변경최종)" xfId="1637"/>
    <cellStyle name="_진천관말 이토변설치설계_댐직하류 하천정비(환경)사업 기본계획 및 실시설계용역-수공용_용담댐하류하천환경정비사업설계예산서(건희)_설계내역서(신천-금호강)" xfId="1638"/>
    <cellStyle name="_진천관말 이토변설치설계_댐직하류 하천정비(환경)사업 기본계획 및 실시설계용역-수공용_용담댐하류하천환경정비사업설계예산서(건희)_설계내역서(전체)" xfId="1639"/>
    <cellStyle name="_진천관말 이토변설치설계_댐직하류 하천정비(환경)사업 기본계획 및 실시설계용역-수공용_용담댐하류하천환경정비사업설계예산서(건희)_신천금호강 종합개발 기본설계  내역서(수정분)" xfId="1640"/>
    <cellStyle name="_진천관말 이토변설치설계_댐직하류 하천정비(환경)사업 기본계획 및 실시설계용역-수공용_용담댐하류하천환경정비사업설계예산서(건희)_신천금호강내역서(수정-보오링,사전재해및환경성제외,측량연장조정9(1).95억0726)" xfId="1641"/>
    <cellStyle name="_진천관말 이토변설치설계_댐직하류 하천정비(환경)사업 기본계획 및 실시설계용역-수공용_용담댐하류하천환경정비사업설계예산서(건희)_심사내역서" xfId="1642"/>
    <cellStyle name="_진천관말 이토변설치설계_용담댐하류하천환경정비사업설계예산서(건희)" xfId="1643"/>
    <cellStyle name="_진천관말 이토변설치설계_용담댐하류하천환경정비사업설계예산서(건희)_1) 신천금호강 종합개발 기본설계" xfId="1644"/>
    <cellStyle name="_진천관말 이토변설치설계_용담댐하류하천환경정비사업설계예산서(건희)_2) 신천금호강 종합개발 동영상제작(변경최종)" xfId="1645"/>
    <cellStyle name="_진천관말 이토변설치설계_용담댐하류하천환경정비사업설계예산서(건희)_3) 신천금호강 종합개발 산책로 실시설계(변경최종)" xfId="1646"/>
    <cellStyle name="_진천관말 이토변설치설계_용담댐하류하천환경정비사업설계예산서(건희)_설계내역서(신천-금호강)" xfId="1647"/>
    <cellStyle name="_진천관말 이토변설치설계_용담댐하류하천환경정비사업설계예산서(건희)_설계내역서(전체)" xfId="1648"/>
    <cellStyle name="_진천관말 이토변설치설계_용담댐하류하천환경정비사업설계예산서(건희)_신천금호강 종합개발 기본설계  내역서(수정분)" xfId="1649"/>
    <cellStyle name="_진천관말 이토변설치설계_용담댐하류하천환경정비사업설계예산서(건희)_신천금호강내역서(수정-보오링,사전재해및환경성제외,측량연장조정9(1).95억0726)" xfId="1650"/>
    <cellStyle name="_진천관말 이토변설치설계_용담댐하류하천환경정비사업설계예산서(건희)_심사내역서" xfId="1651"/>
    <cellStyle name="_집중관리(981231)" xfId="145"/>
    <cellStyle name="_집중관리(981231)_1" xfId="146"/>
    <cellStyle name="_집중관리(981231)_1_091110 안성천권역(중하류) 설계내역서" xfId="1652"/>
    <cellStyle name="_집중관리(981231)_1_100120 안성천권역(중하류) 2차분내역서" xfId="1653"/>
    <cellStyle name="_집중관리(981231)_1_논산천 권역 하천기본계획 설계예산서" xfId="1654"/>
    <cellStyle name="_집중관리(981231)_1_소양강 상류권역 하천기본계획(변경) 및 하천시설관리대장작성_Lidar측량" xfId="1655"/>
    <cellStyle name="_집중관리(981231)_1_안양천 하천기본계획 예산서_보완중" xfId="1656"/>
    <cellStyle name="_집중관리(981231)_1_안양천권역 하천기본계획 설계예산서" xfId="1657"/>
    <cellStyle name="_집중관리(981231)_1_한강하류 하천기본계획 설계예산서(지형측량)" xfId="1658"/>
    <cellStyle name="_집중관리(981231)_1_한강하류내역서_최종 (2)" xfId="1659"/>
    <cellStyle name="_집중관리(지정과제및 양식)" xfId="147"/>
    <cellStyle name="_집중관리(지정과제및 양식)_091110 안성천권역(중하류) 설계내역서" xfId="1660"/>
    <cellStyle name="_집중관리(지정과제및 양식)_1" xfId="148"/>
    <cellStyle name="_집중관리(지정과제및 양식)_100120 안성천권역(중하류) 2차분내역서" xfId="1661"/>
    <cellStyle name="_집중관리(지정과제및 양식)_논산천 권역 하천기본계획 설계예산서" xfId="1662"/>
    <cellStyle name="_집중관리(지정과제및 양식)_소양강 상류권역 하천기본계획(변경) 및 하천시설관리대장작성_Lidar측량" xfId="1663"/>
    <cellStyle name="_집중관리(지정과제및 양식)_안양천 하천기본계획 예산서_보완중" xfId="1664"/>
    <cellStyle name="_집중관리(지정과제및 양식)_안양천권역 하천기본계획 설계예산서" xfId="1665"/>
    <cellStyle name="_집중관리(지정과제및 양식)_한강하류 하천기본계획 설계예산서(지형측량)" xfId="1666"/>
    <cellStyle name="_집중관리(지정과제및 양식)_한강하류내역서_최종 (2)" xfId="1667"/>
    <cellStyle name="_집행(1)" xfId="1668"/>
    <cellStyle name="_집행(1)_간이배수펌프장설치에 따른 타당성용역내역" xfId="1669"/>
    <cellStyle name="_집행(1)_선정안(삼산)" xfId="1670"/>
    <cellStyle name="_집행(1)_선정안(삼산)_간이배수펌프장설치에 따른 타당성용역내역" xfId="1671"/>
    <cellStyle name="_집행(1)_추풍령" xfId="1672"/>
    <cellStyle name="_집행(1)_추풍령_간이배수펌프장설치에 따른 타당성용역내역" xfId="1673"/>
    <cellStyle name="_집행(1)_추풍령-1" xfId="1674"/>
    <cellStyle name="_집행(1)_추풍령-1_간이배수펌프장설치에 따른 타당성용역내역" xfId="1675"/>
    <cellStyle name="_집행(2)" xfId="1676"/>
    <cellStyle name="_집행(2)_간이배수펌프장설치에 따른 타당성용역내역" xfId="1677"/>
    <cellStyle name="_집행(2)_선정안(삼산)" xfId="1678"/>
    <cellStyle name="_집행(2)_선정안(삼산)_간이배수펌프장설치에 따른 타당성용역내역" xfId="1679"/>
    <cellStyle name="_집행(2)_추풍령" xfId="1680"/>
    <cellStyle name="_집행(2)_추풍령_간이배수펌프장설치에 따른 타당성용역내역" xfId="1681"/>
    <cellStyle name="_집행(2)_추풍령-1" xfId="1682"/>
    <cellStyle name="_집행(2)_추풍령-1_간이배수펌프장설치에 따른 타당성용역내역" xfId="1683"/>
    <cellStyle name="_집행갑지 " xfId="149"/>
    <cellStyle name="_집행갑지 _(경북)조사설계용역 예산내역서(원본)_지하차도_r" xfId="150"/>
    <cellStyle name="_집행갑지 _(경북)조사설계용역 예산내역서(원본)_지하차도_r_평택 설계변경내역(소하천)-도급률적용(1)" xfId="151"/>
    <cellStyle name="_집행갑지 _평택 설계변경내역(소하천)-도급률적용(1)" xfId="152"/>
    <cellStyle name="_차집수량총괄서" xfId="1684"/>
    <cellStyle name="_차집수량총괄서_댐직하류 하천정비(환경)사업 기본계획 및 실시설계용역-수공용" xfId="1685"/>
    <cellStyle name="_차집수량총괄서_댐직하류 하천정비(환경)사업 기본계획 및 실시설계용역-수공용_용담댐직하류 하천정비공사 설계예산서(남원작성)-" xfId="1686"/>
    <cellStyle name="_차집수량총괄서_댐직하류 하천정비(환경)사업 기본계획 및 실시설계용역-수공용_용담댐직하류 하천정비공사 설계예산서(남원작성)-_용담댐하류하천환경정비사업설계예산서(건희)" xfId="1687"/>
    <cellStyle name="_차집수량총괄서_댐직하류 하천정비(환경)사업 기본계획 및 실시설계용역-수공용_용담댐직하류 하천정비공사 설계예산서(남원작성)-_용담댐하류하천환경정비사업설계예산서(건희)_1) 신천금호강 종합개발 기본설계" xfId="1688"/>
    <cellStyle name="_차집수량총괄서_댐직하류 하천정비(환경)사업 기본계획 및 실시설계용역-수공용_용담댐직하류 하천정비공사 설계예산서(남원작성)-_용담댐하류하천환경정비사업설계예산서(건희)_2) 신천금호강 종합개발 동영상제작(변경최종)" xfId="1689"/>
    <cellStyle name="_차집수량총괄서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690"/>
    <cellStyle name="_차집수량총괄서_댐직하류 하천정비(환경)사업 기본계획 및 실시설계용역-수공용_용담댐직하류 하천정비공사 설계예산서(남원작성)-_용담댐하류하천환경정비사업설계예산서(건희)_설계내역서(신천-금호강)" xfId="1691"/>
    <cellStyle name="_차집수량총괄서_댐직하류 하천정비(환경)사업 기본계획 및 실시설계용역-수공용_용담댐직하류 하천정비공사 설계예산서(남원작성)-_용담댐하류하천환경정비사업설계예산서(건희)_설계내역서(전체)" xfId="1692"/>
    <cellStyle name="_차집수량총괄서_댐직하류 하천정비(환경)사업 기본계획 및 실시설계용역-수공용_용담댐직하류 하천정비공사 설계예산서(남원작성)-_용담댐하류하천환경정비사업설계예산서(건희)_신천금호강 종합개발 기본설계  내역서(수정분)" xfId="1693"/>
    <cellStyle name="_차집수량총괄서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694"/>
    <cellStyle name="_차집수량총괄서_댐직하류 하천정비(환경)사업 기본계획 및 실시설계용역-수공용_용담댐직하류 하천정비공사 설계예산서(남원작성)-_용담댐하류하천환경정비사업설계예산서(건희)_심사내역서" xfId="1695"/>
    <cellStyle name="_차집수량총괄서_댐직하류 하천정비(환경)사업 기본계획 및 실시설계용역-수공용_용담댐하류하천환경정비사업설계예산서(건희)" xfId="1696"/>
    <cellStyle name="_차집수량총괄서_댐직하류 하천정비(환경)사업 기본계획 및 실시설계용역-수공용_용담댐하류하천환경정비사업설계예산서(건희)_1) 신천금호강 종합개발 기본설계" xfId="1697"/>
    <cellStyle name="_차집수량총괄서_댐직하류 하천정비(환경)사업 기본계획 및 실시설계용역-수공용_용담댐하류하천환경정비사업설계예산서(건희)_2) 신천금호강 종합개발 동영상제작(변경최종)" xfId="1698"/>
    <cellStyle name="_차집수량총괄서_댐직하류 하천정비(환경)사업 기본계획 및 실시설계용역-수공용_용담댐하류하천환경정비사업설계예산서(건희)_3) 신천금호강 종합개발 산책로 실시설계(변경최종)" xfId="1699"/>
    <cellStyle name="_차집수량총괄서_댐직하류 하천정비(환경)사업 기본계획 및 실시설계용역-수공용_용담댐하류하천환경정비사업설계예산서(건희)_설계내역서(신천-금호강)" xfId="1700"/>
    <cellStyle name="_차집수량총괄서_댐직하류 하천정비(환경)사업 기본계획 및 실시설계용역-수공용_용담댐하류하천환경정비사업설계예산서(건희)_설계내역서(전체)" xfId="1701"/>
    <cellStyle name="_차집수량총괄서_댐직하류 하천정비(환경)사업 기본계획 및 실시설계용역-수공용_용담댐하류하천환경정비사업설계예산서(건희)_신천금호강 종합개발 기본설계  내역서(수정분)" xfId="1702"/>
    <cellStyle name="_차집수량총괄서_댐직하류 하천정비(환경)사업 기본계획 및 실시설계용역-수공용_용담댐하류하천환경정비사업설계예산서(건희)_신천금호강내역서(수정-보오링,사전재해및환경성제외,측량연장조정9(1).95억0726)" xfId="1703"/>
    <cellStyle name="_차집수량총괄서_댐직하류 하천정비(환경)사업 기본계획 및 실시설계용역-수공용_용담댐하류하천환경정비사업설계예산서(건희)_심사내역서" xfId="1704"/>
    <cellStyle name="_차집수량총괄서_용담댐하류하천환경정비사업설계예산서(건희)" xfId="1705"/>
    <cellStyle name="_차집수량총괄서_용담댐하류하천환경정비사업설계예산서(건희)_1) 신천금호강 종합개발 기본설계" xfId="1706"/>
    <cellStyle name="_차집수량총괄서_용담댐하류하천환경정비사업설계예산서(건희)_2) 신천금호강 종합개발 동영상제작(변경최종)" xfId="1707"/>
    <cellStyle name="_차집수량총괄서_용담댐하류하천환경정비사업설계예산서(건희)_3) 신천금호강 종합개발 산책로 실시설계(변경최종)" xfId="1708"/>
    <cellStyle name="_차집수량총괄서_용담댐하류하천환경정비사업설계예산서(건희)_설계내역서(신천-금호강)" xfId="1709"/>
    <cellStyle name="_차집수량총괄서_용담댐하류하천환경정비사업설계예산서(건희)_설계내역서(전체)" xfId="1710"/>
    <cellStyle name="_차집수량총괄서_용담댐하류하천환경정비사업설계예산서(건희)_신천금호강 종합개발 기본설계  내역서(수정분)" xfId="1711"/>
    <cellStyle name="_차집수량총괄서_용담댐하류하천환경정비사업설계예산서(건희)_신천금호강내역서(수정-보오링,사전재해및환경성제외,측량연장조정9(1).95억0726)" xfId="1712"/>
    <cellStyle name="_차집수량총괄서_용담댐하류하천환경정비사업설계예산서(건희)_심사내역서" xfId="1713"/>
    <cellStyle name="_창원 북면지역 도시개발사업(감계)" xfId="153"/>
    <cellStyle name="_창원 북면지역 도시개발사업(동전)" xfId="154"/>
    <cellStyle name="_창원 북면지역 도시개발사업(무동)" xfId="1714"/>
    <cellStyle name="_창원 북면지역 도시개발사업(신방)" xfId="1715"/>
    <cellStyle name="_청주도시기본계획 변경설계서(최종)" xfId="1716"/>
    <cellStyle name="_총괄단가산출근거표" xfId="1717"/>
    <cellStyle name="_총괄최종내역" xfId="1718"/>
    <cellStyle name="_최종원가(GIS)" xfId="1723"/>
    <cellStyle name="_최종원가(기반시설)" xfId="1719"/>
    <cellStyle name="_최종원가(방범)" xfId="1720"/>
    <cellStyle name="_최종원가(인테리어)" xfId="1721"/>
    <cellStyle name="_최종원가(종합보안)" xfId="1722"/>
    <cellStyle name="_충주댐초소설치공사(변경설계서,최종)" xfId="1724"/>
    <cellStyle name="_충주댐초소설치공사(변경설계서,최종)_댐직하류 하천정비(환경)사업 기본계획 및 실시설계용역-수공용" xfId="1725"/>
    <cellStyle name="_충주댐초소설치공사(변경설계서,최종)_댐직하류 하천정비(환경)사업 기본계획 및 실시설계용역-수공용_용담댐직하류 하천정비공사 설계예산서(남원작성)-" xfId="1726"/>
    <cellStyle name="_충주댐초소설치공사(변경설계서,최종)_댐직하류 하천정비(환경)사업 기본계획 및 실시설계용역-수공용_용담댐직하류 하천정비공사 설계예산서(남원작성)-_용담댐하류하천환경정비사업설계예산서(건희)" xfId="1727"/>
    <cellStyle name="_충주댐초소설치공사(변경설계서,최종)_댐직하류 하천정비(환경)사업 기본계획 및 실시설계용역-수공용_용담댐직하류 하천정비공사 설계예산서(남원작성)-_용담댐하류하천환경정비사업설계예산서(건희)_1) 신천금호강 종합개발 기본설계" xfId="1728"/>
    <cellStyle name="_충주댐초소설치공사(변경설계서,최종)_댐직하류 하천정비(환경)사업 기본계획 및 실시설계용역-수공용_용담댐직하류 하천정비공사 설계예산서(남원작성)-_용담댐하류하천환경정비사업설계예산서(건희)_2) 신천금호강 종합개발 동영상제작(변경최종)" xfId="1729"/>
    <cellStyle name="_충주댐초소설치공사(변경설계서,최종)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730"/>
    <cellStyle name="_충주댐초소설치공사(변경설계서,최종)_댐직하류 하천정비(환경)사업 기본계획 및 실시설계용역-수공용_용담댐직하류 하천정비공사 설계예산서(남원작성)-_용담댐하류하천환경정비사업설계예산서(건희)_설계내역서(신천-금호강)" xfId="1731"/>
    <cellStyle name="_충주댐초소설치공사(변경설계서,최종)_댐직하류 하천정비(환경)사업 기본계획 및 실시설계용역-수공용_용담댐직하류 하천정비공사 설계예산서(남원작성)-_용담댐하류하천환경정비사업설계예산서(건희)_설계내역서(전체)" xfId="1732"/>
    <cellStyle name="_충주댐초소설치공사(변경설계서,최종)_댐직하류 하천정비(환경)사업 기본계획 및 실시설계용역-수공용_용담댐직하류 하천정비공사 설계예산서(남원작성)-_용담댐하류하천환경정비사업설계예산서(건희)_신천금호강 종합개발 기본설계  내역서(수정분)" xfId="1733"/>
    <cellStyle name="_충주댐초소설치공사(변경설계서,최종)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734"/>
    <cellStyle name="_충주댐초소설치공사(변경설계서,최종)_댐직하류 하천정비(환경)사업 기본계획 및 실시설계용역-수공용_용담댐직하류 하천정비공사 설계예산서(남원작성)-_용담댐하류하천환경정비사업설계예산서(건희)_심사내역서" xfId="1735"/>
    <cellStyle name="_충주댐초소설치공사(변경설계서,최종)_댐직하류 하천정비(환경)사업 기본계획 및 실시설계용역-수공용_용담댐하류하천환경정비사업설계예산서(건희)" xfId="1736"/>
    <cellStyle name="_충주댐초소설치공사(변경설계서,최종)_댐직하류 하천정비(환경)사업 기본계획 및 실시설계용역-수공용_용담댐하류하천환경정비사업설계예산서(건희)_1) 신천금호강 종합개발 기본설계" xfId="1737"/>
    <cellStyle name="_충주댐초소설치공사(변경설계서,최종)_댐직하류 하천정비(환경)사업 기본계획 및 실시설계용역-수공용_용담댐하류하천환경정비사업설계예산서(건희)_2) 신천금호강 종합개발 동영상제작(변경최종)" xfId="1738"/>
    <cellStyle name="_충주댐초소설치공사(변경설계서,최종)_댐직하류 하천정비(환경)사업 기본계획 및 실시설계용역-수공용_용담댐하류하천환경정비사업설계예산서(건희)_3) 신천금호강 종합개발 산책로 실시설계(변경최종)" xfId="1739"/>
    <cellStyle name="_충주댐초소설치공사(변경설계서,최종)_댐직하류 하천정비(환경)사업 기본계획 및 실시설계용역-수공용_용담댐하류하천환경정비사업설계예산서(건희)_설계내역서(신천-금호강)" xfId="1740"/>
    <cellStyle name="_충주댐초소설치공사(변경설계서,최종)_댐직하류 하천정비(환경)사업 기본계획 및 실시설계용역-수공용_용담댐하류하천환경정비사업설계예산서(건희)_설계내역서(전체)" xfId="1741"/>
    <cellStyle name="_충주댐초소설치공사(변경설계서,최종)_댐직하류 하천정비(환경)사업 기본계획 및 실시설계용역-수공용_용담댐하류하천환경정비사업설계예산서(건희)_신천금호강 종합개발 기본설계  내역서(수정분)" xfId="1742"/>
    <cellStyle name="_충주댐초소설치공사(변경설계서,최종)_댐직하류 하천정비(환경)사업 기본계획 및 실시설계용역-수공용_용담댐하류하천환경정비사업설계예산서(건희)_신천금호강내역서(수정-보오링,사전재해및환경성제외,측량연장조정9(1).95억0726)" xfId="1743"/>
    <cellStyle name="_충주댐초소설치공사(변경설계서,최종)_댐직하류 하천정비(환경)사업 기본계획 및 실시설계용역-수공용_용담댐하류하천환경정비사업설계예산서(건희)_심사내역서" xfId="1744"/>
    <cellStyle name="_충주댐초소설치공사(변경설계서,최종)_용담댐하류하천환경정비사업설계예산서(건희)" xfId="1745"/>
    <cellStyle name="_충주댐초소설치공사(변경설계서,최종)_용담댐하류하천환경정비사업설계예산서(건희)_1) 신천금호강 종합개발 기본설계" xfId="1746"/>
    <cellStyle name="_충주댐초소설치공사(변경설계서,최종)_용담댐하류하천환경정비사업설계예산서(건희)_2) 신천금호강 종합개발 동영상제작(변경최종)" xfId="1747"/>
    <cellStyle name="_충주댐초소설치공사(변경설계서,최종)_용담댐하류하천환경정비사업설계예산서(건희)_3) 신천금호강 종합개발 산책로 실시설계(변경최종)" xfId="1748"/>
    <cellStyle name="_충주댐초소설치공사(변경설계서,최종)_용담댐하류하천환경정비사업설계예산서(건희)_설계내역서(신천-금호강)" xfId="1749"/>
    <cellStyle name="_충주댐초소설치공사(변경설계서,최종)_용담댐하류하천환경정비사업설계예산서(건희)_설계내역서(전체)" xfId="1750"/>
    <cellStyle name="_충주댐초소설치공사(변경설계서,최종)_용담댐하류하천환경정비사업설계예산서(건희)_신천금호강 종합개발 기본설계  내역서(수정분)" xfId="1751"/>
    <cellStyle name="_충주댐초소설치공사(변경설계서,최종)_용담댐하류하천환경정비사업설계예산서(건희)_신천금호강내역서(수정-보오링,사전재해및환경성제외,측량연장조정9(1).95억0726)" xfId="1752"/>
    <cellStyle name="_충주댐초소설치공사(변경설계서,최종)_용담댐하류하천환경정비사업설계예산서(건희)_심사내역서" xfId="1753"/>
    <cellStyle name="_측량(항측,감계)" xfId="155"/>
    <cellStyle name="_측량(항측,동전)" xfId="156"/>
    <cellStyle name="_측량(항측,무동)" xfId="1754"/>
    <cellStyle name="_측량(항측,신방)" xfId="1755"/>
    <cellStyle name="_침수방지대책내역" xfId="1756"/>
    <cellStyle name="_코마스HW(1023)" xfId="1757"/>
    <cellStyle name="_터미널현장 토사반입(낙찰적용,시속35)" xfId="1758"/>
    <cellStyle name="_토류판 설치작업" xfId="1759"/>
    <cellStyle name="_토류판 설치작업_댐직하류 하천정비(환경)사업 기본계획 및 실시설계용역-수공용" xfId="1760"/>
    <cellStyle name="_토류판 설치작업_댐직하류 하천정비(환경)사업 기본계획 및 실시설계용역-수공용_용담댐직하류 하천정비공사 설계예산서(남원작성)-" xfId="1761"/>
    <cellStyle name="_토류판 설치작업_댐직하류 하천정비(환경)사업 기본계획 및 실시설계용역-수공용_용담댐직하류 하천정비공사 설계예산서(남원작성)-_용담댐하류하천환경정비사업설계예산서(건희)" xfId="1762"/>
    <cellStyle name="_토류판 설치작업_댐직하류 하천정비(환경)사업 기본계획 및 실시설계용역-수공용_용담댐직하류 하천정비공사 설계예산서(남원작성)-_용담댐하류하천환경정비사업설계예산서(건희)_1) 신천금호강 종합개발 기본설계" xfId="1763"/>
    <cellStyle name="_토류판 설치작업_댐직하류 하천정비(환경)사업 기본계획 및 실시설계용역-수공용_용담댐직하류 하천정비공사 설계예산서(남원작성)-_용담댐하류하천환경정비사업설계예산서(건희)_2) 신천금호강 종합개발 동영상제작(변경최종)" xfId="1764"/>
    <cellStyle name="_토류판 설치작업_댐직하류 하천정비(환경)사업 기본계획 및 실시설계용역-수공용_용담댐직하류 하천정비공사 설계예산서(남원작성)-_용담댐하류하천환경정비사업설계예산서(건희)_3) 신천금호강 종합개발 산책로 실시설계(변경최종)" xfId="1765"/>
    <cellStyle name="_토류판 설치작업_댐직하류 하천정비(환경)사업 기본계획 및 실시설계용역-수공용_용담댐직하류 하천정비공사 설계예산서(남원작성)-_용담댐하류하천환경정비사업설계예산서(건희)_설계내역서(신천-금호강)" xfId="1766"/>
    <cellStyle name="_토류판 설치작업_댐직하류 하천정비(환경)사업 기본계획 및 실시설계용역-수공용_용담댐직하류 하천정비공사 설계예산서(남원작성)-_용담댐하류하천환경정비사업설계예산서(건희)_설계내역서(전체)" xfId="1767"/>
    <cellStyle name="_토류판 설치작업_댐직하류 하천정비(환경)사업 기본계획 및 실시설계용역-수공용_용담댐직하류 하천정비공사 설계예산서(남원작성)-_용담댐하류하천환경정비사업설계예산서(건희)_신천금호강 종합개발 기본설계  내역서(수정분)" xfId="1768"/>
    <cellStyle name="_토류판 설치작업_댐직하류 하천정비(환경)사업 기본계획 및 실시설계용역-수공용_용담댐직하류 하천정비공사 설계예산서(남원작성)-_용담댐하류하천환경정비사업설계예산서(건희)_신천금호강내역서(수정-보오링,사전재해및환경성제외,측량연장조정9(1).95억0726)" xfId="1769"/>
    <cellStyle name="_토류판 설치작업_댐직하류 하천정비(환경)사업 기본계획 및 실시설계용역-수공용_용담댐직하류 하천정비공사 설계예산서(남원작성)-_용담댐하류하천환경정비사업설계예산서(건희)_심사내역서" xfId="1770"/>
    <cellStyle name="_토류판 설치작업_댐직하류 하천정비(환경)사업 기본계획 및 실시설계용역-수공용_용담댐하류하천환경정비사업설계예산서(건희)" xfId="1771"/>
    <cellStyle name="_토류판 설치작업_댐직하류 하천정비(환경)사업 기본계획 및 실시설계용역-수공용_용담댐하류하천환경정비사업설계예산서(건희)_1) 신천금호강 종합개발 기본설계" xfId="1772"/>
    <cellStyle name="_토류판 설치작업_댐직하류 하천정비(환경)사업 기본계획 및 실시설계용역-수공용_용담댐하류하천환경정비사업설계예산서(건희)_2) 신천금호강 종합개발 동영상제작(변경최종)" xfId="1773"/>
    <cellStyle name="_토류판 설치작업_댐직하류 하천정비(환경)사업 기본계획 및 실시설계용역-수공용_용담댐하류하천환경정비사업설계예산서(건희)_3) 신천금호강 종합개발 산책로 실시설계(변경최종)" xfId="1774"/>
    <cellStyle name="_토류판 설치작업_댐직하류 하천정비(환경)사업 기본계획 및 실시설계용역-수공용_용담댐하류하천환경정비사업설계예산서(건희)_설계내역서(신천-금호강)" xfId="1775"/>
    <cellStyle name="_토류판 설치작업_댐직하류 하천정비(환경)사업 기본계획 및 실시설계용역-수공용_용담댐하류하천환경정비사업설계예산서(건희)_설계내역서(전체)" xfId="1776"/>
    <cellStyle name="_토류판 설치작업_댐직하류 하천정비(환경)사업 기본계획 및 실시설계용역-수공용_용담댐하류하천환경정비사업설계예산서(건희)_신천금호강 종합개발 기본설계  내역서(수정분)" xfId="1777"/>
    <cellStyle name="_토류판 설치작업_댐직하류 하천정비(환경)사업 기본계획 및 실시설계용역-수공용_용담댐하류하천환경정비사업설계예산서(건희)_신천금호강내역서(수정-보오링,사전재해및환경성제외,측량연장조정9(1).95억0726)" xfId="1778"/>
    <cellStyle name="_토류판 설치작업_댐직하류 하천정비(환경)사업 기본계획 및 실시설계용역-수공용_용담댐하류하천환경정비사업설계예산서(건희)_심사내역서" xfId="1779"/>
    <cellStyle name="_토류판 설치작업_용담댐하류하천환경정비사업설계예산서(건희)" xfId="1780"/>
    <cellStyle name="_토류판 설치작업_용담댐하류하천환경정비사업설계예산서(건희)_1) 신천금호강 종합개발 기본설계" xfId="1781"/>
    <cellStyle name="_토류판 설치작업_용담댐하류하천환경정비사업설계예산서(건희)_2) 신천금호강 종합개발 동영상제작(변경최종)" xfId="1782"/>
    <cellStyle name="_토류판 설치작업_용담댐하류하천환경정비사업설계예산서(건희)_3) 신천금호강 종합개발 산책로 실시설계(변경최종)" xfId="1783"/>
    <cellStyle name="_토류판 설치작업_용담댐하류하천환경정비사업설계예산서(건희)_설계내역서(신천-금호강)" xfId="1784"/>
    <cellStyle name="_토류판 설치작업_용담댐하류하천환경정비사업설계예산서(건희)_설계내역서(전체)" xfId="1785"/>
    <cellStyle name="_토류판 설치작업_용담댐하류하천환경정비사업설계예산서(건희)_신천금호강 종합개발 기본설계  내역서(수정분)" xfId="1786"/>
    <cellStyle name="_토류판 설치작업_용담댐하류하천환경정비사업설계예산서(건희)_신천금호강내역서(수정-보오링,사전재해및환경성제외,측량연장조정9(1).95억0726)" xfId="1787"/>
    <cellStyle name="_토류판 설치작업_용담댐하류하천환경정비사업설계예산서(건희)_심사내역서" xfId="1788"/>
    <cellStyle name="_토질부문설계변경내역서" xfId="157"/>
    <cellStyle name="_토질조사(감계)" xfId="158"/>
    <cellStyle name="_토질조사(동전)" xfId="159"/>
    <cellStyle name="_토질조사(무동)" xfId="1789"/>
    <cellStyle name="_토질조사(신방)" xfId="1790"/>
    <cellStyle name="_토질조사내역서(부안)" xfId="160"/>
    <cellStyle name="_파주 GIS 시스템설계서(도로,상,하수 시스템)_050406" xfId="1791"/>
    <cellStyle name="_파주시_도로 및 상,하수 범용 도입_050314" xfId="1792"/>
    <cellStyle name="_평택시소하천종합계획재정비-3개하천(견적용)" xfId="161"/>
    <cellStyle name="_포스장비" xfId="1793"/>
    <cellStyle name="_표본설계" xfId="1794"/>
    <cellStyle name="_표본설계서" xfId="1795"/>
    <cellStyle name="_표시핀설치(ok)" xfId="1796"/>
    <cellStyle name="_하드웨어사양서" xfId="1797"/>
    <cellStyle name="_합의서" xfId="1798"/>
    <cellStyle name="_합의서_간이배수펌프장설치에 따른 타당성용역내역" xfId="1799"/>
    <cellStyle name="_합의서_선정안(삼산)" xfId="1800"/>
    <cellStyle name="_합의서_선정안(삼산)_간이배수펌프장설치에 따른 타당성용역내역" xfId="1801"/>
    <cellStyle name="_합의서_추풍령" xfId="1802"/>
    <cellStyle name="_합의서_추풍령_간이배수펌프장설치에 따른 타당성용역내역" xfId="1803"/>
    <cellStyle name="_합의서_추풍령-1" xfId="1804"/>
    <cellStyle name="_합의서_추풍령-1_간이배수펌프장설치에 따른 타당성용역내역" xfId="1805"/>
    <cellStyle name="_항공사진촬영,DB구축,수치표고자료구축,영상지도제작" xfId="1806"/>
    <cellStyle name="_항공사진측량-편집(1)" xfId="1807"/>
    <cellStyle name="_항공측량" xfId="1808"/>
    <cellStyle name="_항공측량(3(1).305㎢)" xfId="1809"/>
    <cellStyle name="_항공측량용역예산서-최종(지적빼고)1" xfId="1810"/>
    <cellStyle name="_항측(원가)" xfId="1811"/>
    <cellStyle name="_항측(한진재조정,05년04월버젼)" xfId="1812"/>
    <cellStyle name="_항측내역(5.15최종)" xfId="1813"/>
    <cellStyle name="_항측표본설계서" xfId="1814"/>
    <cellStyle name="_현대ENG-총괄" xfId="1815"/>
    <cellStyle name="_형산강내역서-지오씨엔아이-060221" xfId="1816"/>
    <cellStyle name="_호미지구 내역서" xfId="1817"/>
    <cellStyle name="_호수SS내역서040920" xfId="1818"/>
    <cellStyle name="_홍보관수량참고(특성화설계서)" xfId="1819"/>
    <cellStyle name="_홍제초 수목이식(2차)" xfId="162"/>
    <cellStyle name="_홍제토목" xfId="163"/>
    <cellStyle name="_홍천(노천1지구)-1공구" xfId="1820"/>
    <cellStyle name="_홍천(노천1지구)-1공구_2(변경)-토공" xfId="1821"/>
    <cellStyle name="_화성동탄내역서(0419)" xfId="164"/>
    <cellStyle name="_화천평화생태공원실시설계 내역서-1 (06.11.8)" xfId="1822"/>
    <cellStyle name="_환경평가(시흥군자지구)" xfId="165"/>
    <cellStyle name="_환평, 검토" xfId="1823"/>
    <cellStyle name="_흥덕지구_초기설계금액" xfId="1824"/>
    <cellStyle name="``" xfId="1907"/>
    <cellStyle name="´þ" xfId="166"/>
    <cellStyle name="´þ·¯" xfId="167"/>
    <cellStyle name="’E‰Y [0.00]_laroux" xfId="168"/>
    <cellStyle name="’E‰Y_laroux" xfId="169"/>
    <cellStyle name="¤@?e_TEST-1 " xfId="170"/>
    <cellStyle name="+,-,0" xfId="171"/>
    <cellStyle name="+,-,0 2" xfId="1908"/>
    <cellStyle name="=C:\WINDOWS\SYSTEM32\COMMAND.COM" xfId="1909"/>
    <cellStyle name="△ []" xfId="172"/>
    <cellStyle name="△ [] 2" xfId="1910"/>
    <cellStyle name="△ [0]" xfId="1911"/>
    <cellStyle name="△ [0] 2" xfId="1912"/>
    <cellStyle name="△백분율" xfId="1913"/>
    <cellStyle name="△콤마" xfId="1914"/>
    <cellStyle name="°ia¤¼o " xfId="173"/>
    <cellStyle name="°íá¤¼ò¼ýá¡" xfId="174"/>
    <cellStyle name="°ia¤aa " xfId="175"/>
    <cellStyle name="°íá¤ãâ·â1" xfId="176"/>
    <cellStyle name="°íá¤ãâ·â2" xfId="177"/>
    <cellStyle name="•W_laroux" xfId="1915"/>
    <cellStyle name="0" xfId="178"/>
    <cellStyle name="0 2" xfId="552"/>
    <cellStyle name="0 2 2" xfId="1916"/>
    <cellStyle name="0 3" xfId="1917"/>
    <cellStyle name="0.0" xfId="1918"/>
    <cellStyle name="0.00" xfId="1919"/>
    <cellStyle name="00" xfId="179"/>
    <cellStyle name="1" xfId="1920"/>
    <cellStyle name="1_시민계략공사" xfId="180"/>
    <cellStyle name="1_시민계략공사_전기-한남" xfId="181"/>
    <cellStyle name="10공/㎥" xfId="182"/>
    <cellStyle name="10공/㎥ 2" xfId="553"/>
    <cellStyle name="10공/㎥ 2 2" xfId="1921"/>
    <cellStyle name="10공/㎥ 3" xfId="1922"/>
    <cellStyle name="111" xfId="1923"/>
    <cellStyle name="¹e" xfId="1925"/>
    <cellStyle name="¹eº" xfId="1926"/>
    <cellStyle name="¹éº" xfId="1927"/>
    <cellStyle name="1월" xfId="1924"/>
    <cellStyle name="2)" xfId="1928"/>
    <cellStyle name="³?a" xfId="183"/>
    <cellStyle name="³¯â¥" xfId="184"/>
    <cellStyle name="315-4" xfId="1929"/>
    <cellStyle name="60" xfId="185"/>
    <cellStyle name="90" xfId="1930"/>
    <cellStyle name="a" xfId="186"/>
    <cellStyle name="a 2" xfId="554"/>
    <cellStyle name="a 2 2" xfId="2383"/>
    <cellStyle name="a 3" xfId="2384"/>
    <cellStyle name="a_1) 신천금호강 종합개발 기본설계" xfId="2385"/>
    <cellStyle name="a_2) 신천금호강 종합개발 동영상제작(변경최종)" xfId="2386"/>
    <cellStyle name="A_2회설변전체내역서" xfId="2387"/>
    <cellStyle name="A_2회설변전체내역서_침수방지대책내역" xfId="2388"/>
    <cellStyle name="a_3) 신천금호강 종합개발 산책로 실시설계(변경최종)" xfId="2389"/>
    <cellStyle name="a_김포예산서" xfId="187"/>
    <cellStyle name="a_김포예산서 2" xfId="555"/>
    <cellStyle name="a_김포예산서 2 2" xfId="2390"/>
    <cellStyle name="a_김포예산서 3" xfId="2391"/>
    <cellStyle name="A_대장천_도심생태복원사업_기본_및_실시설계용역_설계예산서(원내역)" xfId="2392"/>
    <cellStyle name="a_설계내역서(신천-금호강)" xfId="2393"/>
    <cellStyle name="a_설계내역서(전체)" xfId="2394"/>
    <cellStyle name="a_신천금호강 종합개발 기본설계  내역서(수정분)" xfId="2395"/>
    <cellStyle name="a_신천금호강내역서(수정-보오링,사전재해및환경성제외,측량연장조정9(1).95억0726)" xfId="2396"/>
    <cellStyle name="a_심사내역서" xfId="2397"/>
    <cellStyle name="A_일위대가양식" xfId="2398"/>
    <cellStyle name="A_일위대가양식_침수방지대책내역" xfId="2399"/>
    <cellStyle name="A_침수방지대책내역" xfId="2400"/>
    <cellStyle name="A_토목내역" xfId="2401"/>
    <cellStyle name="A_토목내역_침수방지대책내역" xfId="2402"/>
    <cellStyle name="A_황령산 봉수대 용역내역서" xfId="2403"/>
    <cellStyle name="A¨­￠￢￠O [0]_￠?i¡ieE¡ⓒ¡¤A ¡¾a¡¾￠￢A￠OA¡AC¡I" xfId="2404"/>
    <cellStyle name="A¨­￠￢￠O_￠?i¡ieE¡ⓒ¡¤A ¡¾a¡¾￠￢A￠OA¡AC¡I" xfId="2405"/>
    <cellStyle name="A1" xfId="188"/>
    <cellStyle name="AA" xfId="2406"/>
    <cellStyle name="Aⓒ" xfId="2407"/>
    <cellStyle name="Aⓒ­￠￢￠" xfId="2408"/>
    <cellStyle name="Ae" xfId="2409"/>
    <cellStyle name="Åë" xfId="2410"/>
    <cellStyle name="Aee­ " xfId="189"/>
    <cellStyle name="Aee­ [" xfId="2411"/>
    <cellStyle name="Åëè­ [" xfId="2412"/>
    <cellStyle name="AeE­ [0]_ 2ÆAAþº° " xfId="2413"/>
    <cellStyle name="ÅëÈ­ [0]_¸ðÇü¸·" xfId="2414"/>
    <cellStyle name="AeE­ [0]_¸ðCu¸·_00-한강하류내역서_발주내역서" xfId="2415"/>
    <cellStyle name="ÅëÈ­ [0]_¸ðÇü¸·_00-한강하류내역서_발주내역서" xfId="2416"/>
    <cellStyle name="AeE­ [0]_¸ðCu¸·_091110 안성천권역(중하류) 설계내역서" xfId="2417"/>
    <cellStyle name="ÅëÈ­ [0]_¸ðÇü¸·_091110 안성천권역(중하류) 설계내역서" xfId="2418"/>
    <cellStyle name="AeE­ [0]_¸ðCu¸·_100120 안성천권역(중하류) 2차분내역서" xfId="2419"/>
    <cellStyle name="ÅëÈ­ [0]_¸ðÇü¸·_100120 안성천권역(중하류) 2차분내역서" xfId="2420"/>
    <cellStyle name="AeE­ [0]_¸ðCu¸·_20100222 곡릉천권역내역서(변경)_지형현황측량" xfId="2421"/>
    <cellStyle name="ÅëÈ­ [0]_¸ðÇü¸·_논산천 권역 하천기본계획 설계예산서" xfId="2422"/>
    <cellStyle name="AeE­ [0]_¸ðCu¸·_소양강 상류권역 하천기본계획(변경) 및 하천시설관리대장작성_Lidar측량" xfId="2423"/>
    <cellStyle name="ÅëÈ­ [0]_¸ðÇü¸·_소양강 상류권역 하천기본계획(변경) 및 하천시설관리대장작성_Lidar측량" xfId="2424"/>
    <cellStyle name="AeE­ [0]_¸ðCu¸·_안양천권역 하천기본계획 설계예산서" xfId="2425"/>
    <cellStyle name="ÅëÈ­ [0]_¸ðÇü¸·_안양천권역 하천기본계획 설계예산서" xfId="2426"/>
    <cellStyle name="AeE­ [0]_¸ðCu¸·_한강하류 하천기본계획 설계예산서(지형측량)" xfId="2427"/>
    <cellStyle name="ÅëÈ­ [0]_¸ðÇü¸·_한강하류 하천기본계획 설계예산서(지형측량)" xfId="2428"/>
    <cellStyle name="AeE­ [0]_°eE¹_11¿a½A " xfId="190"/>
    <cellStyle name="ÅëÈ­ [0]_INQUIRY ¿µ¾÷ÃßÁø " xfId="2429"/>
    <cellStyle name="AeE­ [0]_INQUIRY ¿μ¾÷AßAø " xfId="2430"/>
    <cellStyle name="Åëè­ [0]_laro" xfId="2431"/>
    <cellStyle name="AeE­ [0]_º≫¼± ±æ¾i±uºI ¼o·R Ay°eC￥ " xfId="191"/>
    <cellStyle name="Aee­ _내역서(수해원인조사및분석)" xfId="2432"/>
    <cellStyle name="AeE­_ 2ÆAAþº° " xfId="2433"/>
    <cellStyle name="ÅëÈ­_¸ðÇü¸·" xfId="2434"/>
    <cellStyle name="AeE­_¸ðCu¸·_00-한강하류내역서_발주내역서" xfId="2435"/>
    <cellStyle name="ÅëÈ­_¸ðÇü¸·_00-한강하류내역서_발주내역서" xfId="2436"/>
    <cellStyle name="AeE­_¸ðCu¸·_091110 안성천권역(중하류) 설계내역서" xfId="2437"/>
    <cellStyle name="ÅëÈ­_¸ðÇü¸·_091110 안성천권역(중하류) 설계내역서" xfId="2438"/>
    <cellStyle name="AeE­_¸ðCu¸·_100120 안성천권역(중하류) 2차분내역서" xfId="2439"/>
    <cellStyle name="ÅëÈ­_¸ðÇü¸·_100120 안성천권역(중하류) 2차분내역서" xfId="2440"/>
    <cellStyle name="AeE­_¸ðCu¸·_20100222 곡릉천권역내역서(변경)_지형현황측량" xfId="2441"/>
    <cellStyle name="ÅëÈ­_¸ðÇü¸·_논산천 권역 하천기본계획 설계예산서" xfId="2442"/>
    <cellStyle name="AeE­_¸ðCu¸·_소양강 상류권역 하천기본계획(변경) 및 하천시설관리대장작성_Lidar측량" xfId="2443"/>
    <cellStyle name="ÅëÈ­_¸ðÇü¸·_소양강 상류권역 하천기본계획(변경) 및 하천시설관리대장작성_Lidar측량" xfId="2444"/>
    <cellStyle name="AeE­_¸ðCu¸·_안양천권역 하천기본계획 설계예산서" xfId="2445"/>
    <cellStyle name="ÅëÈ­_¸ðÇü¸·_안양천권역 하천기본계획 설계예산서" xfId="2446"/>
    <cellStyle name="AeE­_¸ðCu¸·_한강하류 하천기본계획 설계예산서(지형측량)" xfId="2447"/>
    <cellStyle name="ÅëÈ­_¸ðÇü¸·_한강하류 하천기본계획 설계예산서(지형측량)" xfId="2448"/>
    <cellStyle name="AeE­_°eE¹_11¿a½A " xfId="192"/>
    <cellStyle name="ÅëÈ­_INQUIRY ¿µ¾÷ÃßÁø " xfId="2449"/>
    <cellStyle name="AeE­_INQUIRY ¿μ¾÷AßAø " xfId="2450"/>
    <cellStyle name="Åëè­_laro" xfId="2451"/>
    <cellStyle name="AeE­_º≫¼± ±æ¾i±uºI ¼o·R Ay°eC￥ " xfId="193"/>
    <cellStyle name="Aee¡" xfId="2452"/>
    <cellStyle name="Aee¡ⓒ " xfId="2453"/>
    <cellStyle name="AeE¡ⓒ [0]_￠?i¡ieE¡ⓒ¡¤A ¡¾a¡¾￠￢A￠OA¡AC¡I" xfId="2454"/>
    <cellStyle name="AeE¡ⓒ_￠?i¡ieE¡ⓒ¡¤A ¡¾a¡¾￠￢A￠OA¡AC¡I" xfId="2455"/>
    <cellStyle name="Æu¼ " xfId="194"/>
    <cellStyle name="Æû¼¾æ®" xfId="195"/>
    <cellStyle name="ALIGNMENT" xfId="196"/>
    <cellStyle name="Aþ" xfId="2456"/>
    <cellStyle name="Äþ" xfId="2457"/>
    <cellStyle name="Aþ¸" xfId="2458"/>
    <cellStyle name="Aþ¸¶ [" xfId="2459"/>
    <cellStyle name="Äþ¸¶ [" xfId="2460"/>
    <cellStyle name="AÞ¸¶ [0]_ 2ÆAAþº° " xfId="2461"/>
    <cellStyle name="ÄÞ¸¶ [0]_¸ðÇü¸·" xfId="2462"/>
    <cellStyle name="AÞ¸¶ [0]_¸ðCu¸·_00-한강하류내역서_발주내역서" xfId="2463"/>
    <cellStyle name="ÄÞ¸¶ [0]_¸ðÇü¸·_00-한강하류내역서_발주내역서" xfId="2464"/>
    <cellStyle name="AÞ¸¶ [0]_¸ðCu¸·_091110 안성천권역(중하류) 설계내역서" xfId="2465"/>
    <cellStyle name="ÄÞ¸¶ [0]_¸ðÇü¸·_091110 안성천권역(중하류) 설계내역서" xfId="2466"/>
    <cellStyle name="AÞ¸¶ [0]_¸ðCu¸·_100120 안성천권역(중하류) 2차분내역서" xfId="2467"/>
    <cellStyle name="ÄÞ¸¶ [0]_¸ðÇü¸·_100120 안성천권역(중하류) 2차분내역서" xfId="2468"/>
    <cellStyle name="AÞ¸¶ [0]_¸ðCu¸·_논산천 권역 하천기본계획 설계예산서" xfId="2469"/>
    <cellStyle name="ÄÞ¸¶ [0]_¸ðÇü¸·_논산천 권역 하천기본계획 설계예산서" xfId="2470"/>
    <cellStyle name="AÞ¸¶ [0]_¸ðCu¸·_소양강 상류권역 하천기본계획(변경) 및 하천시설관리대장작성_Lidar측량" xfId="2471"/>
    <cellStyle name="ÄÞ¸¶ [0]_¸ðÇü¸·_소양강 상류권역 하천기본계획(변경) 및 하천시설관리대장작성_Lidar측량" xfId="2472"/>
    <cellStyle name="AÞ¸¶ [0]_¸ðCu¸·_안양천권역 하천기본계획 설계예산서" xfId="2473"/>
    <cellStyle name="ÄÞ¸¶ [0]_¸ðÇü¸·_안양천권역 하천기본계획 설계예산서" xfId="2474"/>
    <cellStyle name="AÞ¸¶ [0]_¸ðCu¸·_한강하류 하천기본계획 설계예산서(지형측량)" xfId="2475"/>
    <cellStyle name="ÄÞ¸¶ [0]_¸ðÇü¸·_한강하류 하천기본계획 설계예산서(지형측량)" xfId="2476"/>
    <cellStyle name="AÞ¸¶ [0]_°eE¹_11¿a½A " xfId="197"/>
    <cellStyle name="ÄÞ¸¶ [0]_INQUIRY ¿µ¾÷ÃßÁø " xfId="2477"/>
    <cellStyle name="AÞ¸¶ [0]_INQUIRY ¿μ¾÷AßAø " xfId="2478"/>
    <cellStyle name="Äþ¸¶ [0]_laro" xfId="2479"/>
    <cellStyle name="AÞ¸¶ [0]_º≫¼± ±æ¾i±uºI ¼o·R Ay°eC￥ " xfId="198"/>
    <cellStyle name="AÞ¸¶_ 2ÆAAþº° " xfId="2480"/>
    <cellStyle name="ÄÞ¸¶_¸ðÇü¸·" xfId="2481"/>
    <cellStyle name="AÞ¸¶_¸ðCu¸·_00-한강하류내역서_발주내역서" xfId="2482"/>
    <cellStyle name="ÄÞ¸¶_¸ðÇü¸·_00-한강하류내역서_발주내역서" xfId="2483"/>
    <cellStyle name="AÞ¸¶_¸ðCu¸·_091110 안성천권역(중하류) 설계내역서" xfId="2484"/>
    <cellStyle name="ÄÞ¸¶_¸ðÇü¸·_091110 안성천권역(중하류) 설계내역서" xfId="2485"/>
    <cellStyle name="AÞ¸¶_¸ðCu¸·_100120 안성천권역(중하류) 2차분내역서" xfId="2486"/>
    <cellStyle name="ÄÞ¸¶_¸ðÇü¸·_100120 안성천권역(중하류) 2차분내역서" xfId="2487"/>
    <cellStyle name="AÞ¸¶_¸ðCu¸·_논산천 권역 하천기본계획 설계예산서" xfId="2488"/>
    <cellStyle name="ÄÞ¸¶_¸ðÇü¸·_논산천 권역 하천기본계획 설계예산서" xfId="2489"/>
    <cellStyle name="AÞ¸¶_¸ðCu¸·_소양강 상류권역 하천기본계획(변경) 및 하천시설관리대장작성_Lidar측량" xfId="2490"/>
    <cellStyle name="ÄÞ¸¶_¸ðÇü¸·_소양강 상류권역 하천기본계획(변경) 및 하천시설관리대장작성_Lidar측량" xfId="2491"/>
    <cellStyle name="AÞ¸¶_¸ðCu¸·_안양천권역 하천기본계획 설계예산서" xfId="2492"/>
    <cellStyle name="ÄÞ¸¶_¸ðÇü¸·_안양천권역 하천기본계획 설계예산서" xfId="2493"/>
    <cellStyle name="AÞ¸¶_¸ðCu¸·_한강하류 하천기본계획 설계예산서(지형측량)" xfId="2494"/>
    <cellStyle name="ÄÞ¸¶_¸ðÇü¸·_한강하류 하천기본계획 설계예산서(지형측량)" xfId="2495"/>
    <cellStyle name="AÞ¸¶_°eE¹_11¿a½A " xfId="199"/>
    <cellStyle name="ÄÞ¸¶_INQUIRY ¿µ¾÷ÃßÁø " xfId="2496"/>
    <cellStyle name="AÞ¸¶_INQUIRY ¿μ¾÷AßAø " xfId="2497"/>
    <cellStyle name="Äþ¸¶_laro" xfId="2498"/>
    <cellStyle name="AÞ¸¶_º≫¼± ±æ¾i±uºI ¼o·R Ay°eC￥ " xfId="200"/>
    <cellStyle name="Àú¸®¼ö" xfId="201"/>
    <cellStyle name="Àú¸®¼ö0" xfId="202"/>
    <cellStyle name="Au¸r " xfId="203"/>
    <cellStyle name="Au¸r¼" xfId="204"/>
    <cellStyle name="_x0001_b" xfId="2499"/>
    <cellStyle name="BA" xfId="2500"/>
    <cellStyle name="body" xfId="2501"/>
    <cellStyle name="C" xfId="2502"/>
    <cellStyle name="C_2회설변전체내역서" xfId="2503"/>
    <cellStyle name="C_2회설변전체내역서_침수방지대책내역" xfId="2504"/>
    <cellStyle name="C_일위대가양식" xfId="2505"/>
    <cellStyle name="C_일위대가양식_침수방지대책내역" xfId="2506"/>
    <cellStyle name="C_침수방지대책내역" xfId="2507"/>
    <cellStyle name="C_토목내역" xfId="2508"/>
    <cellStyle name="C_토목내역_침수방지대책내역" xfId="2509"/>
    <cellStyle name="C_황령산 봉수대 용역내역서" xfId="2510"/>
    <cellStyle name="C¡" xfId="2511"/>
    <cellStyle name="C¡IA¨ª_¡ic¨u¡A¨￢I¨￢¡Æ AN¡Æe " xfId="205"/>
    <cellStyle name="C￥" xfId="2512"/>
    <cellStyle name="Ç¥" xfId="2513"/>
    <cellStyle name="C￥AØ_  FAB AIA¤  " xfId="2514"/>
    <cellStyle name="Ç¥ÁØ_¸ðÇü¸·" xfId="2515"/>
    <cellStyle name="C￥AØ_¿ø°¡Aoa" xfId="2516"/>
    <cellStyle name="Ç¥ÁØ_»ç¾÷ºÎº° ÃÑ°è " xfId="2517"/>
    <cellStyle name="C￥AØ_≫c¾÷ºIº° AN°e " xfId="2518"/>
    <cellStyle name="Ç¥ÁØ_°­´ç (2)" xfId="2519"/>
    <cellStyle name="C￥AØ_¼oAI¼º " xfId="2520"/>
    <cellStyle name="Ç¥ÁØ_³ëÀÓ´Ü°¡ " xfId="2521"/>
    <cellStyle name="C￥AØ_AN°y(1.25) " xfId="2522"/>
    <cellStyle name="Ç¥ÁØ_Áý°èÇ¥(2¿ù) " xfId="2523"/>
    <cellStyle name="C￥AØ_CoAo¹yAI °A¾×¿ⓒ½A " xfId="2524"/>
    <cellStyle name="Ç¥ÁØ_Sheet1_¿µ¾÷ÇöÈ² " xfId="2525"/>
    <cellStyle name="Calc Currency (0)" xfId="206"/>
    <cellStyle name="Calc Currency (0) 2" xfId="207"/>
    <cellStyle name="Calc Currency (2)" xfId="2526"/>
    <cellStyle name="Calc Percent (0)" xfId="208"/>
    <cellStyle name="Calc Percent (1)" xfId="209"/>
    <cellStyle name="Calc Percent (2)" xfId="210"/>
    <cellStyle name="Calc Units (0)" xfId="211"/>
    <cellStyle name="Calc Units (1)" xfId="212"/>
    <cellStyle name="Calc Units (2)" xfId="213"/>
    <cellStyle name="category" xfId="214"/>
    <cellStyle name="CIAIÆU¸μAⓒ" xfId="2527"/>
    <cellStyle name="ⓒo" xfId="2528"/>
    <cellStyle name="Çõ»ê" xfId="215"/>
    <cellStyle name="Co≫" xfId="216"/>
    <cellStyle name="CODE" xfId="2529"/>
    <cellStyle name="ⓒoe" xfId="2530"/>
    <cellStyle name="columns_array" xfId="2531"/>
    <cellStyle name="Comma" xfId="217"/>
    <cellStyle name="Comma [0]" xfId="218"/>
    <cellStyle name="Comma [00]" xfId="219"/>
    <cellStyle name="Comma 2" xfId="220"/>
    <cellStyle name="Comma 3" xfId="221"/>
    <cellStyle name="Comma 4" xfId="222"/>
    <cellStyle name="comma zerodec" xfId="223"/>
    <cellStyle name="comma zerodec 2" xfId="2532"/>
    <cellStyle name="Comma_ SG&amp;A Bridge" xfId="2533"/>
    <cellStyle name="Comma0" xfId="224"/>
    <cellStyle name="Commm_laroux_12~3SO2_97회비_laroux" xfId="225"/>
    <cellStyle name="Copied" xfId="226"/>
    <cellStyle name="Curren?_x0012_퐀_x0017_?" xfId="2534"/>
    <cellStyle name="Currency" xfId="227"/>
    <cellStyle name="Currency [0]" xfId="228"/>
    <cellStyle name="Currency [00]" xfId="229"/>
    <cellStyle name="Currency [ﺜ]_P&amp;L_laroux" xfId="2535"/>
    <cellStyle name="Currency 2" xfId="230"/>
    <cellStyle name="Currency 3" xfId="231"/>
    <cellStyle name="Currency 4" xfId="232"/>
    <cellStyle name="Currency 5" xfId="233"/>
    <cellStyle name="Currency(￦)" xfId="2536"/>
    <cellStyle name="Currency_ 청평댐우안석축보수(간이)공사" xfId="2537"/>
    <cellStyle name="Currency0" xfId="234"/>
    <cellStyle name="Currency0 2" xfId="235"/>
    <cellStyle name="Currency1" xfId="236"/>
    <cellStyle name="Currency1 2" xfId="2538"/>
    <cellStyle name="Date" xfId="237"/>
    <cellStyle name="Date 2" xfId="238"/>
    <cellStyle name="Date Short" xfId="239"/>
    <cellStyle name="Date_(항측)1,000_항측(150㎢)-보성강하류" xfId="2539"/>
    <cellStyle name="DELTA" xfId="2540"/>
    <cellStyle name="Dezimal [0]_Compiling Utility Macros" xfId="240"/>
    <cellStyle name="Dezimal_Compiling Utility Macros" xfId="241"/>
    <cellStyle name="Dollar (zero dec)" xfId="242"/>
    <cellStyle name="Dollar (zero dec) 2" xfId="2541"/>
    <cellStyle name="EA" xfId="243"/>
    <cellStyle name="EA 2" xfId="244"/>
    <cellStyle name="EA 3" xfId="556"/>
    <cellStyle name="EA 3 2" xfId="2542"/>
    <cellStyle name="EA 4" xfId="2543"/>
    <cellStyle name="E­æo±" xfId="245"/>
    <cellStyle name="E­æo±a" xfId="246"/>
    <cellStyle name="È­æó±âè£" xfId="247"/>
    <cellStyle name="È­æó±âè£0" xfId="248"/>
    <cellStyle name="Enter Currency (0)" xfId="249"/>
    <cellStyle name="Enter Currency (2)" xfId="250"/>
    <cellStyle name="Enter Units (0)" xfId="251"/>
    <cellStyle name="Enter Units (1)" xfId="252"/>
    <cellStyle name="Enter Units (2)" xfId="253"/>
    <cellStyle name="Entered" xfId="254"/>
    <cellStyle name="Euro" xfId="255"/>
    <cellStyle name="F2" xfId="256"/>
    <cellStyle name="F3" xfId="257"/>
    <cellStyle name="F4" xfId="258"/>
    <cellStyle name="F5" xfId="259"/>
    <cellStyle name="F6" xfId="260"/>
    <cellStyle name="F7" xfId="261"/>
    <cellStyle name="F8" xfId="262"/>
    <cellStyle name="Fixed" xfId="263"/>
    <cellStyle name="Fixed 2" xfId="264"/>
    <cellStyle name="Followed Hyperlink" xfId="265"/>
    <cellStyle name="Grey" xfId="266"/>
    <cellStyle name="Grey 2" xfId="267"/>
    <cellStyle name="head" xfId="2544"/>
    <cellStyle name="head 1" xfId="2545"/>
    <cellStyle name="head 1-1" xfId="2546"/>
    <cellStyle name="HEADER" xfId="268"/>
    <cellStyle name="Header1" xfId="269"/>
    <cellStyle name="Header2" xfId="270"/>
    <cellStyle name="Header2 2" xfId="557"/>
    <cellStyle name="Header2 2 2" xfId="2547"/>
    <cellStyle name="Header2 3" xfId="2548"/>
    <cellStyle name="Heading 1" xfId="271"/>
    <cellStyle name="Heading 2" xfId="272"/>
    <cellStyle name="HEADING1" xfId="273"/>
    <cellStyle name="Heading1 2" xfId="274"/>
    <cellStyle name="HEADING2" xfId="275"/>
    <cellStyle name="Heading2 2" xfId="276"/>
    <cellStyle name="HelpStyle" xfId="277"/>
    <cellStyle name="Helv8_PFD4.XLS" xfId="2549"/>
    <cellStyle name="Hyperlink" xfId="278"/>
    <cellStyle name="Input [yellow]" xfId="279"/>
    <cellStyle name="Input [yellow] 2" xfId="280"/>
    <cellStyle name="Input [yellow] 2 2" xfId="559"/>
    <cellStyle name="Input [yellow] 2 2 2" xfId="2550"/>
    <cellStyle name="Input [yellow] 2 3" xfId="2551"/>
    <cellStyle name="Input [yellow] 3" xfId="558"/>
    <cellStyle name="Input [yellow] 3 2" xfId="2552"/>
    <cellStyle name="Input [yellow] 4" xfId="2553"/>
    <cellStyle name="kg" xfId="281"/>
    <cellStyle name="kg 2" xfId="560"/>
    <cellStyle name="kg 2 2" xfId="2554"/>
    <cellStyle name="kg 3" xfId="2555"/>
    <cellStyle name="Komma [0]_BINV" xfId="282"/>
    <cellStyle name="Komma_BINV" xfId="283"/>
    <cellStyle name="ℓ" xfId="284"/>
    <cellStyle name="ℓ 2" xfId="561"/>
    <cellStyle name="ℓ 2 2" xfId="2556"/>
    <cellStyle name="ℓ 3" xfId="2557"/>
    <cellStyle name="ℓ_1) 신천금호강 종합개발 기본설계" xfId="2558"/>
    <cellStyle name="ℓ_2) 신천금호강 종합개발 동영상제작(변경최종)" xfId="2559"/>
    <cellStyle name="ℓ_3) 신천금호강 종합개발 산책로 실시설계(변경최종)" xfId="2560"/>
    <cellStyle name="ℓ_김포예산서" xfId="285"/>
    <cellStyle name="ℓ_김포예산서 2" xfId="562"/>
    <cellStyle name="ℓ_김포예산서 2 2" xfId="2561"/>
    <cellStyle name="ℓ_김포예산서 3" xfId="2562"/>
    <cellStyle name="ℓ_설계내역서(신천-금호강)" xfId="2563"/>
    <cellStyle name="ℓ_설계내역서(전체)" xfId="2564"/>
    <cellStyle name="ℓ_신천금호강 종합개발 기본설계  내역서(수정분)" xfId="2565"/>
    <cellStyle name="ℓ_신천금호강내역서(수정-보오링,사전재해및환경성제외,측량연장조정9(1).95억0726)" xfId="2566"/>
    <cellStyle name="ℓ_심사내역서" xfId="2567"/>
    <cellStyle name="L`" xfId="286"/>
    <cellStyle name="left" xfId="287"/>
    <cellStyle name="Link Currency (0)" xfId="288"/>
    <cellStyle name="Link Currency (2)" xfId="289"/>
    <cellStyle name="Link Units (0)" xfId="290"/>
    <cellStyle name="Link Units (1)" xfId="291"/>
    <cellStyle name="Link Units (2)" xfId="292"/>
    <cellStyle name="M" xfId="293"/>
    <cellStyle name="M 2" xfId="563"/>
    <cellStyle name="M 2 2" xfId="2568"/>
    <cellStyle name="M 3" xfId="2569"/>
    <cellStyle name="M_1) 신천금호강 종합개발 기본설계" xfId="2570"/>
    <cellStyle name="M_2) 신천금호강 종합개발 동영상제작(변경최종)" xfId="2571"/>
    <cellStyle name="M_3) 신천금호강 종합개발 산책로 실시설계(변경최종)" xfId="2572"/>
    <cellStyle name="M_4월일위목록" xfId="294"/>
    <cellStyle name="M_4월일위목록 2" xfId="564"/>
    <cellStyle name="M_4월일위목록 2 2" xfId="2573"/>
    <cellStyle name="M_4월일위목록 3" xfId="2574"/>
    <cellStyle name="M_4월일위목록_1) 신천금호강 종합개발 기본설계" xfId="2575"/>
    <cellStyle name="M_4월일위목록_2) 신천금호강 종합개발 동영상제작(변경최종)" xfId="2576"/>
    <cellStyle name="M_4월일위목록_3) 신천금호강 종합개발 산책로 실시설계(변경최종)" xfId="2577"/>
    <cellStyle name="M_4월일위목록_김포예산서" xfId="295"/>
    <cellStyle name="M_4월일위목록_김포예산서 2" xfId="565"/>
    <cellStyle name="M_4월일위목록_김포예산서 2 2" xfId="2578"/>
    <cellStyle name="M_4월일위목록_김포예산서 3" xfId="2579"/>
    <cellStyle name="M_4월일위목록_설계내역서(신천-금호강)" xfId="2580"/>
    <cellStyle name="M_4월일위목록_설계내역서(전체)" xfId="2581"/>
    <cellStyle name="M_4월일위목록_신천금호강 종합개발 기본설계  내역서(수정분)" xfId="2582"/>
    <cellStyle name="M_4월일위목록_신천금호강내역서(수정-보오링,사전재해및환경성제외,측량연장조정9(1).95억0726)" xfId="2583"/>
    <cellStyle name="M_4월일위목록_심사내역서" xfId="2584"/>
    <cellStyle name="M_김포예산서" xfId="296"/>
    <cellStyle name="M_김포예산서 2" xfId="566"/>
    <cellStyle name="M_김포예산서 2 2" xfId="2585"/>
    <cellStyle name="M_김포예산서 3" xfId="2586"/>
    <cellStyle name="M_설계내역서(신천-금호강)" xfId="2587"/>
    <cellStyle name="M_설계내역서(전체)" xfId="2588"/>
    <cellStyle name="M_신천금호강 종합개발 기본설계  내역서(수정분)" xfId="2589"/>
    <cellStyle name="M_신천금호강내역서(수정-보오링,사전재해및환경성제외,측량연장조정9(1).95억0726)" xfId="2590"/>
    <cellStyle name="M_심사내역서" xfId="2591"/>
    <cellStyle name="M2" xfId="297"/>
    <cellStyle name="M2 2" xfId="567"/>
    <cellStyle name="M2 2 2" xfId="2592"/>
    <cellStyle name="M2 3" xfId="2593"/>
    <cellStyle name="M3" xfId="298"/>
    <cellStyle name="M3 2" xfId="568"/>
    <cellStyle name="M3 2 2" xfId="2594"/>
    <cellStyle name="M3 3" xfId="2595"/>
    <cellStyle name="Midtitle" xfId="2596"/>
    <cellStyle name="Milliers [0]_399GC10" xfId="2597"/>
    <cellStyle name="Milliers_399GC10" xfId="2598"/>
    <cellStyle name="Model" xfId="299"/>
    <cellStyle name="Mon?aire [0]_399GC10" xfId="2599"/>
    <cellStyle name="Mon?aire_399GC10" xfId="2600"/>
    <cellStyle name="MS Proofing Tools" xfId="2601"/>
    <cellStyle name="N?rmal_MCOE Summary (5)_98선급금" xfId="2602"/>
    <cellStyle name="no dec" xfId="300"/>
    <cellStyle name="normal" xfId="2603"/>
    <cellStyle name="Normal - Style1" xfId="301"/>
    <cellStyle name="Normal - Style1 2" xfId="302"/>
    <cellStyle name="Normal - Style2" xfId="2604"/>
    <cellStyle name="Normal - Style3" xfId="2605"/>
    <cellStyle name="Normal - Style4" xfId="2606"/>
    <cellStyle name="Normal - Style5" xfId="2607"/>
    <cellStyle name="Normal - Style6" xfId="2608"/>
    <cellStyle name="Normal - Style7" xfId="2609"/>
    <cellStyle name="Normal - Style8" xfId="2610"/>
    <cellStyle name="Normal - 유형1" xfId="303"/>
    <cellStyle name="Normal_ SG&amp;A Bridge" xfId="2611"/>
    <cellStyle name="N䁯rmal_MCOE Summary (5)_98선급금" xfId="2612"/>
    <cellStyle name="Œ…?æ맖?? [0.00]_laroux" xfId="2613"/>
    <cellStyle name="Œ…?æ맖??_laroux" xfId="2614"/>
    <cellStyle name="Œ…?æ맖?e [0.00]_laroux" xfId="304"/>
    <cellStyle name="Œ…?æ맖?e_laroux" xfId="305"/>
    <cellStyle name="Œ…‹æØ‚è [0.00]_laroux" xfId="2615"/>
    <cellStyle name="Œ…‹æØ‚è_laroux" xfId="2616"/>
    <cellStyle name="oh" xfId="2617"/>
    <cellStyle name="omma [0]_Mktg Prog" xfId="2618"/>
    <cellStyle name="ormal_Sheet1_1" xfId="2619"/>
    <cellStyle name="paint" xfId="2620"/>
    <cellStyle name="Percent" xfId="306"/>
    <cellStyle name="Percent [0]" xfId="307"/>
    <cellStyle name="Percent [00]" xfId="308"/>
    <cellStyle name="Percent [2]" xfId="309"/>
    <cellStyle name="Percent 2" xfId="310"/>
    <cellStyle name="Percent 3" xfId="311"/>
    <cellStyle name="Percent 4" xfId="312"/>
    <cellStyle name="Percent 5" xfId="313"/>
    <cellStyle name="Percent_#6 Temps &amp; Contractors" xfId="314"/>
    <cellStyle name="PrePop Currency (0)" xfId="315"/>
    <cellStyle name="PrePop Currency (2)" xfId="316"/>
    <cellStyle name="PrePop Units (0)" xfId="317"/>
    <cellStyle name="PrePop Units (1)" xfId="318"/>
    <cellStyle name="PrePop Units (2)" xfId="319"/>
    <cellStyle name="Procent_BINV" xfId="320"/>
    <cellStyle name="Released" xfId="2621"/>
    <cellStyle name="RevList" xfId="321"/>
    <cellStyle name="RevList 2" xfId="322"/>
    <cellStyle name="sh" xfId="2622"/>
    <cellStyle name="ssh" xfId="2623"/>
    <cellStyle name="Standaard_BINV" xfId="323"/>
    <cellStyle name="Standard_Anpassen der Amortisation" xfId="324"/>
    <cellStyle name="subhead" xfId="325"/>
    <cellStyle name="Subtotal" xfId="326"/>
    <cellStyle name="testtitle" xfId="2624"/>
    <cellStyle name="Text Indent A" xfId="327"/>
    <cellStyle name="Text Indent B" xfId="328"/>
    <cellStyle name="Text Indent C" xfId="329"/>
    <cellStyle name="TITLE" xfId="330"/>
    <cellStyle name="title [1]" xfId="331"/>
    <cellStyle name="title [2]" xfId="332"/>
    <cellStyle name="Title_대장천_도심생태복원사업_기본_및_실시설계용역_설계예산서(원내역)" xfId="2625"/>
    <cellStyle name="TON" xfId="333"/>
    <cellStyle name="ton 2" xfId="334"/>
    <cellStyle name="TON 3" xfId="569"/>
    <cellStyle name="TON 3 2" xfId="2626"/>
    <cellStyle name="TON 4" xfId="582"/>
    <cellStyle name="TON 4 2" xfId="2627"/>
    <cellStyle name="TON 5" xfId="2628"/>
    <cellStyle name="Total" xfId="335"/>
    <cellStyle name="Total 2" xfId="336"/>
    <cellStyle name="UM" xfId="337"/>
    <cellStyle name="Valuta [0]_BINV" xfId="2629"/>
    <cellStyle name="Valuta_BINV" xfId="2630"/>
    <cellStyle name="W?rung [0]_Compiling Utility Macros" xfId="338"/>
    <cellStyle name="W?rung_Compiling Utility Macros" xfId="339"/>
    <cellStyle name="wrap" xfId="340"/>
    <cellStyle name="μU¿¡ ¿A´A CIAIÆU¸μAⓒ" xfId="2631"/>
    <cellStyle name="|?ドE" xfId="341"/>
    <cellStyle name="" xfId="2632"/>
    <cellStyle name="가운데" xfId="342"/>
    <cellStyle name="가운데 2" xfId="570"/>
    <cellStyle name="가운데 2 2" xfId="1931"/>
    <cellStyle name="가운데 3" xfId="1932"/>
    <cellStyle name="감춤" xfId="343"/>
    <cellStyle name="강조색5 2" xfId="344"/>
    <cellStyle name="개" xfId="345"/>
    <cellStyle name="개 2" xfId="571"/>
    <cellStyle name="개 2 2" xfId="1933"/>
    <cellStyle name="개 3" xfId="1934"/>
    <cellStyle name="개_02-포장-1" xfId="346"/>
    <cellStyle name="개_02-포장-1 2" xfId="572"/>
    <cellStyle name="개_02-포장-1 2 2" xfId="1935"/>
    <cellStyle name="개_02-포장-1 3" xfId="1936"/>
    <cellStyle name="개_02-포장-1_1) 신천금호강 종합개발 기본설계" xfId="1937"/>
    <cellStyle name="개_02-포장-1_2) 신천금호강 종합개발 동영상제작(변경최종)" xfId="1938"/>
    <cellStyle name="개_02-포장-1_3) 신천금호강 종합개발 산책로 실시설계(변경최종)" xfId="1939"/>
    <cellStyle name="개_02-포장-1_김포예산서" xfId="347"/>
    <cellStyle name="개_02-포장-1_김포예산서 2" xfId="573"/>
    <cellStyle name="개_02-포장-1_김포예산서 2 2" xfId="1940"/>
    <cellStyle name="개_02-포장-1_김포예산서 3" xfId="1941"/>
    <cellStyle name="개_02-포장-1_설계내역서(신천-금호강)" xfId="1942"/>
    <cellStyle name="개_02-포장-1_설계내역서(전체)" xfId="1943"/>
    <cellStyle name="개_02-포장-1_신천금호강 종합개발 기본설계  내역서(수정분)" xfId="1944"/>
    <cellStyle name="개_02-포장-1_신천금호강내역서(수정-보오링,사전재해및환경성제외,측량연장조정9(1).95억0726)" xfId="1945"/>
    <cellStyle name="개_02-포장-1_심사내역서" xfId="1946"/>
    <cellStyle name="개_1) 신천금호강 종합개발 기본설계" xfId="1947"/>
    <cellStyle name="개_2) 신천금호강 종합개발 동영상제작(변경최종)" xfId="1948"/>
    <cellStyle name="개_3) 신천금호강 종합개발 산책로 실시설계(변경최종)" xfId="1949"/>
    <cellStyle name="개_김포예산서" xfId="348"/>
    <cellStyle name="개_김포예산서 2" xfId="574"/>
    <cellStyle name="개_김포예산서 2 2" xfId="1950"/>
    <cellStyle name="개_김포예산서 3" xfId="1951"/>
    <cellStyle name="개_설계내역서(신천-금호강)" xfId="1952"/>
    <cellStyle name="개_설계내역서(전체)" xfId="1953"/>
    <cellStyle name="개_신천금호강 종합개발 기본설계  내역서(수정분)" xfId="1954"/>
    <cellStyle name="개_신천금호강내역서(수정-보오링,사전재해및환경성제외,측량연장조정9(1).95억0726)" xfId="1955"/>
    <cellStyle name="개_심사내역서" xfId="1956"/>
    <cellStyle name="개소" xfId="349"/>
    <cellStyle name="개소 2" xfId="575"/>
    <cellStyle name="개소 2 2" xfId="1957"/>
    <cellStyle name="개소 3" xfId="1958"/>
    <cellStyle name="고정소숫점" xfId="350"/>
    <cellStyle name="고정출력1" xfId="351"/>
    <cellStyle name="고정출력2" xfId="352"/>
    <cellStyle name="공백" xfId="1959"/>
    <cellStyle name="공백1" xfId="1960"/>
    <cellStyle name="공백1수" xfId="1961"/>
    <cellStyle name="공사원가계산서(조경)" xfId="353"/>
    <cellStyle name="괘선" xfId="1962"/>
    <cellStyle name="괘선1" xfId="1963"/>
    <cellStyle name="咬訌裝?INCOM1" xfId="1964"/>
    <cellStyle name="咬訌裝?INCOM10" xfId="1965"/>
    <cellStyle name="咬訌裝?INCOM2" xfId="1966"/>
    <cellStyle name="咬訌裝?INCOM3" xfId="1967"/>
    <cellStyle name="咬訌裝?INCOM4" xfId="1968"/>
    <cellStyle name="咬訌裝?INCOM5" xfId="1969"/>
    <cellStyle name="咬訌裝?INCOM6" xfId="1970"/>
    <cellStyle name="咬訌裝?INCOM7" xfId="1971"/>
    <cellStyle name="咬訌裝?INCOM8" xfId="1972"/>
    <cellStyle name="咬訌裝?INCOM9" xfId="1973"/>
    <cellStyle name="咬訌裝?PRIB11" xfId="1974"/>
    <cellStyle name="김덕호" xfId="1975"/>
    <cellStyle name="끼_x0001_?" xfId="354"/>
    <cellStyle name="나쁨 2" xfId="521"/>
    <cellStyle name="날짜" xfId="355"/>
    <cellStyle name="남기옥" xfId="1976"/>
    <cellStyle name="내역서" xfId="356"/>
    <cellStyle name="노명용" xfId="357"/>
    <cellStyle name="노명용 2" xfId="576"/>
    <cellStyle name="노명용 2 2" xfId="1977"/>
    <cellStyle name="단위" xfId="1978"/>
    <cellStyle name="달러" xfId="358"/>
    <cellStyle name="뒤에 오는 하이퍼링크" xfId="359"/>
    <cellStyle name="똿뗦먛귟 [0.00]_laroux" xfId="1979"/>
    <cellStyle name="똿뗦먛귟_laroux" xfId="1980"/>
    <cellStyle name="마이너스키" xfId="1981"/>
    <cellStyle name="매" xfId="360"/>
    <cellStyle name="매_02-포장-1" xfId="361"/>
    <cellStyle name="매_02-포장-1_1) 신천금호강 종합개발 기본설계" xfId="1982"/>
    <cellStyle name="매_02-포장-1_2) 신천금호강 종합개발 동영상제작(변경최종)" xfId="1983"/>
    <cellStyle name="매_02-포장-1_3) 신천금호강 종합개발 산책로 실시설계(변경최종)" xfId="1984"/>
    <cellStyle name="매_02-포장-1_김포예산서" xfId="362"/>
    <cellStyle name="매_02-포장-1_설계내역서(신천-금호강)" xfId="1985"/>
    <cellStyle name="매_02-포장-1_설계내역서(전체)" xfId="1986"/>
    <cellStyle name="매_02-포장-1_신천금호강 종합개발 기본설계  내역서(수정분)" xfId="1987"/>
    <cellStyle name="매_02-포장-1_신천금호강내역서(수정-보오링,사전재해및환경성제외,측량연장조정9(1).95억0726)" xfId="1988"/>
    <cellStyle name="매_02-포장-1_심사내역서" xfId="1989"/>
    <cellStyle name="매_1) 신천금호강 종합개발 기본설계" xfId="1990"/>
    <cellStyle name="매_2) 신천금호강 종합개발 동영상제작(변경최종)" xfId="1991"/>
    <cellStyle name="매_3) 신천금호강 종합개발 산책로 실시설계(변경최종)" xfId="1992"/>
    <cellStyle name="매_김포예산서" xfId="363"/>
    <cellStyle name="매_설계내역서(신천-금호강)" xfId="1993"/>
    <cellStyle name="매_설계내역서(전체)" xfId="1994"/>
    <cellStyle name="매_신천금호강 종합개발 기본설계  내역서(수정분)" xfId="1995"/>
    <cellStyle name="매_신천금호강내역서(수정-보오링,사전재해및환경성제외,측량연장조정9(1).95억0726)" xfId="1996"/>
    <cellStyle name="매_심사내역서" xfId="1997"/>
    <cellStyle name="메모 2" xfId="1998"/>
    <cellStyle name="믅됞 [0.00]_laroux" xfId="1999"/>
    <cellStyle name="믅됞_laroux" xfId="2000"/>
    <cellStyle name="배분" xfId="2001"/>
    <cellStyle name="백" xfId="2002"/>
    <cellStyle name="백 " xfId="364"/>
    <cellStyle name="백_2회설변전체내역서" xfId="2003"/>
    <cellStyle name="백_2회설변전체내역서_침수방지대책내역" xfId="2004"/>
    <cellStyle name="백_일위대가양식" xfId="2005"/>
    <cellStyle name="백_일위대가양식_침수방지대책내역" xfId="2006"/>
    <cellStyle name="백_침수방지대책내역" xfId="2007"/>
    <cellStyle name="백_토목내역" xfId="2008"/>
    <cellStyle name="백_토목내역_침수방지대책내역" xfId="2009"/>
    <cellStyle name="백_황령산 봉수대 용역내역서" xfId="2010"/>
    <cellStyle name="백분율" xfId="5" builtinId="5"/>
    <cellStyle name="백분율 [△1]" xfId="2011"/>
    <cellStyle name="백분율 [△2]" xfId="2012"/>
    <cellStyle name="백분율 [0]" xfId="365"/>
    <cellStyle name="백분율 [2]" xfId="366"/>
    <cellStyle name="백분율 2" xfId="367"/>
    <cellStyle name="백분율 2 2" xfId="526"/>
    <cellStyle name="백분율 2 3" xfId="530"/>
    <cellStyle name="백분율 2 4" xfId="535"/>
    <cellStyle name="백분율 2 5" xfId="539"/>
    <cellStyle name="백분율 2 6" xfId="542"/>
    <cellStyle name="백분율 2 7" xfId="545"/>
    <cellStyle name="백분율 2 8" xfId="549"/>
    <cellStyle name="백분율 2 9" xfId="520"/>
    <cellStyle name="백분율 3" xfId="522"/>
    <cellStyle name="백분율 3 2" xfId="2013"/>
    <cellStyle name="백분율 4" xfId="587"/>
    <cellStyle name="백분율 5" xfId="2014"/>
    <cellStyle name="백분율 6" xfId="2015"/>
    <cellStyle name="백분율 7" xfId="2016"/>
    <cellStyle name="백분율［△1］" xfId="2017"/>
    <cellStyle name="백분율［△1］ 2" xfId="2018"/>
    <cellStyle name="백분율［△2］" xfId="2019"/>
    <cellStyle name="범위" xfId="368"/>
    <cellStyle name="보통 2" xfId="519"/>
    <cellStyle name="凤준" xfId="2072"/>
    <cellStyle name="뷭?" xfId="369"/>
    <cellStyle name="빨강" xfId="2020"/>
    <cellStyle name="빨강 2" xfId="2021"/>
    <cellStyle name="常规_OPTION_9910" xfId="2022"/>
    <cellStyle name="선택영역" xfId="2023"/>
    <cellStyle name="선택영역 가운데" xfId="370"/>
    <cellStyle name="선택영역의 가운데" xfId="371"/>
    <cellStyle name="선택영역의 가운데로" xfId="2024"/>
    <cellStyle name="선택영영" xfId="372"/>
    <cellStyle name="설계서" xfId="2025"/>
    <cellStyle name="설계서-내용" xfId="2026"/>
    <cellStyle name="설계서-내용-소수점" xfId="2027"/>
    <cellStyle name="설계서-내용-우" xfId="2028"/>
    <cellStyle name="설계서-내용-좌" xfId="2029"/>
    <cellStyle name="설계서-소제목" xfId="2030"/>
    <cellStyle name="설계서-타이틀" xfId="2031"/>
    <cellStyle name="설계서-항목" xfId="2032"/>
    <cellStyle name="소수" xfId="2033"/>
    <cellStyle name="소수3" xfId="2034"/>
    <cellStyle name="소수4" xfId="2035"/>
    <cellStyle name="소수점" xfId="2036"/>
    <cellStyle name="수량" xfId="373"/>
    <cellStyle name="숨김" xfId="374"/>
    <cellStyle name="숫자" xfId="375"/>
    <cellStyle name="숫자(R)" xfId="376"/>
    <cellStyle name="숫자_02.유성천_수해상습지_내역서(최종)" xfId="2037"/>
    <cellStyle name="숫자1" xfId="377"/>
    <cellStyle name="숫자3" xfId="378"/>
    <cellStyle name="쉼표 [0]" xfId="1" builtinId="6"/>
    <cellStyle name="쉼표 [0] 2" xfId="4"/>
    <cellStyle name="쉼표 [0] 2 2" xfId="379"/>
    <cellStyle name="쉼표 [0] 2 2 2" xfId="525"/>
    <cellStyle name="쉼표 [0] 2 2 3" xfId="586"/>
    <cellStyle name="쉼표 [0] 2 3" xfId="529"/>
    <cellStyle name="쉼표 [0] 2 4" xfId="533"/>
    <cellStyle name="쉼표 [0] 2 5" xfId="537"/>
    <cellStyle name="쉼표 [0] 2 6" xfId="541"/>
    <cellStyle name="쉼표 [0] 2 7" xfId="544"/>
    <cellStyle name="쉼표 [0] 2 8" xfId="548"/>
    <cellStyle name="쉼표 [0] 3" xfId="20"/>
    <cellStyle name="쉼표 [0] 3 2" xfId="380"/>
    <cellStyle name="쉼표 [0] 3 3" xfId="381"/>
    <cellStyle name="쉼표 [0] 3 4" xfId="382"/>
    <cellStyle name="쉼표 [0] 4" xfId="383"/>
    <cellStyle name="쉼표 [0] 4 2" xfId="2038"/>
    <cellStyle name="쉼표 [0] 5" xfId="384"/>
    <cellStyle name="쉼표 [0] 6" xfId="385"/>
    <cellStyle name="쉼표 [0] 7" xfId="2039"/>
    <cellStyle name="쉼표 [0] 8" xfId="2040"/>
    <cellStyle name="쉼표 [0] 9" xfId="2041"/>
    <cellStyle name="스타일 1" xfId="386"/>
    <cellStyle name="스타일 2" xfId="387"/>
    <cellStyle name="스타일 3" xfId="388"/>
    <cellStyle name="스타일 4" xfId="389"/>
    <cellStyle name="스타일 5" xfId="390"/>
    <cellStyle name="스타일 6" xfId="391"/>
    <cellStyle name="스타일 7" xfId="392"/>
    <cellStyle name="스타일 8" xfId="2042"/>
    <cellStyle name="안건회계법인" xfId="393"/>
    <cellStyle name="열어본 하이퍼링크" xfId="2043"/>
    <cellStyle name="왼" xfId="394"/>
    <cellStyle name="왼쪽2" xfId="395"/>
    <cellStyle name="왼쪽2 2" xfId="577"/>
    <cellStyle name="왼쪽2 2 2" xfId="2044"/>
    <cellStyle name="왼쪽2 3" xfId="2045"/>
    <cellStyle name="왼쪽5" xfId="396"/>
    <cellStyle name="왼쪽5 2" xfId="578"/>
    <cellStyle name="왼쪽5 2 2" xfId="2046"/>
    <cellStyle name="왼쪽5 3" xfId="2047"/>
    <cellStyle name="우괄호_박심배수구조물공" xfId="397"/>
    <cellStyle name="우측양괄호" xfId="398"/>
    <cellStyle name="원" xfId="2048"/>
    <cellStyle name="원_0009김포공항LED교체공사(광일)" xfId="2049"/>
    <cellStyle name="원_0011긴급전화기정산(99년형광일)" xfId="2050"/>
    <cellStyle name="원_0011부산종합경기장전광판" xfId="2051"/>
    <cellStyle name="원_2000시행(보완2)_2000시행(보2) " xfId="2052"/>
    <cellStyle name="원_2000시행(보완2)_2000시행(보3) " xfId="2053"/>
    <cellStyle name="원_광주생활직영시행" xfId="2054"/>
    <cellStyle name="원_남강하도 공사비(요율수정)" xfId="2055"/>
    <cellStyle name="원_내역서" xfId="2056"/>
    <cellStyle name="원_설계내역서1(1)" xfId="2057"/>
    <cellStyle name="원_오로보완(0111)" xfId="2058"/>
    <cellStyle name="원_전기 수량" xfId="2059"/>
    <cellStyle name="원_황계(0203)" xfId="2060"/>
    <cellStyle name="유1" xfId="399"/>
    <cellStyle name="유영" xfId="2061"/>
    <cellStyle name="일반" xfId="400"/>
    <cellStyle name="一般_010820" xfId="2062"/>
    <cellStyle name="일위대가" xfId="2063"/>
    <cellStyle name="자리수" xfId="401"/>
    <cellStyle name="자리수 - 유형1" xfId="2064"/>
    <cellStyle name="자리수_1-2_설계내역서.." xfId="2065"/>
    <cellStyle name="자리수0" xfId="402"/>
    <cellStyle name="자리수0 2" xfId="403"/>
    <cellStyle name="정비" xfId="2066"/>
    <cellStyle name="제곱" xfId="404"/>
    <cellStyle name="제목 1 1" xfId="2067"/>
    <cellStyle name="제목[1 줄]" xfId="405"/>
    <cellStyle name="제목[1 줄] 2" xfId="579"/>
    <cellStyle name="제목[1 줄] 2 2" xfId="2068"/>
    <cellStyle name="제목[1 줄] 3" xfId="2069"/>
    <cellStyle name="제목[2줄 아래]" xfId="406"/>
    <cellStyle name="제목[2줄 위]" xfId="407"/>
    <cellStyle name="제목[2줄 위] 2" xfId="580"/>
    <cellStyle name="제목[2줄 위] 2 2" xfId="2070"/>
    <cellStyle name="제목1" xfId="408"/>
    <cellStyle name="제목2" xfId="2071"/>
    <cellStyle name="좌괄호_박심배수구조물공" xfId="409"/>
    <cellStyle name="좌측양괄호" xfId="410"/>
    <cellStyle name="지정되지 않음" xfId="411"/>
    <cellStyle name="千分位[0]_GARMENT STEP FORM HK" xfId="412"/>
    <cellStyle name="千分位_GARMENT STEP FORM HK" xfId="413"/>
    <cellStyle name="출력" xfId="18" builtinId="21"/>
    <cellStyle name="출력 2" xfId="523"/>
    <cellStyle name="출력 2 2" xfId="583"/>
    <cellStyle name="출력 2 2 2" xfId="2073"/>
    <cellStyle name="출력 2 3" xfId="2074"/>
    <cellStyle name="측점" xfId="414"/>
    <cellStyle name="콤" xfId="415"/>
    <cellStyle name="콤_00.유양천 - 설계내역서" xfId="416"/>
    <cellStyle name="콤_01.망굴천 하천정비사업" xfId="417"/>
    <cellStyle name="콤_01.신천 생태하천 - 설계내역서" xfId="418"/>
    <cellStyle name="콤_01.신천 생태하천 설계변경내역서" xfId="419"/>
    <cellStyle name="콤_01.신천 생태하천 설계변경내역서_01 유성천 수해상습지(기본계획 변경)" xfId="2075"/>
    <cellStyle name="콤_01.신천 생태하천 설계변경내역서_01 유성천 수해상습지_내역서" xfId="2076"/>
    <cellStyle name="콤_01.신천 생태하천 설계변경내역서_02-1.유양천 수해상습지 개선사업 - 설계내역서" xfId="2077"/>
    <cellStyle name="콤_01.신천 생태하천 설계변경내역서_고향의강(진잠천)_실시설계_용역_내역서(발주내역)" xfId="2078"/>
    <cellStyle name="콤_01.신천 생태하천 설계변경내역서_유성천_수해상습지(인건비+측정)_내역서" xfId="2079"/>
    <cellStyle name="콤_01.회룡천 생태하천 설계내역" xfId="420"/>
    <cellStyle name="콤_02-1.유양천 수해상습지 개선사업 - 설계내역서" xfId="2080"/>
    <cellStyle name="콤_2회설변전체내역서" xfId="2081"/>
    <cellStyle name="콤_2회설변전체내역서_침수방지대책내역" xfId="2082"/>
    <cellStyle name="콤_고향의_강(정생천)환경부" xfId="2083"/>
    <cellStyle name="콤_고향의_강_내역(환경)" xfId="2084"/>
    <cellStyle name="콤_고향의_강_내역(환경)_01 유성천 수해상습지(기본계획 변경)" xfId="2085"/>
    <cellStyle name="콤_고향의_강_내역(환경)_01 유성천 수해상습지_내역서" xfId="2086"/>
    <cellStyle name="콤_고향의_강_내역(환경)_고향의강(진잠천)_실시설계_용역_내역서(발주내역)" xfId="2087"/>
    <cellStyle name="콤_고향의_강_내역(환경)_유성천_수해상습지(인건비+측정)_내역서" xfId="2088"/>
    <cellStyle name="콤_골재부존량조사용역 - 내역서" xfId="421"/>
    <cellStyle name="콤_교통성검토" xfId="2089"/>
    <cellStyle name="콤_로하스변경내역서-5(06.6.7)" xfId="2090"/>
    <cellStyle name="콤_로하스변경내역서-5(06.6.7)_로하스변경내역서-6(06(1).6.27 당초변경)" xfId="2091"/>
    <cellStyle name="콤_로하스변경내역서-5(06.6.7)_로하스변경내역서-6(06(1).6.27 당초변경)_체육관공원 용역 설계내역서(도급)" xfId="2092"/>
    <cellStyle name="콤_로하스변경내역서-5(06.6.7)_체육관공원 용역 설계내역서(도급)" xfId="2093"/>
    <cellStyle name="콤_로하스변경내역서-6(06.6.21)" xfId="2094"/>
    <cellStyle name="콤_로하스변경내역서-6(06.6.21)_로하스변경내역서-6(06(1).6.27 당초변경)" xfId="2095"/>
    <cellStyle name="콤_로하스변경내역서-6(06.6.21)_로하스변경내역서-6(06(1).6.27 당초변경)_체육관공원 용역 설계내역서(도급)" xfId="2096"/>
    <cellStyle name="콤_로하스변경내역서-6(06.6.21)_체육관공원 용역 설계내역서(도급)" xfId="2097"/>
    <cellStyle name="콤_문경내역(1127)" xfId="422"/>
    <cellStyle name="콤_문경내역(1127)_00.유양천 - 설계내역서" xfId="423"/>
    <cellStyle name="콤_문경내역(1127)_01.망굴천 하천정비사업" xfId="424"/>
    <cellStyle name="콤_문경내역(1127)_01.신천 생태하천 - 설계내역서" xfId="425"/>
    <cellStyle name="콤_문경내역(1127)_01.신천 생태하천 설계변경내역서" xfId="426"/>
    <cellStyle name="콤_문경내역(1127)_01.신천 생태하천 설계변경내역서_01 유성천 수해상습지(기본계획 변경)" xfId="2098"/>
    <cellStyle name="콤_문경내역(1127)_01.신천 생태하천 설계변경내역서_01 유성천 수해상습지_내역서" xfId="2099"/>
    <cellStyle name="콤_문경내역(1127)_01.신천 생태하천 설계변경내역서_01.내역서(2억원)" xfId="2100"/>
    <cellStyle name="콤_문경내역(1127)_01.신천 생태하천 설계변경내역서_01.내역서(선암리,원당천)통합" xfId="2101"/>
    <cellStyle name="콤_문경내역(1127)_01.신천 생태하천 설계변경내역서_01.내역서(원당천)" xfId="2102"/>
    <cellStyle name="콤_문경내역(1127)_01.신천 생태하천 설계변경내역서_01.세말천_소하천정비공사_내역서(최종)" xfId="2103"/>
    <cellStyle name="콤_문경내역(1127)_01.신천 생태하천 설계변경내역서_02-1.유양천 수해상습지 개선사업 - 설계내역서" xfId="2104"/>
    <cellStyle name="콤_문경내역(1127)_01.신천 생태하천 설계변경내역서_03.유성천_수해상습지_내역서(최종)" xfId="2105"/>
    <cellStyle name="콤_문경내역(1127)_01.신천 생태하천 설계변경내역서_고향의강(진잠천)_실시설계_용역_내역서(발주내역)" xfId="2106"/>
    <cellStyle name="콤_문경내역(1127)_01.신천 생태하천 설계변경내역서_내역서(수해원인조사및분석)" xfId="2107"/>
    <cellStyle name="콤_문경내역(1127)_01.신천 생태하천 설계변경내역서_동두천시침수방지대책수립실시설계예산서(0816)" xfId="2108"/>
    <cellStyle name="콤_문경내역(1127)_01.신천 생태하천 설계변경내역서_유성천_수해상습지(인건비+측정)_내역서" xfId="2109"/>
    <cellStyle name="콤_문경내역(1127)_01.회룡천 생태하천 설계내역" xfId="427"/>
    <cellStyle name="콤_문경내역(1127)_02-1.유양천 수해상습지 개선사업 - 설계내역서" xfId="2110"/>
    <cellStyle name="콤_문경내역(1127)_고향의_강(정생천)환경부" xfId="2111"/>
    <cellStyle name="콤_문경내역(1127)_고향의_강_내역(환경)" xfId="2112"/>
    <cellStyle name="콤_문경내역(1127)_고향의_강_내역(환경)_01 유성천 수해상습지(기본계획 변경)" xfId="2113"/>
    <cellStyle name="콤_문경내역(1127)_고향의_강_내역(환경)_01 유성천 수해상습지_내역서" xfId="2114"/>
    <cellStyle name="콤_문경내역(1127)_고향의_강_내역(환경)_01.내역서(2억원)" xfId="2115"/>
    <cellStyle name="콤_문경내역(1127)_고향의_강_내역(환경)_01.내역서(선암리,원당천)통합" xfId="2116"/>
    <cellStyle name="콤_문경내역(1127)_고향의_강_내역(환경)_01.내역서(원당천)" xfId="2117"/>
    <cellStyle name="콤_문경내역(1127)_고향의_강_내역(환경)_01.세말천_소하천정비공사_내역서(최종)" xfId="2118"/>
    <cellStyle name="콤_문경내역(1127)_고향의_강_내역(환경)_03.유성천_수해상습지_내역서(최종)" xfId="2119"/>
    <cellStyle name="콤_문경내역(1127)_고향의_강_내역(환경)_고향의강(진잠천)_실시설계_용역_내역서(발주내역)" xfId="2120"/>
    <cellStyle name="콤_문경내역(1127)_고향의_강_내역(환경)_내역서(수해원인조사및분석)" xfId="2121"/>
    <cellStyle name="콤_문경내역(1127)_고향의_강_내역(환경)_동두천시침수방지대책수립실시설계예산서(0816)" xfId="2122"/>
    <cellStyle name="콤_문경내역(1127)_고향의_강_내역(환경)_유성천_수해상습지(인건비+측정)_내역서" xfId="2123"/>
    <cellStyle name="콤_문경내역(1127)_골재부존량조사용역 - 내역서" xfId="428"/>
    <cellStyle name="콤_문경내역(1127)_사전환경성검토 내역서(조정)" xfId="429"/>
    <cellStyle name="콤_문경내역(1127)_설계내역서(변경)" xfId="2124"/>
    <cellStyle name="콤_문경내역(1127)_체육관공원 용역 설계내역서(도급)" xfId="2125"/>
    <cellStyle name="콤_문경내역(1127)_체육관공원 용역 설계내역서(도급)_섬진강수달생태공원 (당초설계예산서)" xfId="2126"/>
    <cellStyle name="콤_복사본 동백공원내 군수영부두 이전사업용역내역서" xfId="2127"/>
    <cellStyle name="콤_복사본_동백공원내_군수영부두_이전사업용역내역서" xfId="2128"/>
    <cellStyle name="콤_사전환경성검토 내역서(조정)" xfId="430"/>
    <cellStyle name="콤_설계내역서(변경)" xfId="2129"/>
    <cellStyle name="콤_설계내역서1(1)" xfId="2130"/>
    <cellStyle name="콤_울산 도시개발사업(교평)" xfId="431"/>
    <cellStyle name="콤_울산 도시개발사업(교평)_00.유양천 - 설계내역서" xfId="432"/>
    <cellStyle name="콤_울산 도시개발사업(교평)_01.망굴천 하천정비사업" xfId="433"/>
    <cellStyle name="콤_울산 도시개발사업(교평)_01.신천 생태하천 - 설계내역서" xfId="434"/>
    <cellStyle name="콤_울산 도시개발사업(교평)_01.신천 생태하천 설계변경내역서" xfId="435"/>
    <cellStyle name="콤_울산 도시개발사업(교평)_01.신천 생태하천 설계변경내역서_01 유성천 수해상습지(기본계획 변경)" xfId="2131"/>
    <cellStyle name="콤_울산 도시개발사업(교평)_01.신천 생태하천 설계변경내역서_01 유성천 수해상습지_내역서" xfId="2132"/>
    <cellStyle name="콤_울산 도시개발사업(교평)_01.신천 생태하천 설계변경내역서_01.내역서(2억원)" xfId="2133"/>
    <cellStyle name="콤_울산 도시개발사업(교평)_01.신천 생태하천 설계변경내역서_01.내역서(선암리,원당천)통합" xfId="2134"/>
    <cellStyle name="콤_울산 도시개발사업(교평)_01.신천 생태하천 설계변경내역서_01.내역서(원당천)" xfId="2135"/>
    <cellStyle name="콤_울산 도시개발사업(교평)_01.신천 생태하천 설계변경내역서_01.세말천_소하천정비공사_내역서(최종)" xfId="2136"/>
    <cellStyle name="콤_울산 도시개발사업(교평)_01.신천 생태하천 설계변경내역서_02-1.유양천 수해상습지 개선사업 - 설계내역서" xfId="2137"/>
    <cellStyle name="콤_울산 도시개발사업(교평)_01.신천 생태하천 설계변경내역서_03.유성천_수해상습지_내역서(최종)" xfId="2138"/>
    <cellStyle name="콤_울산 도시개발사업(교평)_01.신천 생태하천 설계변경내역서_고향의강(진잠천)_실시설계_용역_내역서(발주내역)" xfId="2139"/>
    <cellStyle name="콤_울산 도시개발사업(교평)_01.신천 생태하천 설계변경내역서_내역서(수해원인조사및분석)" xfId="2140"/>
    <cellStyle name="콤_울산 도시개발사업(교평)_01.신천 생태하천 설계변경내역서_동두천시침수방지대책수립실시설계예산서(0816)" xfId="2141"/>
    <cellStyle name="콤_울산 도시개발사업(교평)_01.신천 생태하천 설계변경내역서_유성천_수해상습지(인건비+측정)_내역서" xfId="2142"/>
    <cellStyle name="콤_울산 도시개발사업(교평)_01.회룡천 생태하천 설계내역" xfId="436"/>
    <cellStyle name="콤_울산 도시개발사업(교평)_02-1.유양천 수해상습지 개선사업 - 설계내역서" xfId="2143"/>
    <cellStyle name="콤_울산 도시개발사업(교평)_고향의_강(정생천)환경부" xfId="2144"/>
    <cellStyle name="콤_울산 도시개발사업(교평)_고향의_강_내역(환경)" xfId="2145"/>
    <cellStyle name="콤_울산 도시개발사업(교평)_고향의_강_내역(환경)_01 유성천 수해상습지(기본계획 변경)" xfId="2146"/>
    <cellStyle name="콤_울산 도시개발사업(교평)_고향의_강_내역(환경)_01 유성천 수해상습지_내역서" xfId="2147"/>
    <cellStyle name="콤_울산 도시개발사업(교평)_고향의_강_내역(환경)_01.내역서(2억원)" xfId="2148"/>
    <cellStyle name="콤_울산 도시개발사업(교평)_고향의_강_내역(환경)_01.내역서(선암리,원당천)통합" xfId="2149"/>
    <cellStyle name="콤_울산 도시개발사업(교평)_고향의_강_내역(환경)_01.내역서(원당천)" xfId="2150"/>
    <cellStyle name="콤_울산 도시개발사업(교평)_고향의_강_내역(환경)_01.세말천_소하천정비공사_내역서(최종)" xfId="2151"/>
    <cellStyle name="콤_울산 도시개발사업(교평)_고향의_강_내역(환경)_03.유성천_수해상습지_내역서(최종)" xfId="2152"/>
    <cellStyle name="콤_울산 도시개발사업(교평)_고향의_강_내역(환경)_고향의강(진잠천)_실시설계_용역_내역서(발주내역)" xfId="2153"/>
    <cellStyle name="콤_울산 도시개발사업(교평)_고향의_강_내역(환경)_내역서(수해원인조사및분석)" xfId="2154"/>
    <cellStyle name="콤_울산 도시개발사업(교평)_고향의_강_내역(환경)_동두천시침수방지대책수립실시설계예산서(0816)" xfId="2155"/>
    <cellStyle name="콤_울산 도시개발사업(교평)_고향의_강_내역(환경)_유성천_수해상습지(인건비+측정)_내역서" xfId="2156"/>
    <cellStyle name="콤_울산 도시개발사업(교평)_골재부존량조사용역 - 내역서" xfId="437"/>
    <cellStyle name="콤_울산 도시개발사업(교평)_사전환경성검토 내역서(조정)" xfId="438"/>
    <cellStyle name="콤_울산 도시개발사업(교평)_설계내역서(변경)" xfId="2157"/>
    <cellStyle name="콤_일위대가양식" xfId="2158"/>
    <cellStyle name="콤_일위대가양식_침수방지대책내역" xfId="2159"/>
    <cellStyle name="콤_체육관공원 용역 설계내역서(도급)" xfId="2160"/>
    <cellStyle name="콤_침수방지대책내역" xfId="2161"/>
    <cellStyle name="콤_토목내역" xfId="2162"/>
    <cellStyle name="콤_토목내역_침수방지대책내역" xfId="2163"/>
    <cellStyle name="콤_황령산 봉수대 용역내역서" xfId="2164"/>
    <cellStyle name="콤마" xfId="439"/>
    <cellStyle name="콤마 [" xfId="440"/>
    <cellStyle name="콤마 [#]" xfId="2165"/>
    <cellStyle name="콤마 []" xfId="2166"/>
    <cellStyle name="콤마 [0.00]" xfId="2167"/>
    <cellStyle name="콤마 [0]" xfId="441"/>
    <cellStyle name="콤마 [2]" xfId="442"/>
    <cellStyle name="콤마 [금액]" xfId="2168"/>
    <cellStyle name="콤마 [소수]" xfId="2169"/>
    <cellStyle name="콤마 [수량]" xfId="2170"/>
    <cellStyle name="콤마 2" xfId="2171"/>
    <cellStyle name="콤마(1)" xfId="2172"/>
    <cellStyle name="콤마[ ]" xfId="443"/>
    <cellStyle name="콤마[*]" xfId="444"/>
    <cellStyle name="콤마[,]" xfId="445"/>
    <cellStyle name="콤마[,] 2" xfId="581"/>
    <cellStyle name="콤마[,] 2 2" xfId="2173"/>
    <cellStyle name="콤마[,] 3" xfId="2174"/>
    <cellStyle name="콤마[.]" xfId="446"/>
    <cellStyle name="콤마[0]" xfId="447"/>
    <cellStyle name="콤마_  종  합  " xfId="448"/>
    <cellStyle name="쾌" xfId="2175"/>
    <cellStyle name="통" xfId="449"/>
    <cellStyle name="통_00.유양천 - 설계내역서" xfId="450"/>
    <cellStyle name="통_01.망굴천 하천정비사업" xfId="451"/>
    <cellStyle name="통_01.신천 생태하천 - 설계내역서" xfId="452"/>
    <cellStyle name="통_01.신천 생태하천 설계변경내역서" xfId="453"/>
    <cellStyle name="통_01.신천 생태하천 설계변경내역서_01 유성천 수해상습지(기본계획 변경)" xfId="2176"/>
    <cellStyle name="통_01.신천 생태하천 설계변경내역서_01 유성천 수해상습지_내역서" xfId="2177"/>
    <cellStyle name="통_01.신천 생태하천 설계변경내역서_02-1.유양천 수해상습지 개선사업 - 설계내역서" xfId="2178"/>
    <cellStyle name="통_01.신천 생태하천 설계변경내역서_고향의강(진잠천)_실시설계_용역_내역서(발주내역)" xfId="2179"/>
    <cellStyle name="통_01.신천 생태하천 설계변경내역서_유성천_수해상습지(인건비+측정)_내역서" xfId="2180"/>
    <cellStyle name="통_01.회룡천 생태하천 설계내역" xfId="454"/>
    <cellStyle name="통_02-1.유양천 수해상습지 개선사업 - 설계내역서" xfId="2181"/>
    <cellStyle name="통_2회설변전체내역서" xfId="2182"/>
    <cellStyle name="통_2회설변전체내역서_침수방지대책내역" xfId="2183"/>
    <cellStyle name="통_고향의_강(정생천)환경부" xfId="2184"/>
    <cellStyle name="통_고향의_강_내역(환경)" xfId="2185"/>
    <cellStyle name="통_고향의_강_내역(환경)_01 유성천 수해상습지(기본계획 변경)" xfId="2186"/>
    <cellStyle name="통_고향의_강_내역(환경)_01 유성천 수해상습지_내역서" xfId="2187"/>
    <cellStyle name="통_고향의_강_내역(환경)_고향의강(진잠천)_실시설계_용역_내역서(발주내역)" xfId="2188"/>
    <cellStyle name="통_고향의_강_내역(환경)_유성천_수해상습지(인건비+측정)_내역서" xfId="2189"/>
    <cellStyle name="통_골재부존량조사용역 - 내역서" xfId="455"/>
    <cellStyle name="통_교통성검토" xfId="2190"/>
    <cellStyle name="통_로하스변경내역서-5(06.6.7)" xfId="2191"/>
    <cellStyle name="통_로하스변경내역서-5(06.6.7)_로하스변경내역서-6(06(1).6.27 당초변경)" xfId="2192"/>
    <cellStyle name="통_로하스변경내역서-5(06.6.7)_로하스변경내역서-6(06(1).6.27 당초변경)_체육관공원 용역 설계내역서(도급)" xfId="2193"/>
    <cellStyle name="통_로하스변경내역서-5(06.6.7)_체육관공원 용역 설계내역서(도급)" xfId="2194"/>
    <cellStyle name="통_로하스변경내역서-6(06.6.21)" xfId="2195"/>
    <cellStyle name="통_로하스변경내역서-6(06.6.21)_로하스변경내역서-6(06(1).6.27 당초변경)" xfId="2196"/>
    <cellStyle name="통_로하스변경내역서-6(06.6.21)_로하스변경내역서-6(06(1).6.27 당초변경)_체육관공원 용역 설계내역서(도급)" xfId="2197"/>
    <cellStyle name="통_로하스변경내역서-6(06.6.21)_체육관공원 용역 설계내역서(도급)" xfId="2198"/>
    <cellStyle name="통_문경내역(1127)" xfId="456"/>
    <cellStyle name="통_문경내역(1127)_00.유양천 - 설계내역서" xfId="457"/>
    <cellStyle name="통_문경내역(1127)_01.망굴천 하천정비사업" xfId="458"/>
    <cellStyle name="통_문경내역(1127)_01.신천 생태하천 - 설계내역서" xfId="459"/>
    <cellStyle name="통_문경내역(1127)_01.신천 생태하천 설계변경내역서" xfId="460"/>
    <cellStyle name="통_문경내역(1127)_01.신천 생태하천 설계변경내역서_01 유성천 수해상습지(기본계획 변경)" xfId="2199"/>
    <cellStyle name="통_문경내역(1127)_01.신천 생태하천 설계변경내역서_01 유성천 수해상습지_내역서" xfId="2200"/>
    <cellStyle name="통_문경내역(1127)_01.신천 생태하천 설계변경내역서_01.내역서(2억원)" xfId="2201"/>
    <cellStyle name="통_문경내역(1127)_01.신천 생태하천 설계변경내역서_01.내역서(선암리,원당천)통합" xfId="2202"/>
    <cellStyle name="통_문경내역(1127)_01.신천 생태하천 설계변경내역서_01.내역서(원당천)" xfId="2203"/>
    <cellStyle name="통_문경내역(1127)_01.신천 생태하천 설계변경내역서_01.세말천_소하천정비공사_내역서(최종)" xfId="2204"/>
    <cellStyle name="통_문경내역(1127)_01.신천 생태하천 설계변경내역서_02-1.유양천 수해상습지 개선사업 - 설계내역서" xfId="2205"/>
    <cellStyle name="통_문경내역(1127)_01.신천 생태하천 설계변경내역서_03.유성천_수해상습지_내역서(최종)" xfId="2206"/>
    <cellStyle name="통_문경내역(1127)_01.신천 생태하천 설계변경내역서_고향의강(진잠천)_실시설계_용역_내역서(발주내역)" xfId="2207"/>
    <cellStyle name="통_문경내역(1127)_01.신천 생태하천 설계변경내역서_내역서(수해원인조사및분석)" xfId="2208"/>
    <cellStyle name="통_문경내역(1127)_01.신천 생태하천 설계변경내역서_동두천시침수방지대책수립실시설계예산서(0816)" xfId="2209"/>
    <cellStyle name="통_문경내역(1127)_01.신천 생태하천 설계변경내역서_유성천_수해상습지(인건비+측정)_내역서" xfId="2210"/>
    <cellStyle name="통_문경내역(1127)_01.회룡천 생태하천 설계내역" xfId="461"/>
    <cellStyle name="통_문경내역(1127)_02-1.유양천 수해상습지 개선사업 - 설계내역서" xfId="2211"/>
    <cellStyle name="통_문경내역(1127)_고향의_강(정생천)환경부" xfId="2212"/>
    <cellStyle name="통_문경내역(1127)_고향의_강_내역(환경)" xfId="2213"/>
    <cellStyle name="통_문경내역(1127)_고향의_강_내역(환경)_01 유성천 수해상습지(기본계획 변경)" xfId="2214"/>
    <cellStyle name="통_문경내역(1127)_고향의_강_내역(환경)_01 유성천 수해상습지_내역서" xfId="2215"/>
    <cellStyle name="통_문경내역(1127)_고향의_강_내역(환경)_01.내역서(2억원)" xfId="2216"/>
    <cellStyle name="통_문경내역(1127)_고향의_강_내역(환경)_01.내역서(선암리,원당천)통합" xfId="2217"/>
    <cellStyle name="통_문경내역(1127)_고향의_강_내역(환경)_01.내역서(원당천)" xfId="2218"/>
    <cellStyle name="통_문경내역(1127)_고향의_강_내역(환경)_01.세말천_소하천정비공사_내역서(최종)" xfId="2219"/>
    <cellStyle name="통_문경내역(1127)_고향의_강_내역(환경)_03.유성천_수해상습지_내역서(최종)" xfId="2220"/>
    <cellStyle name="통_문경내역(1127)_고향의_강_내역(환경)_고향의강(진잠천)_실시설계_용역_내역서(발주내역)" xfId="2221"/>
    <cellStyle name="통_문경내역(1127)_고향의_강_내역(환경)_내역서(수해원인조사및분석)" xfId="2222"/>
    <cellStyle name="통_문경내역(1127)_고향의_강_내역(환경)_동두천시침수방지대책수립실시설계예산서(0816)" xfId="2223"/>
    <cellStyle name="통_문경내역(1127)_고향의_강_내역(환경)_유성천_수해상습지(인건비+측정)_내역서" xfId="2224"/>
    <cellStyle name="통_문경내역(1127)_골재부존량조사용역 - 내역서" xfId="462"/>
    <cellStyle name="통_문경내역(1127)_사전환경성검토 내역서(조정)" xfId="463"/>
    <cellStyle name="통_문경내역(1127)_설계내역서(변경)" xfId="2225"/>
    <cellStyle name="통_문경내역(1127)_체육관공원 용역 설계내역서(도급)" xfId="2226"/>
    <cellStyle name="통_문경내역(1127)_체육관공원 용역 설계내역서(도급)_섬진강수달생태공원 (당초설계예산서)" xfId="2227"/>
    <cellStyle name="통_복사본 동백공원내 군수영부두 이전사업용역내역서" xfId="2228"/>
    <cellStyle name="통_복사본_동백공원내_군수영부두_이전사업용역내역서" xfId="2229"/>
    <cellStyle name="통_사전환경성검토 내역서(조정)" xfId="464"/>
    <cellStyle name="통_설계내역서(변경)" xfId="2230"/>
    <cellStyle name="통_설계내역서1(1)" xfId="2231"/>
    <cellStyle name="통_울산 도시개발사업(교평)" xfId="465"/>
    <cellStyle name="통_울산 도시개발사업(교평)_00.유양천 - 설계내역서" xfId="466"/>
    <cellStyle name="통_울산 도시개발사업(교평)_01.망굴천 하천정비사업" xfId="467"/>
    <cellStyle name="통_울산 도시개발사업(교평)_01.신천 생태하천 - 설계내역서" xfId="468"/>
    <cellStyle name="통_울산 도시개발사업(교평)_01.신천 생태하천 설계변경내역서" xfId="469"/>
    <cellStyle name="통_울산 도시개발사업(교평)_01.신천 생태하천 설계변경내역서_01 유성천 수해상습지(기본계획 변경)" xfId="2232"/>
    <cellStyle name="통_울산 도시개발사업(교평)_01.신천 생태하천 설계변경내역서_01 유성천 수해상습지_내역서" xfId="2233"/>
    <cellStyle name="통_울산 도시개발사업(교평)_01.신천 생태하천 설계변경내역서_01.내역서(2억원)" xfId="2234"/>
    <cellStyle name="통_울산 도시개발사업(교평)_01.신천 생태하천 설계변경내역서_01.내역서(선암리,원당천)통합" xfId="2235"/>
    <cellStyle name="통_울산 도시개발사업(교평)_01.신천 생태하천 설계변경내역서_01.내역서(원당천)" xfId="2236"/>
    <cellStyle name="통_울산 도시개발사업(교평)_01.신천 생태하천 설계변경내역서_01.세말천_소하천정비공사_내역서(최종)" xfId="2237"/>
    <cellStyle name="통_울산 도시개발사업(교평)_01.신천 생태하천 설계변경내역서_02-1.유양천 수해상습지 개선사업 - 설계내역서" xfId="2238"/>
    <cellStyle name="통_울산 도시개발사업(교평)_01.신천 생태하천 설계변경내역서_03.유성천_수해상습지_내역서(최종)" xfId="2239"/>
    <cellStyle name="통_울산 도시개발사업(교평)_01.신천 생태하천 설계변경내역서_고향의강(진잠천)_실시설계_용역_내역서(발주내역)" xfId="2240"/>
    <cellStyle name="통_울산 도시개발사업(교평)_01.신천 생태하천 설계변경내역서_내역서(수해원인조사및분석)" xfId="2241"/>
    <cellStyle name="통_울산 도시개발사업(교평)_01.신천 생태하천 설계변경내역서_동두천시침수방지대책수립실시설계예산서(0816)" xfId="2242"/>
    <cellStyle name="통_울산 도시개발사업(교평)_01.신천 생태하천 설계변경내역서_유성천_수해상습지(인건비+측정)_내역서" xfId="2243"/>
    <cellStyle name="통_울산 도시개발사업(교평)_01.회룡천 생태하천 설계내역" xfId="470"/>
    <cellStyle name="통_울산 도시개발사업(교평)_02-1.유양천 수해상습지 개선사업 - 설계내역서" xfId="2244"/>
    <cellStyle name="통_울산 도시개발사업(교평)_고향의_강(정생천)환경부" xfId="2245"/>
    <cellStyle name="통_울산 도시개발사업(교평)_고향의_강_내역(환경)" xfId="2246"/>
    <cellStyle name="통_울산 도시개발사업(교평)_고향의_강_내역(환경)_01 유성천 수해상습지(기본계획 변경)" xfId="2247"/>
    <cellStyle name="통_울산 도시개발사업(교평)_고향의_강_내역(환경)_01 유성천 수해상습지_내역서" xfId="2248"/>
    <cellStyle name="통_울산 도시개발사업(교평)_고향의_강_내역(환경)_01.내역서(2억원)" xfId="2249"/>
    <cellStyle name="통_울산 도시개발사업(교평)_고향의_강_내역(환경)_01.내역서(선암리,원당천)통합" xfId="2250"/>
    <cellStyle name="통_울산 도시개발사업(교평)_고향의_강_내역(환경)_01.내역서(원당천)" xfId="2251"/>
    <cellStyle name="통_울산 도시개발사업(교평)_고향의_강_내역(환경)_01.세말천_소하천정비공사_내역서(최종)" xfId="2252"/>
    <cellStyle name="통_울산 도시개발사업(교평)_고향의_강_내역(환경)_03.유성천_수해상습지_내역서(최종)" xfId="2253"/>
    <cellStyle name="통_울산 도시개발사업(교평)_고향의_강_내역(환경)_고향의강(진잠천)_실시설계_용역_내역서(발주내역)" xfId="2254"/>
    <cellStyle name="통_울산 도시개발사업(교평)_고향의_강_내역(환경)_내역서(수해원인조사및분석)" xfId="2255"/>
    <cellStyle name="통_울산 도시개발사업(교평)_고향의_강_내역(환경)_동두천시침수방지대책수립실시설계예산서(0816)" xfId="2256"/>
    <cellStyle name="통_울산 도시개발사업(교평)_고향의_강_내역(환경)_유성천_수해상습지(인건비+측정)_내역서" xfId="2257"/>
    <cellStyle name="통_울산 도시개발사업(교평)_골재부존량조사용역 - 내역서" xfId="471"/>
    <cellStyle name="통_울산 도시개발사업(교평)_사전환경성검토 내역서(조정)" xfId="472"/>
    <cellStyle name="통_울산 도시개발사업(교평)_설계내역서(변경)" xfId="2258"/>
    <cellStyle name="통_일위대가양식" xfId="2259"/>
    <cellStyle name="통_일위대가양식_침수방지대책내역" xfId="2260"/>
    <cellStyle name="통_체육관공원 용역 설계내역서(도급)" xfId="2261"/>
    <cellStyle name="통_침수방지대책내역" xfId="2262"/>
    <cellStyle name="통_토목내역" xfId="2263"/>
    <cellStyle name="통_토목내역_침수방지대책내역" xfId="2264"/>
    <cellStyle name="통_황령산 봉수대 용역내역서" xfId="2265"/>
    <cellStyle name="통화 [" xfId="473"/>
    <cellStyle name="통화 [0] 2" xfId="474"/>
    <cellStyle name="통화 [0] 3" xfId="2266"/>
    <cellStyle name="퍼센트" xfId="475"/>
    <cellStyle name="표" xfId="476"/>
    <cellStyle name="표(가는선,가운데,중앙)" xfId="2267"/>
    <cellStyle name="표(가는선,왼쪽,중앙)" xfId="2268"/>
    <cellStyle name="표(세로쓰기)" xfId="2269"/>
    <cellStyle name="표_00.유양천 - 설계내역서" xfId="477"/>
    <cellStyle name="표_01.망굴천 하천정비사업" xfId="478"/>
    <cellStyle name="표_01.신천 생태하천 - 설계내역서" xfId="479"/>
    <cellStyle name="표_01.신천 생태하천 설계변경내역서" xfId="480"/>
    <cellStyle name="표_01.신천 생태하천 설계변경내역서_01 유성천 수해상습지(기본계획 변경)" xfId="2270"/>
    <cellStyle name="표_01.신천 생태하천 설계변경내역서_01 유성천 수해상습지_내역서" xfId="2271"/>
    <cellStyle name="표_01.신천 생태하천 설계변경내역서_02-1.유양천 수해상습지 개선사업 - 설계내역서" xfId="2272"/>
    <cellStyle name="표_01.신천 생태하천 설계변경내역서_고향의강(진잠천)_실시설계_용역_내역서(발주내역)" xfId="2273"/>
    <cellStyle name="표_01.신천 생태하천 설계변경내역서_유성천_수해상습지(인건비+측정)_내역서" xfId="2274"/>
    <cellStyle name="표_01.회룡천 생태하천 설계내역" xfId="481"/>
    <cellStyle name="표_02-1.유양천 수해상습지 개선사업 - 설계내역서" xfId="2275"/>
    <cellStyle name="표_2회설변전체내역서" xfId="2276"/>
    <cellStyle name="표_2회설변전체내역서_침수방지대책내역" xfId="2277"/>
    <cellStyle name="표_고향의_강(정생천)환경부" xfId="2278"/>
    <cellStyle name="표_고향의_강_내역(환경)" xfId="2279"/>
    <cellStyle name="표_고향의_강_내역(환경)_01 유성천 수해상습지(기본계획 변경)" xfId="2280"/>
    <cellStyle name="표_고향의_강_내역(환경)_01 유성천 수해상습지_내역서" xfId="2281"/>
    <cellStyle name="표_고향의_강_내역(환경)_고향의강(진잠천)_실시설계_용역_내역서(발주내역)" xfId="2282"/>
    <cellStyle name="표_고향의_강_내역(환경)_유성천_수해상습지(인건비+측정)_내역서" xfId="2283"/>
    <cellStyle name="표_골재부존량조사용역 - 내역서" xfId="482"/>
    <cellStyle name="표_교통성검토" xfId="2284"/>
    <cellStyle name="표_대장천_도심생태복원사업_기본_및_실시설계용역_설계예산서(원내역)" xfId="2285"/>
    <cellStyle name="표_로하스변경내역서-5(06.6.7)" xfId="2286"/>
    <cellStyle name="표_로하스변경내역서-5(06.6.7)_로하스변경내역서-6(06(1).6.27 당초변경)" xfId="2287"/>
    <cellStyle name="표_로하스변경내역서-5(06.6.7)_로하스변경내역서-6(06(1).6.27 당초변경)_체육관공원 용역 설계내역서(도급)" xfId="2288"/>
    <cellStyle name="표_로하스변경내역서-5(06.6.7)_체육관공원 용역 설계내역서(도급)" xfId="2289"/>
    <cellStyle name="표_로하스변경내역서-6(06.6.21)" xfId="2290"/>
    <cellStyle name="표_로하스변경내역서-6(06.6.21)_로하스변경내역서-6(06(1).6.27 당초변경)" xfId="2291"/>
    <cellStyle name="표_로하스변경내역서-6(06.6.21)_로하스변경내역서-6(06(1).6.27 당초변경)_체육관공원 용역 설계내역서(도급)" xfId="2292"/>
    <cellStyle name="표_로하스변경내역서-6(06.6.21)_체육관공원 용역 설계내역서(도급)" xfId="2293"/>
    <cellStyle name="표_문경내역(1127)" xfId="483"/>
    <cellStyle name="표_문경내역(1127)_00.유양천 - 설계내역서" xfId="484"/>
    <cellStyle name="표_문경내역(1127)_01.망굴천 하천정비사업" xfId="485"/>
    <cellStyle name="표_문경내역(1127)_01.신천 생태하천 - 설계내역서" xfId="486"/>
    <cellStyle name="표_문경내역(1127)_01.신천 생태하천 설계변경내역서" xfId="487"/>
    <cellStyle name="표_문경내역(1127)_01.신천 생태하천 설계변경내역서_01 유성천 수해상습지(기본계획 변경)" xfId="2294"/>
    <cellStyle name="표_문경내역(1127)_01.신천 생태하천 설계변경내역서_01 유성천 수해상습지_내역서" xfId="2295"/>
    <cellStyle name="표_문경내역(1127)_01.신천 생태하천 설계변경내역서_01.내역서(2억원)" xfId="2296"/>
    <cellStyle name="표_문경내역(1127)_01.신천 생태하천 설계변경내역서_01.내역서(선암리,원당천)통합" xfId="2297"/>
    <cellStyle name="표_문경내역(1127)_01.신천 생태하천 설계변경내역서_01.내역서(원당천)" xfId="2298"/>
    <cellStyle name="표_문경내역(1127)_01.신천 생태하천 설계변경내역서_01.세말천_소하천정비공사_내역서(최종)" xfId="2299"/>
    <cellStyle name="표_문경내역(1127)_01.신천 생태하천 설계변경내역서_02-1.유양천 수해상습지 개선사업 - 설계내역서" xfId="2300"/>
    <cellStyle name="표_문경내역(1127)_01.신천 생태하천 설계변경내역서_03.유성천_수해상습지_내역서(최종)" xfId="2301"/>
    <cellStyle name="표_문경내역(1127)_01.신천 생태하천 설계변경내역서_고향의강(진잠천)_실시설계_용역_내역서(발주내역)" xfId="2302"/>
    <cellStyle name="표_문경내역(1127)_01.신천 생태하천 설계변경내역서_내역서(수해원인조사및분석)" xfId="2303"/>
    <cellStyle name="표_문경내역(1127)_01.신천 생태하천 설계변경내역서_동두천시침수방지대책수립실시설계예산서(0816)" xfId="2304"/>
    <cellStyle name="표_문경내역(1127)_01.신천 생태하천 설계변경내역서_유성천_수해상습지(인건비+측정)_내역서" xfId="2305"/>
    <cellStyle name="표_문경내역(1127)_01.회룡천 생태하천 설계내역" xfId="488"/>
    <cellStyle name="표_문경내역(1127)_02-1.유양천 수해상습지 개선사업 - 설계내역서" xfId="2306"/>
    <cellStyle name="표_문경내역(1127)_고향의_강(정생천)환경부" xfId="2307"/>
    <cellStyle name="표_문경내역(1127)_고향의_강_내역(환경)" xfId="2308"/>
    <cellStyle name="표_문경내역(1127)_고향의_강_내역(환경)_01 유성천 수해상습지(기본계획 변경)" xfId="2309"/>
    <cellStyle name="표_문경내역(1127)_고향의_강_내역(환경)_01 유성천 수해상습지_내역서" xfId="2310"/>
    <cellStyle name="표_문경내역(1127)_고향의_강_내역(환경)_01.내역서(2억원)" xfId="2311"/>
    <cellStyle name="표_문경내역(1127)_고향의_강_내역(환경)_01.내역서(선암리,원당천)통합" xfId="2312"/>
    <cellStyle name="표_문경내역(1127)_고향의_강_내역(환경)_01.내역서(원당천)" xfId="2313"/>
    <cellStyle name="표_문경내역(1127)_고향의_강_내역(환경)_01.세말천_소하천정비공사_내역서(최종)" xfId="2314"/>
    <cellStyle name="표_문경내역(1127)_고향의_강_내역(환경)_03.유성천_수해상습지_내역서(최종)" xfId="2315"/>
    <cellStyle name="표_문경내역(1127)_고향의_강_내역(환경)_고향의강(진잠천)_실시설계_용역_내역서(발주내역)" xfId="2316"/>
    <cellStyle name="표_문경내역(1127)_고향의_강_내역(환경)_내역서(수해원인조사및분석)" xfId="2317"/>
    <cellStyle name="표_문경내역(1127)_고향의_강_내역(환경)_동두천시침수방지대책수립실시설계예산서(0816)" xfId="2318"/>
    <cellStyle name="표_문경내역(1127)_고향의_강_내역(환경)_유성천_수해상습지(인건비+측정)_내역서" xfId="2319"/>
    <cellStyle name="표_문경내역(1127)_골재부존량조사용역 - 내역서" xfId="489"/>
    <cellStyle name="표_문경내역(1127)_사전환경성검토 내역서(조정)" xfId="490"/>
    <cellStyle name="표_문경내역(1127)_설계내역서(변경)" xfId="2320"/>
    <cellStyle name="표_문경내역(1127)_체육관공원 용역 설계내역서(도급)" xfId="2321"/>
    <cellStyle name="표_문경내역(1127)_체육관공원 용역 설계내역서(도급)_섬진강수달생태공원 (당초설계예산서)" xfId="2322"/>
    <cellStyle name="표_복사본 동백공원내 군수영부두 이전사업용역내역서" xfId="2323"/>
    <cellStyle name="표_복사본_동백공원내_군수영부두_이전사업용역내역서" xfId="2324"/>
    <cellStyle name="표_사전환경성검토 내역서(조정)" xfId="491"/>
    <cellStyle name="표_설계내역서(변경)" xfId="2325"/>
    <cellStyle name="표_설계내역서1(1)" xfId="2326"/>
    <cellStyle name="표_울산 도시개발사업(교평)" xfId="492"/>
    <cellStyle name="표_울산 도시개발사업(교평)_00.유양천 - 설계내역서" xfId="493"/>
    <cellStyle name="표_울산 도시개발사업(교평)_01.망굴천 하천정비사업" xfId="494"/>
    <cellStyle name="표_울산 도시개발사업(교평)_01.신천 생태하천 - 설계내역서" xfId="495"/>
    <cellStyle name="표_울산 도시개발사업(교평)_01.신천 생태하천 설계변경내역서" xfId="496"/>
    <cellStyle name="표_울산 도시개발사업(교평)_01.신천 생태하천 설계변경내역서_01 유성천 수해상습지(기본계획 변경)" xfId="2327"/>
    <cellStyle name="표_울산 도시개발사업(교평)_01.신천 생태하천 설계변경내역서_01 유성천 수해상습지_내역서" xfId="2328"/>
    <cellStyle name="표_울산 도시개발사업(교평)_01.신천 생태하천 설계변경내역서_01.내역서(2억원)" xfId="2329"/>
    <cellStyle name="표_울산 도시개발사업(교평)_01.신천 생태하천 설계변경내역서_01.내역서(선암리,원당천)통합" xfId="2330"/>
    <cellStyle name="표_울산 도시개발사업(교평)_01.신천 생태하천 설계변경내역서_01.내역서(원당천)" xfId="2331"/>
    <cellStyle name="표_울산 도시개발사업(교평)_01.신천 생태하천 설계변경내역서_01.세말천_소하천정비공사_내역서(최종)" xfId="2332"/>
    <cellStyle name="표_울산 도시개발사업(교평)_01.신천 생태하천 설계변경내역서_02-1.유양천 수해상습지 개선사업 - 설계내역서" xfId="2333"/>
    <cellStyle name="표_울산 도시개발사업(교평)_01.신천 생태하천 설계변경내역서_03.유성천_수해상습지_내역서(최종)" xfId="2334"/>
    <cellStyle name="표_울산 도시개발사업(교평)_01.신천 생태하천 설계변경내역서_고향의강(진잠천)_실시설계_용역_내역서(발주내역)" xfId="2335"/>
    <cellStyle name="표_울산 도시개발사업(교평)_01.신천 생태하천 설계변경내역서_내역서(수해원인조사및분석)" xfId="2336"/>
    <cellStyle name="표_울산 도시개발사업(교평)_01.신천 생태하천 설계변경내역서_동두천시침수방지대책수립실시설계예산서(0816)" xfId="2337"/>
    <cellStyle name="표_울산 도시개발사업(교평)_01.신천 생태하천 설계변경내역서_유성천_수해상습지(인건비+측정)_내역서" xfId="2338"/>
    <cellStyle name="표_울산 도시개발사업(교평)_01.회룡천 생태하천 설계내역" xfId="497"/>
    <cellStyle name="표_울산 도시개발사업(교평)_02-1.유양천 수해상습지 개선사업 - 설계내역서" xfId="2339"/>
    <cellStyle name="표_울산 도시개발사업(교평)_고향의_강(정생천)환경부" xfId="2340"/>
    <cellStyle name="표_울산 도시개발사업(교평)_고향의_강_내역(환경)" xfId="2341"/>
    <cellStyle name="표_울산 도시개발사업(교평)_고향의_강_내역(환경)_01 유성천 수해상습지(기본계획 변경)" xfId="2342"/>
    <cellStyle name="표_울산 도시개발사업(교평)_고향의_강_내역(환경)_01 유성천 수해상습지_내역서" xfId="2343"/>
    <cellStyle name="표_울산 도시개발사업(교평)_고향의_강_내역(환경)_01.내역서(2억원)" xfId="2344"/>
    <cellStyle name="표_울산 도시개발사업(교평)_고향의_강_내역(환경)_01.내역서(선암리,원당천)통합" xfId="2345"/>
    <cellStyle name="표_울산 도시개발사업(교평)_고향의_강_내역(환경)_01.내역서(원당천)" xfId="2346"/>
    <cellStyle name="표_울산 도시개발사업(교평)_고향의_강_내역(환경)_01.세말천_소하천정비공사_내역서(최종)" xfId="2347"/>
    <cellStyle name="표_울산 도시개발사업(교평)_고향의_강_내역(환경)_03.유성천_수해상습지_내역서(최종)" xfId="2348"/>
    <cellStyle name="표_울산 도시개발사업(교평)_고향의_강_내역(환경)_고향의강(진잠천)_실시설계_용역_내역서(발주내역)" xfId="2349"/>
    <cellStyle name="표_울산 도시개발사업(교평)_고향의_강_내역(환경)_내역서(수해원인조사및분석)" xfId="2350"/>
    <cellStyle name="표_울산 도시개발사업(교평)_고향의_강_내역(환경)_동두천시침수방지대책수립실시설계예산서(0816)" xfId="2351"/>
    <cellStyle name="표_울산 도시개발사업(교평)_고향의_강_내역(환경)_유성천_수해상습지(인건비+측정)_내역서" xfId="2352"/>
    <cellStyle name="표_울산 도시개발사업(교평)_골재부존량조사용역 - 내역서" xfId="498"/>
    <cellStyle name="표_울산 도시개발사업(교평)_사전환경성검토 내역서(조정)" xfId="499"/>
    <cellStyle name="표_울산 도시개발사업(교평)_설계내역서(변경)" xfId="2353"/>
    <cellStyle name="표_일위대가양식" xfId="2354"/>
    <cellStyle name="표_일위대가양식_침수방지대책내역" xfId="2355"/>
    <cellStyle name="표_체육관공원 용역 설계내역서(도급)" xfId="2356"/>
    <cellStyle name="표_침수방지대책내역" xfId="2357"/>
    <cellStyle name="표_토목내역" xfId="2358"/>
    <cellStyle name="표_토목내역_침수방지대책내역" xfId="2359"/>
    <cellStyle name="표_황령산 봉수대 용역내역서" xfId="2360"/>
    <cellStyle name="표준" xfId="0" builtinId="0"/>
    <cellStyle name="표준 10" xfId="16"/>
    <cellStyle name="표준 11" xfId="2361"/>
    <cellStyle name="표준 12" xfId="2362"/>
    <cellStyle name="표준 13" xfId="2363"/>
    <cellStyle name="표준 14" xfId="2364"/>
    <cellStyle name="표준 15" xfId="2365"/>
    <cellStyle name="표준 16" xfId="2366"/>
    <cellStyle name="표준 17" xfId="2367"/>
    <cellStyle name="표준 18" xfId="2368"/>
    <cellStyle name="표준 19" xfId="2369"/>
    <cellStyle name="표준 2" xfId="500"/>
    <cellStyle name="표준 2 2" xfId="501"/>
    <cellStyle name="표준 2 2 2" xfId="502"/>
    <cellStyle name="표준 2 2 3" xfId="524"/>
    <cellStyle name="표준 2 3" xfId="21"/>
    <cellStyle name="표준 2 3 2" xfId="528"/>
    <cellStyle name="표준 2 4" xfId="503"/>
    <cellStyle name="표준 2 4 2" xfId="2370"/>
    <cellStyle name="표준 2 5" xfId="536"/>
    <cellStyle name="표준 2 6" xfId="540"/>
    <cellStyle name="표준 2 7" xfId="543"/>
    <cellStyle name="표준 2 8" xfId="547"/>
    <cellStyle name="표준 2_(도로)기본및실시설계설계_투입인력산정prg_100712_수정" xfId="504"/>
    <cellStyle name="표준 26" xfId="505"/>
    <cellStyle name="표준 3" xfId="3"/>
    <cellStyle name="표준 3 2" xfId="506"/>
    <cellStyle name="표준 3 2 2" xfId="2371"/>
    <cellStyle name="표준 3 3" xfId="2372"/>
    <cellStyle name="표준 3_1-2_설계내역서.." xfId="2373"/>
    <cellStyle name="표준 4" xfId="17"/>
    <cellStyle name="표준 4 2" xfId="527"/>
    <cellStyle name="표준 4 3" xfId="2374"/>
    <cellStyle name="표준 4_1-2_설계내역서.." xfId="2375"/>
    <cellStyle name="표준 5" xfId="507"/>
    <cellStyle name="표준 5 2" xfId="531"/>
    <cellStyle name="표준 6" xfId="508"/>
    <cellStyle name="표준 6 2" xfId="532"/>
    <cellStyle name="표준 7" xfId="509"/>
    <cellStyle name="표준 7 2" xfId="534"/>
    <cellStyle name="표준 8" xfId="510"/>
    <cellStyle name="표준 8 2" xfId="538"/>
    <cellStyle name="표준 9" xfId="511"/>
    <cellStyle name="표준 9 2" xfId="546"/>
    <cellStyle name="표준_★★★(별내)설계예산내역서" xfId="584"/>
    <cellStyle name="표준_060418_예산내역서_도시평가시스템 최종(일위대가재산정)" xfId="19"/>
    <cellStyle name="표준_11" xfId="12"/>
    <cellStyle name="표준_20070531134855-U0001601-AF284B004386-설계내역서" xfId="588"/>
    <cellStyle name="표준_20110818_설계내역서_국가식품산단_에너지사용계획" xfId="8"/>
    <cellStyle name="표준_20110822_조경기본계획_내역서(국가식품클러스터)" xfId="10"/>
    <cellStyle name="표준_3 예산내역서(명지-마케팅)" xfId="2"/>
    <cellStyle name="標準_Akia(F）-8" xfId="512"/>
    <cellStyle name="표준_Book1" xfId="11"/>
    <cellStyle name="標準_機械器具損料一覧表" xfId="2376"/>
    <cellStyle name="표준_부산강서설계서(최종).xls" xfId="9"/>
    <cellStyle name="표준_용역비예산내역서(향남2)기본조정" xfId="7"/>
    <cellStyle name="표준_우정지구_도시재정비" xfId="6"/>
    <cellStyle name="표준_표지" xfId="585"/>
    <cellStyle name="표준_행복도시관리계획" xfId="14"/>
    <cellStyle name="표준_행복도시지형도면고시-1" xfId="13"/>
    <cellStyle name="표준1" xfId="2377"/>
    <cellStyle name="표준123" xfId="2378"/>
    <cellStyle name="표준JKDH" xfId="2380"/>
    <cellStyle name="표준℘Sheet8 (3)" xfId="2381"/>
    <cellStyle name="표준ۤ총공사원가(집행원가)" xfId="2379"/>
    <cellStyle name="표쥰" xfId="2382"/>
    <cellStyle name="하이퍼링크_Book1" xfId="15"/>
    <cellStyle name="합계" xfId="513"/>
    <cellStyle name="합산" xfId="514"/>
    <cellStyle name="貨幣 [0]_GARMENT STEP FORM HK" xfId="515"/>
    <cellStyle name="貨幣_GARMENT STEP FORM HK" xfId="516"/>
    <cellStyle name="화폐기호" xfId="517"/>
    <cellStyle name="화폐기호0" xfId="518"/>
  </cellStyles>
  <dxfs count="0"/>
  <tableStyles count="0" defaultTableStyle="TableStyleMedium9" defaultPivotStyle="PivotStyleLight16"/>
  <colors>
    <mruColors>
      <color rgb="FFFFFFCC"/>
      <color rgb="FFFFFF99"/>
      <color rgb="FFFF33CC"/>
      <color rgb="FF0033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8" Type="http://schemas.openxmlformats.org/officeDocument/2006/relationships/worksheet" Target="worksheets/sheet8.xml"/><Relationship Id="rId51" Type="http://schemas.openxmlformats.org/officeDocument/2006/relationships/externalLink" Target="externalLinks/externalLink16.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479425</xdr:colOff>
      <xdr:row>5</xdr:row>
      <xdr:rowOff>2571750</xdr:rowOff>
    </xdr:from>
    <xdr:to>
      <xdr:col>5</xdr:col>
      <xdr:colOff>298450</xdr:colOff>
      <xdr:row>6</xdr:row>
      <xdr:rowOff>863600</xdr:rowOff>
    </xdr:to>
    <xdr:pic>
      <xdr:nvPicPr>
        <xdr:cNvPr id="2" name="Picture 3" descr="LHmark"/>
        <xdr:cNvPicPr>
          <a:picLocks noChangeAspect="1" noChangeArrowheads="1"/>
        </xdr:cNvPicPr>
      </xdr:nvPicPr>
      <xdr:blipFill>
        <a:blip xmlns:r="http://schemas.openxmlformats.org/officeDocument/2006/relationships" r:embed="rId1" cstate="print"/>
        <a:srcRect/>
        <a:stretch>
          <a:fillRect/>
        </a:stretch>
      </xdr:blipFill>
      <xdr:spPr bwMode="auto">
        <a:xfrm>
          <a:off x="2527300" y="7207250"/>
          <a:ext cx="1184275" cy="895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60878</xdr:colOff>
      <xdr:row>49</xdr:row>
      <xdr:rowOff>1</xdr:rowOff>
    </xdr:from>
    <xdr:ext cx="6278217" cy="723900"/>
    <xdr:sp macro="" textlink="">
      <xdr:nvSpPr>
        <xdr:cNvPr id="2" name="TextBox 1"/>
        <xdr:cNvSpPr txBox="1"/>
      </xdr:nvSpPr>
      <xdr:spPr>
        <a:xfrm>
          <a:off x="60878" y="9515476"/>
          <a:ext cx="6278217" cy="723900"/>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wrap="square" rtlCol="0" anchor="t">
          <a:noAutofit/>
        </a:bodyPr>
        <a:lstStyle/>
        <a:p>
          <a:r>
            <a:rPr lang="ko-KR" altLang="en-US" sz="1100" baseline="0"/>
            <a:t> </a:t>
          </a:r>
          <a:r>
            <a:rPr lang="ko-KR" altLang="en-US" sz="900"/>
            <a:t>설계용역 대가산정 </a:t>
          </a:r>
          <a:r>
            <a:rPr lang="en-US" altLang="ko-KR" sz="900"/>
            <a:t>TOOL </a:t>
          </a:r>
          <a:r>
            <a:rPr lang="ko-KR" altLang="en-US" sz="900"/>
            <a:t>관련 산식오류</a:t>
          </a:r>
          <a:r>
            <a:rPr lang="en-US" altLang="ko-KR" sz="900"/>
            <a:t>,  </a:t>
          </a:r>
          <a:r>
            <a:rPr lang="ko-KR" altLang="en-US" sz="900"/>
            <a:t>개선건의</a:t>
          </a:r>
          <a:r>
            <a:rPr lang="en-US" altLang="ko-KR" sz="900"/>
            <a:t>,</a:t>
          </a:r>
          <a:r>
            <a:rPr lang="en-US" altLang="ko-KR" sz="900" baseline="0"/>
            <a:t> </a:t>
          </a:r>
          <a:r>
            <a:rPr lang="ko-KR" altLang="en-US" sz="900" baseline="0"/>
            <a:t> 문의사항</a:t>
          </a:r>
          <a:r>
            <a:rPr lang="ko-KR" altLang="en-US" sz="900"/>
            <a:t> 은 언제든 연락주시기 바랍니다</a:t>
          </a:r>
          <a:r>
            <a:rPr lang="en-US" altLang="ko-KR" sz="900"/>
            <a:t>. </a:t>
          </a:r>
        </a:p>
        <a:p>
          <a:r>
            <a:rPr lang="ko-KR" altLang="en-US" sz="900"/>
            <a:t> 오류수정 및  개정기준을  반영한 최신 버전 </a:t>
          </a:r>
          <a:r>
            <a:rPr lang="en-US" altLang="ko-KR" sz="900"/>
            <a:t> TOOL</a:t>
          </a:r>
          <a:r>
            <a:rPr lang="ko-KR" altLang="en-US" sz="900"/>
            <a:t>은  법규정보에 산정기준과 함께 등재 예정입니다</a:t>
          </a:r>
          <a:r>
            <a:rPr lang="en-US" altLang="ko-KR" sz="900"/>
            <a:t>. </a:t>
          </a:r>
        </a:p>
        <a:p>
          <a:pPr marL="0" marR="0" indent="0" defTabSz="914400" eaLnBrk="1" fontAlgn="auto" latinLnBrk="0" hangingPunct="1">
            <a:lnSpc>
              <a:spcPct val="100000"/>
            </a:lnSpc>
            <a:spcBef>
              <a:spcPts val="0"/>
            </a:spcBef>
            <a:spcAft>
              <a:spcPts val="0"/>
            </a:spcAft>
            <a:buClrTx/>
            <a:buSzTx/>
            <a:buFontTx/>
            <a:buNone/>
            <a:tabLst/>
            <a:defRPr/>
          </a:pPr>
          <a:r>
            <a:rPr lang="en-US" altLang="ko-KR" sz="900">
              <a:solidFill>
                <a:schemeClr val="lt1"/>
              </a:solidFill>
              <a:latin typeface="+mn-lt"/>
              <a:ea typeface="+mn-ea"/>
              <a:cs typeface="+mn-cs"/>
            </a:rPr>
            <a:t>  </a:t>
          </a:r>
          <a:r>
            <a:rPr lang="ko-KR" altLang="ko-KR" sz="900">
              <a:solidFill>
                <a:schemeClr val="lt1"/>
              </a:solidFill>
              <a:latin typeface="+mn-lt"/>
              <a:ea typeface="+mn-ea"/>
              <a:cs typeface="+mn-cs"/>
            </a:rPr>
            <a:t>담당 </a:t>
          </a:r>
          <a:r>
            <a:rPr lang="en-US" altLang="ko-KR" sz="900">
              <a:solidFill>
                <a:schemeClr val="lt1"/>
              </a:solidFill>
              <a:latin typeface="+mn-lt"/>
              <a:ea typeface="+mn-ea"/>
              <a:cs typeface="+mn-cs"/>
            </a:rPr>
            <a:t>)  </a:t>
          </a:r>
          <a:r>
            <a:rPr lang="ko-KR" altLang="ko-KR" sz="900">
              <a:solidFill>
                <a:schemeClr val="lt1"/>
              </a:solidFill>
              <a:latin typeface="+mn-lt"/>
              <a:ea typeface="+mn-ea"/>
              <a:cs typeface="+mn-cs"/>
            </a:rPr>
            <a:t>단지기술처</a:t>
          </a:r>
          <a:r>
            <a:rPr lang="en-US" altLang="ko-KR" sz="900">
              <a:solidFill>
                <a:schemeClr val="lt1"/>
              </a:solidFill>
              <a:latin typeface="+mn-lt"/>
              <a:ea typeface="+mn-ea"/>
              <a:cs typeface="+mn-cs"/>
            </a:rPr>
            <a:t> </a:t>
          </a:r>
          <a:r>
            <a:rPr lang="ko-KR" altLang="ko-KR" sz="900">
              <a:solidFill>
                <a:schemeClr val="lt1"/>
              </a:solidFill>
              <a:latin typeface="+mn-lt"/>
              <a:ea typeface="+mn-ea"/>
              <a:cs typeface="+mn-cs"/>
            </a:rPr>
            <a:t> 차장 김현수</a:t>
          </a:r>
          <a:r>
            <a:rPr lang="en-US" altLang="ko-KR" sz="900">
              <a:solidFill>
                <a:schemeClr val="lt1"/>
              </a:solidFill>
              <a:latin typeface="+mn-lt"/>
              <a:ea typeface="+mn-ea"/>
              <a:cs typeface="+mn-cs"/>
            </a:rPr>
            <a:t>,  </a:t>
          </a:r>
          <a:r>
            <a:rPr lang="ko-KR" altLang="ko-KR" sz="900">
              <a:solidFill>
                <a:schemeClr val="lt1"/>
              </a:solidFill>
              <a:latin typeface="+mn-lt"/>
              <a:ea typeface="+mn-ea"/>
              <a:cs typeface="+mn-cs"/>
            </a:rPr>
            <a:t>과장 전창희 </a:t>
          </a:r>
          <a:r>
            <a:rPr lang="en-US" altLang="ko-KR" sz="900">
              <a:solidFill>
                <a:schemeClr val="lt1"/>
              </a:solidFill>
              <a:latin typeface="+mn-lt"/>
              <a:ea typeface="+mn-ea"/>
              <a:cs typeface="+mn-cs"/>
            </a:rPr>
            <a:t>(</a:t>
          </a:r>
          <a:r>
            <a:rPr lang="ko-KR" altLang="ko-KR" sz="900">
              <a:solidFill>
                <a:schemeClr val="lt1"/>
              </a:solidFill>
              <a:latin typeface="+mn-lt"/>
              <a:ea typeface="+mn-ea"/>
              <a:cs typeface="+mn-cs"/>
            </a:rPr>
            <a:t>☎ </a:t>
          </a:r>
          <a:r>
            <a:rPr lang="en-US" altLang="ko-KR" sz="900">
              <a:solidFill>
                <a:schemeClr val="lt1"/>
              </a:solidFill>
              <a:latin typeface="+mn-lt"/>
              <a:ea typeface="+mn-ea"/>
              <a:cs typeface="+mn-cs"/>
            </a:rPr>
            <a:t>031-738-3713, 3714)</a:t>
          </a:r>
          <a:endParaRPr lang="ko-KR" altLang="ko-KR" sz="900">
            <a:solidFill>
              <a:schemeClr val="lt1"/>
            </a:solidFill>
            <a:latin typeface="+mn-lt"/>
            <a:ea typeface="+mn-ea"/>
            <a:cs typeface="+mn-cs"/>
          </a:endParaRPr>
        </a:p>
        <a:p>
          <a:endParaRPr lang="ko-KR" altLang="en-US" sz="900">
            <a:solidFill>
              <a:schemeClr val="lt1"/>
            </a:solidFill>
            <a:latin typeface="+mn-lt"/>
            <a:ea typeface="+mn-ea"/>
            <a:cs typeface="+mn-cs"/>
          </a:endParaRPr>
        </a:p>
      </xdr:txBody>
    </xdr:sp>
    <xdr:clientData/>
  </xdr:oneCellAnchor>
  <xdr:oneCellAnchor>
    <xdr:from>
      <xdr:col>0</xdr:col>
      <xdr:colOff>47625</xdr:colOff>
      <xdr:row>53</xdr:row>
      <xdr:rowOff>95250</xdr:rowOff>
    </xdr:from>
    <xdr:ext cx="6278217" cy="1685925"/>
    <xdr:sp macro="" textlink="">
      <xdr:nvSpPr>
        <xdr:cNvPr id="3" name="TextBox 2"/>
        <xdr:cNvSpPr txBox="1"/>
      </xdr:nvSpPr>
      <xdr:spPr>
        <a:xfrm>
          <a:off x="47625" y="10344150"/>
          <a:ext cx="6278217" cy="1685925"/>
        </a:xfrm>
        <a:prstGeom prst="rect">
          <a:avLst/>
        </a:prstGeom>
      </xdr:spPr>
      <xdr:style>
        <a:lnRef idx="3">
          <a:schemeClr val="lt1"/>
        </a:lnRef>
        <a:fillRef idx="1">
          <a:schemeClr val="accent1"/>
        </a:fillRef>
        <a:effectRef idx="1">
          <a:schemeClr val="accent1"/>
        </a:effectRef>
        <a:fontRef idx="minor">
          <a:schemeClr val="lt1"/>
        </a:fontRef>
      </xdr:style>
      <xdr:txBody>
        <a:bodyPr vertOverflow="clip" wrap="square" rtlCol="0" anchor="t">
          <a:noAutofit/>
        </a:bodyPr>
        <a:lstStyle/>
        <a:p>
          <a:r>
            <a:rPr lang="ko-KR" altLang="en-US" sz="1100" baseline="0"/>
            <a:t> </a:t>
          </a:r>
          <a:r>
            <a:rPr lang="ko-KR" altLang="en-US" sz="1000" baseline="0">
              <a:latin typeface="+mj-ea"/>
              <a:ea typeface="+mj-ea"/>
            </a:rPr>
            <a:t>업데이트 사항</a:t>
          </a:r>
          <a:r>
            <a:rPr lang="en-US" altLang="ko-KR" sz="1000" baseline="0">
              <a:latin typeface="+mj-ea"/>
              <a:ea typeface="+mj-ea"/>
            </a:rPr>
            <a:t>(V 1.1)</a:t>
          </a:r>
        </a:p>
        <a:p>
          <a:r>
            <a:rPr lang="en-US" altLang="ko-KR" sz="1000" baseline="0">
              <a:solidFill>
                <a:schemeClr val="lt1"/>
              </a:solidFill>
              <a:latin typeface="+mj-ea"/>
              <a:ea typeface="+mj-ea"/>
              <a:cs typeface="+mn-cs"/>
            </a:rPr>
            <a:t>1. </a:t>
          </a:r>
          <a:r>
            <a:rPr lang="ko-KR" altLang="en-US" sz="1000" baseline="0">
              <a:solidFill>
                <a:schemeClr val="lt1"/>
              </a:solidFill>
              <a:latin typeface="+mj-ea"/>
              <a:ea typeface="+mj-ea"/>
              <a:cs typeface="+mn-cs"/>
            </a:rPr>
            <a:t>부가세 산정 시 손해배상공제료 포함하여 산정토록 수정</a:t>
          </a:r>
          <a:endParaRPr lang="en-US" altLang="ko-KR" sz="1000" baseline="0">
            <a:solidFill>
              <a:schemeClr val="lt1"/>
            </a:solidFill>
            <a:latin typeface="+mj-ea"/>
            <a:ea typeface="+mj-ea"/>
            <a:cs typeface="+mn-cs"/>
          </a:endParaRPr>
        </a:p>
        <a:p>
          <a:r>
            <a:rPr lang="en-US" altLang="ko-KR" sz="1000" baseline="0">
              <a:solidFill>
                <a:schemeClr val="lt1"/>
              </a:solidFill>
              <a:latin typeface="+mj-ea"/>
              <a:ea typeface="+mj-ea"/>
              <a:cs typeface="+mn-cs"/>
            </a:rPr>
            <a:t>2. </a:t>
          </a:r>
          <a:r>
            <a:rPr lang="ko-KR" altLang="en-US" sz="1000" baseline="0">
              <a:solidFill>
                <a:schemeClr val="lt1"/>
              </a:solidFill>
              <a:latin typeface="+mj-ea"/>
              <a:ea typeface="+mj-ea"/>
              <a:cs typeface="+mn-cs"/>
            </a:rPr>
            <a:t>실시설계 부가세 계산 오류 수정</a:t>
          </a:r>
          <a:endParaRPr lang="en-US" altLang="ko-KR" sz="1000" baseline="0">
            <a:solidFill>
              <a:schemeClr val="lt1"/>
            </a:solidFill>
            <a:latin typeface="+mj-ea"/>
            <a:ea typeface="+mj-ea"/>
            <a:cs typeface="+mn-cs"/>
          </a:endParaRPr>
        </a:p>
        <a:p>
          <a:r>
            <a:rPr lang="en-US" altLang="ko-KR" sz="1000" baseline="0">
              <a:solidFill>
                <a:schemeClr val="lt1"/>
              </a:solidFill>
              <a:latin typeface="+mj-ea"/>
              <a:ea typeface="+mj-ea"/>
              <a:cs typeface="+mn-cs"/>
            </a:rPr>
            <a:t>3. </a:t>
          </a:r>
          <a:r>
            <a:rPr lang="ko-KR" altLang="en-US" sz="1000" baseline="0">
              <a:solidFill>
                <a:schemeClr val="lt1"/>
              </a:solidFill>
              <a:latin typeface="+mj-ea"/>
              <a:ea typeface="+mj-ea"/>
              <a:cs typeface="+mn-cs"/>
            </a:rPr>
            <a:t>연약지반 면적 산정 조건 제시</a:t>
          </a:r>
          <a:endParaRPr lang="en-US" altLang="ko-KR" sz="1000" baseline="0">
            <a:solidFill>
              <a:schemeClr val="lt1"/>
            </a:solidFill>
            <a:latin typeface="+mj-ea"/>
            <a:ea typeface="+mj-ea"/>
            <a:cs typeface="+mn-cs"/>
          </a:endParaRPr>
        </a:p>
        <a:p>
          <a:r>
            <a:rPr lang="en-US" altLang="ko-KR" sz="1000" baseline="0">
              <a:solidFill>
                <a:schemeClr val="lt1"/>
              </a:solidFill>
              <a:latin typeface="+mj-ea"/>
              <a:ea typeface="+mj-ea"/>
              <a:cs typeface="+mn-cs"/>
            </a:rPr>
            <a:t>4. </a:t>
          </a:r>
          <a:r>
            <a:rPr lang="ko-KR" altLang="en-US" sz="1000" baseline="0">
              <a:solidFill>
                <a:schemeClr val="lt1"/>
              </a:solidFill>
              <a:latin typeface="+mj-ea"/>
              <a:ea typeface="+mj-ea"/>
              <a:cs typeface="+mn-cs"/>
            </a:rPr>
            <a:t>기본 및 실시설계 과업대상면적 관련 적용계수 오류 수정 </a:t>
          </a:r>
          <a:endParaRPr lang="en-US" altLang="ko-KR" sz="1000" baseline="0">
            <a:solidFill>
              <a:schemeClr val="lt1"/>
            </a:solidFill>
            <a:latin typeface="+mj-ea"/>
            <a:ea typeface="+mj-ea"/>
            <a:cs typeface="+mn-cs"/>
          </a:endParaRPr>
        </a:p>
        <a:p>
          <a:r>
            <a:rPr lang="en-US" altLang="ko-KR" sz="1000" baseline="0">
              <a:solidFill>
                <a:schemeClr val="lt1"/>
              </a:solidFill>
              <a:latin typeface="+mj-ea"/>
              <a:ea typeface="+mj-ea"/>
              <a:cs typeface="+mn-cs"/>
            </a:rPr>
            <a:t>5. </a:t>
          </a:r>
          <a:r>
            <a:rPr lang="ko-KR" altLang="en-US" sz="1000" baseline="0">
              <a:solidFill>
                <a:schemeClr val="lt1"/>
              </a:solidFill>
              <a:latin typeface="+mj-ea"/>
              <a:ea typeface="+mj-ea"/>
              <a:cs typeface="+mn-cs"/>
            </a:rPr>
            <a:t>기본 및 실시설계 투입인원수 오류 수정</a:t>
          </a:r>
          <a:r>
            <a:rPr lang="en-US" altLang="ko-KR" sz="1000" baseline="0">
              <a:solidFill>
                <a:schemeClr val="lt1"/>
              </a:solidFill>
              <a:latin typeface="+mj-ea"/>
              <a:ea typeface="+mj-ea"/>
              <a:cs typeface="+mn-cs"/>
            </a:rPr>
            <a:t>(</a:t>
          </a:r>
          <a:r>
            <a:rPr lang="ko-KR" altLang="en-US" sz="1000" baseline="0">
              <a:solidFill>
                <a:schemeClr val="lt1"/>
              </a:solidFill>
              <a:latin typeface="+mj-ea"/>
              <a:ea typeface="+mj-ea"/>
              <a:cs typeface="+mn-cs"/>
            </a:rPr>
            <a:t>설계</a:t>
          </a:r>
          <a:r>
            <a:rPr lang="en-US" altLang="ko-KR" sz="1000" baseline="0">
              <a:solidFill>
                <a:schemeClr val="lt1"/>
              </a:solidFill>
              <a:latin typeface="+mj-ea"/>
              <a:ea typeface="+mj-ea"/>
              <a:cs typeface="+mn-cs"/>
            </a:rPr>
            <a:t>_3, 7, 8)</a:t>
          </a:r>
        </a:p>
        <a:p>
          <a:r>
            <a:rPr lang="en-US" altLang="ko-KR" sz="1000" baseline="0">
              <a:solidFill>
                <a:schemeClr val="lt1"/>
              </a:solidFill>
              <a:latin typeface="+mj-ea"/>
              <a:ea typeface="+mj-ea"/>
              <a:cs typeface="+mn-cs"/>
            </a:rPr>
            <a:t>6. </a:t>
          </a:r>
          <a:r>
            <a:rPr lang="ko-KR" altLang="en-US" sz="1000" baseline="0">
              <a:solidFill>
                <a:schemeClr val="lt1"/>
              </a:solidFill>
              <a:latin typeface="+mj-ea"/>
              <a:ea typeface="+mj-ea"/>
              <a:cs typeface="+mn-cs"/>
            </a:rPr>
            <a:t>손해배상공제료 기본설계부분 삭제</a:t>
          </a:r>
          <a:endParaRPr lang="en-US" altLang="ko-KR" sz="1000" baseline="0">
            <a:solidFill>
              <a:schemeClr val="lt1"/>
            </a:solidFill>
            <a:latin typeface="+mj-ea"/>
            <a:ea typeface="+mj-ea"/>
            <a:cs typeface="+mn-cs"/>
          </a:endParaRPr>
        </a:p>
        <a:p>
          <a:endParaRPr lang="en-US" altLang="ko-KR" sz="1100" baseline="0">
            <a:solidFill>
              <a:schemeClr val="lt1"/>
            </a:solidFill>
            <a:latin typeface="+mj-ea"/>
            <a:ea typeface="+mj-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1&#52264;&#49444;&#44228;&#48320;&#44221;4&#50900;\&#45236;&#50669;\1&#44277;&#44396;%20&#50577;&#49885;&#51032;%20&#48177;&#50629;.xlk"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49444;&#44228;&#51088;&#47308;\&#44284;&#50629;&#51648;&#49884;&#49436;\2005\&#44256;&#50577;&#49884;\&#49548;&#54616;&#52380;&#51221;&#48708;&#44592;&#48376;&#44228;&#54925;\wp\&#44032;&#49437;&#51648;&#44396;\&#45236;&#50669;&#4943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48149;&#51116;&#50857;\&#48155;&#50500;&#44032;&#45716;&#48169;\wp\&#44032;&#49437;&#51648;&#44396;\&#45236;&#50669;&#4943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2004&#45380;project\&#51652;&#50504;-&#50857;&#45812;,&#47560;&#47161;\&#48372;&#44256;&#48143;&#54924;&#51032;\&#44284;&#50629;&#51648;&#49884;&#49436;&#48143;&#44228;&#50557;&#45236;&#50669;&#49436;0716\WINDOWS\Temporary%20Internet%20Files\Content.IE5\IFQ7EPMN\user\&#50629;&#47924;&#52628;&#51652;\&#51061;&#49328;&#44288;&#47196;\&#44288;&#44144;&#51221;&#48708;&#45236;&#50669;&#49436;(&#51061;&#4932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esign2\d\&#50864;&#47532;project-2001\4.&#51221;&#51021;&#49324;&#44277;&#50896;&#49328;&#47548;&#50837;&#51109;\&#45236;&#50669;\HNCDOC\J-DORO\0619\&#45824;&#44396;&#50504;&#4604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3.&#52265;&#54620;&#44272;&#46020;&#47532;\D\project\&#45432;&#44256;&#52380;\excel\&#45432;&#44256;3&#44368;\&#51221;&#54840;&#51089;&#54408;\&#44368;&#44033;\&#53664;%20&#44277;\ENG\SAMAN\DOHWA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54728;&#44508;\&#54728;&#44508;\XX\&#45236;&#50669;&#49436;\&#44277;&#51452;\&#44277;&#51452;&#44288;&#47144;\&#48324;&#54364;&#45236;&#5066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44284;&#50629;&#49688;&#54665;\&#49688;&#54644;&#48169;&#51648;&#45824;&#52293;\&#44228;&#50557;&#45236;&#50669;\&#50689;&#50900;&#51648;&#50669;%20&#54861;&#49688;&#54588;&#54644;&#48516;&#49437;(&#44228;&#5055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51060;&#51116;&#52268;\D%20drive\&#51088;&#47308;&#52384;\&#44284;&#50629;&#51648;&#49884;&#49436;-&#45236;&#50669;&#49436;\2003&#45380;\&#51228;&#51452;&#49888;&#54868;&#50669;&#49324;&#44277;&#50896;\&#54408;&#49480;(&#44060;&#51221;&#5403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51221;&#51648;&#54785;\C\&#51089;&#50629;&#49892;\&#50672;&#52380;&#44400;\&#50857;&#51064;&#49884;\wp\&#44032;&#49437;&#51648;&#44396;\&#45236;&#50669;&#4943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_&#45800;&#51648;\proj\&#46020;&#49884;&#49444;&#44228;&#48512;\p-T2010.&#45824;&#51204;00&#52392;&#45800;&#49328;&#50629;%20&#45800;&#51648;(LH)\&#51089;&#50629;\_&#48372;&#44256;&#51088;&#47308;\_&#48156;&#51452;&#52376;(&#44228;&#50557;&amp;&#44592;&#49457;&amp;&#44277;&#51221;)\_&#44228;&#50557;&#48320;&#44221;&amp;&#50629;&#47924;&#48516;&#51109;\151012_&#44228;&#50557;&#45236;&#50669;&#49436;\&#45824;&#51204;00%20&#46020;&#52392;%20&#49444;&#44228;&#45236;&#50669;&#49436;(&#46020;&#44553;&#45236;&#50669;&#494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mj\2003y\&#44053;&#47497;&#54588;&#54644;&#51312;&#49324;\&#54868;&#49888;\2&#45236;&#50669;_&#44284;&#50629;&#51648;&#49884;&#49436;\2001\&#51064;&#51228;&#44400;\&#49548;&#54616;&#52380;J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2015\04.%20&#51204;&#51452;&#53444;&#49548;&#49452;&#50976;\&#50629;&#47924;&#48516;&#51109;\&#51204;&#51452;&#53444;&#49548;&#49452;&#50976;%20&#44397;&#44032;&#49328;&#50629;&#45800;&#51648;%20&#46020;&#44553;&#45236;&#50669;&#4943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51088;&#46041;&#48177;&#50629;\&#48148;&#53461;%20&#54868;&#47732;\130813_&#46020;&#49884;&#52392;&#45800;&#49328;&#45800;%20&#54980;&#48372;&#51648;\4.&#53440;%20&#49324;&#50629;&#51648;&#44396;\0.&#54616;&#45224;&#48120;&#49324;\&#49884;&#54665;&#48169;&#48277;%20&#48320;&#44221;%20&#49688;&#47549;\&#48537;&#51076;2-1_&#49444;&#44228;&#45236;&#50669;&#49436;(&#48320;&#44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CHOI\&#48512;&#52380;&#54616;&#49688;&#44288;&#44144;\&#45236;&#50669;&#49436;\4&#52264;\&#49444;&#44228;&#45236;&#50669;&#49436;(&#52572;&#513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smos\d$\&#49324;&#50629;&#44288;&#47532;\&#44221;&#48513;&#51648;&#50669;\&#44221;&#49328;&#49884;&#52397;\&#52488;&#50504;&#51089;&#49457;\&#44221;&#49328;&#49884;&#44592;&#51456;&#51216;&#48143;&#51340;&#54364;&#48320;&#5487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014_&#45800;&#51648;&#44592;&#49696;&#44592;&#51456;&#52376;\3.%20&#50857;&#50669;&#45824;&#44032;%20&#44060;&#51221;\&#44592;&#51316;&#51088;&#47308;\&#50857;&#50669;&#45824;&#44032;%20(&#44428;&#50689;&#51652;)\&#48516;&#49437;&#53812;(&#52572;&#51333;)\&#45800;&#51648;&#51312;&#49457;&#48516;&#50556;%20&#50857;&#50669;&#45824;&#44032;%20&#48516;&#49437;TOOL(&#47588;&#53356;&#47196;)_&#49900;&#51032;&#51032;&#44204;%20&#48152;&#50689;_.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windows\Temp\&#48537;&#51076;2_&#45800;&#51648;&#48516;&#50556;%20&#49444;&#44228;&#50857;&#50669;%20&#45824;&#44032;%20&#49328;&#51221;%20TOOL(v%201_2)_&#49552;&#48176;&#47308;&#50836;&#50984;%20&#51312;&#512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51088;&#46041;&#48177;&#50629;\&#48148;&#53461;%20&#54868;&#47732;\&#45800;&#51648;&#48516;&#50556;_&#49444;&#44228;&#50857;&#50669;&#45824;&#44032;_&#49328;&#51221;TOOL_140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project(&#51652;&#54665;)\02&#50808;&#51452;\&#48393;&#49328;&#52380;(&#51648;&#48169;2&#44553;)&#54616;&#52380;&#51221;&#48708;&#44592;&#48376;&#44228;&#54925;%20&#48143;%20&#49688;&#54644;&#48373;&#44396;%20&#49892;&#49884;&#49444;&#44228;&#50857;&#50669;(&#51221;&#49440;&#44400;)\&#45236;&#50669;&#49436;%20&#48143;%20&#44284;&#50629;&#51648;&#49884;&#49436;\3.0%20&#44288;&#44144;&#44277;&#49324;&#48708;\&#45800;&#44032;2000\&#44277;&#49324;&#48708;-&#53664;&#47448;&#4831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esign2\d\&#50864;&#47532;project-2001\4.&#51221;&#51021;&#49324;&#44277;&#50896;&#49328;&#47548;&#50837;&#51109;\&#45236;&#50669;\HNCDOC\&#50504;&#46041;-&#50689;&#514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ÿ"/>
      <sheetName val="VXXXXX"/>
      <sheetName val="Sheet1 (2)"/>
      <sheetName val="Sheet1"/>
      <sheetName val="설계변경내역서"/>
      <sheetName val="추가내역"/>
      <sheetName val="총괄내역"/>
      <sheetName val="일위대가총괄"/>
      <sheetName val="시설물대가1"/>
      <sheetName val="식재일위대가"/>
      <sheetName val="이식목일위대가표"/>
      <sheetName val="기초일위대가"/>
      <sheetName val="견적대비표"/>
      <sheetName val="단가대비표"/>
      <sheetName val="4월 단가대비표"/>
      <sheetName val="2000노임기준"/>
      <sheetName val="적용기준"/>
      <sheetName val="중기사용료(총괄)"/>
      <sheetName val="중기사용료"/>
      <sheetName val="단가산출서(총괄) "/>
      <sheetName val="투수콘단가"/>
      <sheetName val="단가산출서"/>
      <sheetName val="기타경비산출근거"/>
      <sheetName val="설계설명서"/>
      <sheetName val="설계변경사유"/>
      <sheetName val="요인별-증감내역서"/>
      <sheetName val="공종별-증감내역"/>
      <sheetName val="설계변경내역총괄"/>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results"/>
      <sheetName val="data"/>
      <sheetName val="내역총괄"/>
      <sheetName val="직접인건비"/>
      <sheetName val="직접경비"/>
      <sheetName val="인력"/>
      <sheetName val="Sheet16"/>
    </sheetNames>
    <sheetDataSet>
      <sheetData sheetId="0"/>
      <sheetData sheetId="1" refreshError="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results"/>
      <sheetName val="data"/>
      <sheetName val="내역총괄"/>
      <sheetName val="직접인건비"/>
      <sheetName val="직접경비"/>
      <sheetName val="인력"/>
      <sheetName val="Sheet16"/>
    </sheetNames>
    <sheetDataSet>
      <sheetData sheetId="0"/>
      <sheetData sheetId="1" refreshError="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표지"/>
      <sheetName val="일위대가표"/>
      <sheetName val="기본설계"/>
      <sheetName val="실시설계"/>
      <sheetName val="기초단가"/>
    </sheetNames>
    <sheetDataSet>
      <sheetData sheetId="0" refreshError="1"/>
      <sheetData sheetId="1" refreshError="1"/>
      <sheetData sheetId="2" refreshError="1"/>
      <sheetData sheetId="3" refreshError="1"/>
      <sheetData sheetId="4" refreshError="1"/>
      <sheetData sheetId="5" refreshError="1">
        <row r="25">
          <cell r="B25">
            <v>56000</v>
          </cell>
        </row>
        <row r="26">
          <cell r="B26">
            <v>10000</v>
          </cell>
        </row>
        <row r="27">
          <cell r="B27">
            <v>27000</v>
          </cell>
        </row>
        <row r="28">
          <cell r="B28">
            <v>11000</v>
          </cell>
        </row>
        <row r="29">
          <cell r="B29">
            <v>47000</v>
          </cell>
        </row>
        <row r="30">
          <cell r="B30">
            <v>17000</v>
          </cell>
        </row>
        <row r="31">
          <cell r="B31">
            <v>145000</v>
          </cell>
        </row>
        <row r="33">
          <cell r="B33">
            <v>1368</v>
          </cell>
        </row>
        <row r="35">
          <cell r="B35">
            <v>3533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원가"/>
      <sheetName val="내역"/>
      <sheetName val="수량"/>
      <sheetName val="시설"/>
      <sheetName val="일위목록"/>
      <sheetName val="일위대가"/>
      <sheetName val="단가대비"/>
      <sheetName val="단가산출"/>
      <sheetName val="지주산출"/>
      <sheetName val="할증"/>
      <sheetName val="지급"/>
      <sheetName val="노임"/>
      <sheetName val="품셈"/>
      <sheetName val="공간내역"/>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1 (3)"/>
      <sheetName val="Sheet2 (3)"/>
      <sheetName val="Sheet3 (3)"/>
      <sheetName val="Sheet1 (2)"/>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비예산서 (2)"/>
      <sheetName val="설계 내역서 (2)"/>
      <sheetName val="공사비예산서"/>
      <sheetName val="설계 내역서"/>
      <sheetName val="품셈총괄표"/>
      <sheetName val=" 품셈"/>
      <sheetName val="장비부표총괄표"/>
      <sheetName val="부표총괄표"/>
      <sheetName val="일반부표"/>
      <sheetName val="별표총괄표"/>
      <sheetName val="별표 (2)"/>
      <sheetName val="사급자재"/>
      <sheetName val="지입자재"/>
      <sheetName val="자재수량"/>
      <sheetName val="토량총괄"/>
      <sheetName val="토적계산"/>
      <sheetName val="구조물토량"/>
      <sheetName val="우수평균깊이"/>
      <sheetName val="구조물수량산출"/>
      <sheetName val="자료"/>
      <sheetName val="단가"/>
      <sheetName val="Sheet11"/>
      <sheetName val="Sheet12"/>
      <sheetName val="Sheet13"/>
      <sheetName val="Sheet14"/>
      <sheetName val="Sheet15"/>
      <sheetName val="Sheet16"/>
      <sheetName val="일반부표총괄"/>
      <sheetName val="별 표"/>
      <sheetName val="별표총괄"/>
      <sheetName val="품셈TABLE"/>
      <sheetName val="견적 조건 변경사항"/>
      <sheetName val="단지내-공내역"/>
      <sheetName val="Sheet2"/>
      <sheetName val="Sheet3"/>
      <sheetName val="내역표지"/>
      <sheetName val="원가계산서(총괄)"/>
      <sheetName val="산출내역집계"/>
      <sheetName val="건축집계"/>
      <sheetName val="건축내역"/>
      <sheetName val="토목집계"/>
      <sheetName val="토목내역"/>
      <sheetName val="설비집계"/>
      <sheetName val="설비내역"/>
      <sheetName val="노임단가"/>
      <sheetName val="공통가설(현장검토안)"/>
      <sheetName val="별표내역"/>
      <sheetName val="3BL공동구 수량"/>
      <sheetName val="자재집계표"/>
      <sheetName val="별표 "/>
      <sheetName val="품셈표"/>
      <sheetName val="품 셈"/>
      <sheetName val="부표"/>
      <sheetName val="부표 TABLE"/>
      <sheetName val="Sheet4"/>
      <sheetName val="Sheet5"/>
      <sheetName val="Sheet6"/>
      <sheetName val="자료입력"/>
      <sheetName val="견적서"/>
      <sheetName val="도급"/>
      <sheetName val="총괄-1"/>
      <sheetName val="실행내역"/>
      <sheetName val="일위대가표"/>
      <sheetName val="금액내역서"/>
      <sheetName val="원가계산서(남측)"/>
      <sheetName val="토목"/>
      <sheetName val="TB-내역서"/>
      <sheetName val="PIPE(UG)내역"/>
      <sheetName val="원가계산"/>
      <sheetName val="시설물기초"/>
      <sheetName val="단가표"/>
      <sheetName val="EJ"/>
      <sheetName val="우,오수"/>
      <sheetName val="JOIN(2span)"/>
      <sheetName val="값"/>
      <sheetName val="일위"/>
      <sheetName val="간접경상비"/>
      <sheetName val="종단계산"/>
      <sheetName val="별총"/>
      <sheetName val="포장(수량)-관로부"/>
      <sheetName val="표준단면수량(출력안함)"/>
      <sheetName val="가시설(TYPE-A)"/>
      <sheetName val="1-1평균터파기고(1)"/>
      <sheetName val="일위대가"/>
      <sheetName val="정부노임"/>
      <sheetName val="98지급계획"/>
      <sheetName val="정렬"/>
      <sheetName val="접속도로"/>
      <sheetName val="6-1. 관개량조서"/>
      <sheetName val="총물량"/>
      <sheetName val="시멘트"/>
      <sheetName val="부표총괄"/>
      <sheetName val="품셈1-"/>
      <sheetName val="중기"/>
      <sheetName val="오억미만"/>
      <sheetName val="단중"/>
      <sheetName val="을지"/>
      <sheetName val="Ⅴ-2.공종별내역"/>
      <sheetName val="보차도경계석"/>
      <sheetName val="플랜트 설치"/>
      <sheetName val="2000년1차"/>
      <sheetName val="AABS내역"/>
      <sheetName val="PUMP"/>
      <sheetName val="VENDOR LIST"/>
      <sheetName val="공통비"/>
      <sheetName val="6동"/>
      <sheetName val="경비_원본"/>
      <sheetName val="토목내역서"/>
      <sheetName val="LIST"/>
      <sheetName val="갑지"/>
      <sheetName val="일위대가목록"/>
      <sheetName val="접속도로1"/>
      <sheetName val="노임"/>
      <sheetName val="부대내역"/>
      <sheetName val="예산M2"/>
      <sheetName val="견적의뢰"/>
      <sheetName val="실행"/>
      <sheetName val="2.품제O호표"/>
      <sheetName val="내역서"/>
      <sheetName val="인건비"/>
      <sheetName val="품셈"/>
      <sheetName val="#REF"/>
      <sheetName val="sw1"/>
      <sheetName val="NOMUBI"/>
      <sheetName val="단중표"/>
      <sheetName val="제품별절단길이-0628"/>
      <sheetName val="절단길이-CODE4"/>
      <sheetName val="색상코드-CODE5,6,7,8"/>
      <sheetName val="내역"/>
      <sheetName val="소방"/>
      <sheetName val="프랜트면허"/>
      <sheetName val="건축"/>
      <sheetName val="투찰(하수)"/>
      <sheetName val="별표집계"/>
      <sheetName val="참조-(1)"/>
      <sheetName val="NYS"/>
      <sheetName val="자재단가조사표-수목"/>
      <sheetName val="기초일위"/>
      <sheetName val="일위대가목차"/>
      <sheetName val="집계"/>
      <sheetName val="Macro1"/>
      <sheetName val="부대공(집계)"/>
      <sheetName val="설계예시"/>
      <sheetName val="공사개요"/>
      <sheetName val="기성내역서표지"/>
      <sheetName val="00상노임"/>
      <sheetName val="잡설비내역"/>
      <sheetName val="에너지요금"/>
      <sheetName val="토공사"/>
      <sheetName val="DATE"/>
      <sheetName val="guard(mac)"/>
      <sheetName val="구조물"/>
      <sheetName val="접속도로집계"/>
      <sheetName val="외주비"/>
      <sheetName val="BID"/>
      <sheetName val="대구칠곡5전기"/>
      <sheetName val="장비별표(오거보링)(Ø400)(12M)"/>
      <sheetName val="골조시행"/>
      <sheetName val="전기단가조사서"/>
      <sheetName val="SORCE1"/>
      <sheetName val="노임대가"/>
      <sheetName val="원가계산서"/>
      <sheetName val="교통대책내역"/>
      <sheetName val="평균터파기고(1-2,ASP)"/>
      <sheetName val="국내"/>
      <sheetName val="Sheet1"/>
      <sheetName val="1월"/>
      <sheetName val="지질조사"/>
      <sheetName val="하수급견적대비"/>
      <sheetName val="관계주식"/>
      <sheetName val="분수장비시설수량"/>
      <sheetName val="전기"/>
      <sheetName val="일위대가표집계표"/>
      <sheetName val="우수맨홀공제단위수량"/>
      <sheetName val="산출내역서"/>
      <sheetName val="부분별수량산출(조합기초)"/>
      <sheetName val="조명시설"/>
      <sheetName val="정부노임단가"/>
      <sheetName val="P.M 별"/>
      <sheetName val="수량산출서"/>
      <sheetName val="중소기업"/>
      <sheetName val="물량표"/>
      <sheetName val="공사내역"/>
      <sheetName val="명단"/>
      <sheetName val="사다리"/>
      <sheetName val="포장공사"/>
      <sheetName val="마감"/>
      <sheetName val="단가 및 재료비"/>
      <sheetName val="식재수량표"/>
      <sheetName val="집계표"/>
      <sheetName val="200"/>
      <sheetName val="노무비"/>
      <sheetName val="입고장부 (4)"/>
      <sheetName val="기본일위"/>
      <sheetName val="기본단가표"/>
      <sheetName val="약품공급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
          <cell r="C2" t="str">
            <v>철골공</v>
          </cell>
          <cell r="D2">
            <v>58845</v>
          </cell>
        </row>
        <row r="3">
          <cell r="C3" t="str">
            <v>콘크리트공</v>
          </cell>
          <cell r="D3">
            <v>57135</v>
          </cell>
        </row>
        <row r="4">
          <cell r="C4" t="str">
            <v>용 접 공</v>
          </cell>
          <cell r="D4">
            <v>52064</v>
          </cell>
        </row>
        <row r="5">
          <cell r="C5" t="str">
            <v>보통인부</v>
          </cell>
          <cell r="D5">
            <v>29933</v>
          </cell>
        </row>
        <row r="6">
          <cell r="C6" t="str">
            <v>특별인부</v>
          </cell>
          <cell r="D6">
            <v>43490</v>
          </cell>
        </row>
        <row r="7">
          <cell r="C7" t="str">
            <v>형틀목공</v>
          </cell>
          <cell r="D7">
            <v>61835</v>
          </cell>
        </row>
        <row r="8">
          <cell r="C8" t="str">
            <v>철근공</v>
          </cell>
          <cell r="D8">
            <v>61510</v>
          </cell>
        </row>
        <row r="9">
          <cell r="C9" t="str">
            <v>철    공</v>
          </cell>
          <cell r="D9">
            <v>58947</v>
          </cell>
        </row>
        <row r="10">
          <cell r="C10" t="str">
            <v>강판구멍뚫기</v>
          </cell>
          <cell r="D10">
            <v>85339.7</v>
          </cell>
        </row>
        <row r="11">
          <cell r="C11" t="str">
            <v>조   수</v>
          </cell>
          <cell r="D11">
            <v>29933</v>
          </cell>
        </row>
        <row r="12">
          <cell r="C12" t="str">
            <v>풀기</v>
          </cell>
          <cell r="D12">
            <v>609</v>
          </cell>
        </row>
        <row r="13">
          <cell r="C13" t="str">
            <v>보 링 공</v>
          </cell>
          <cell r="D13">
            <v>44584</v>
          </cell>
        </row>
        <row r="14">
          <cell r="C14" t="str">
            <v>비  트</v>
          </cell>
          <cell r="D14">
            <v>627000</v>
          </cell>
        </row>
        <row r="15">
          <cell r="C15" t="str">
            <v>TRACK CRANE</v>
          </cell>
          <cell r="D15">
            <v>2817</v>
          </cell>
        </row>
        <row r="16">
          <cell r="C16" t="str">
            <v>TRACK CRANE(인)</v>
          </cell>
          <cell r="D16">
            <v>15742</v>
          </cell>
        </row>
        <row r="17">
          <cell r="C17" t="str">
            <v>TRACK CRANE(경비)</v>
          </cell>
          <cell r="D17">
            <v>17824</v>
          </cell>
        </row>
        <row r="18">
          <cell r="C18" t="str">
            <v>VIBRO HAMMER</v>
          </cell>
          <cell r="D18">
            <v>11458</v>
          </cell>
        </row>
        <row r="19">
          <cell r="C19" t="str">
            <v>TRUCK CRANE</v>
          </cell>
          <cell r="D19">
            <v>2114</v>
          </cell>
        </row>
        <row r="20">
          <cell r="C20" t="str">
            <v>TRUCK CRANE(인)</v>
          </cell>
          <cell r="D20">
            <v>15742</v>
          </cell>
        </row>
        <row r="21">
          <cell r="C21" t="str">
            <v>TRUCK CRANE(경)</v>
          </cell>
          <cell r="D21">
            <v>22450</v>
          </cell>
        </row>
        <row r="22">
          <cell r="C22" t="str">
            <v>수작업반장</v>
          </cell>
          <cell r="D22">
            <v>57103</v>
          </cell>
        </row>
        <row r="23">
          <cell r="C23" t="str">
            <v>비 계 공</v>
          </cell>
          <cell r="D23">
            <v>65265</v>
          </cell>
        </row>
        <row r="24">
          <cell r="C24" t="str">
            <v>대 장 공</v>
          </cell>
          <cell r="D24">
            <v>47273</v>
          </cell>
        </row>
        <row r="25">
          <cell r="C25" t="str">
            <v>판 재(100×150×1,700m/m)</v>
          </cell>
          <cell r="D25">
            <v>152694</v>
          </cell>
        </row>
        <row r="26">
          <cell r="C26" t="str">
            <v>철    판</v>
          </cell>
        </row>
        <row r="27">
          <cell r="C27" t="str">
            <v>강판절단(수동)</v>
          </cell>
        </row>
        <row r="28">
          <cell r="C28" t="str">
            <v>용접(FILLET)</v>
          </cell>
        </row>
        <row r="29">
          <cell r="C29" t="str">
            <v>더블롯드</v>
          </cell>
        </row>
        <row r="30">
          <cell r="C30" t="str">
            <v>특수첨단장치</v>
          </cell>
        </row>
        <row r="31">
          <cell r="C31" t="str">
            <v>크라운비트</v>
          </cell>
        </row>
        <row r="32">
          <cell r="C32" t="str">
            <v>중급기술자</v>
          </cell>
        </row>
        <row r="33">
          <cell r="C33" t="str">
            <v>기 계 공</v>
          </cell>
          <cell r="D33">
            <v>51132</v>
          </cell>
        </row>
        <row r="34">
          <cell r="C34" t="str">
            <v>전    공</v>
          </cell>
          <cell r="D34">
            <v>54702</v>
          </cell>
        </row>
        <row r="35">
          <cell r="C35" t="str">
            <v>배 관 공</v>
          </cell>
        </row>
        <row r="36">
          <cell r="C36" t="str">
            <v>중급기능사</v>
          </cell>
        </row>
        <row r="37">
          <cell r="C37" t="str">
            <v>중기운전사</v>
          </cell>
          <cell r="D37">
            <v>41444</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내역"/>
      <sheetName val="대항목1"/>
      <sheetName val="소항목1"/>
      <sheetName val="대항목2"/>
      <sheetName val="소항목2"/>
      <sheetName val="대항목3"/>
      <sheetName val="일위대가1"/>
      <sheetName val="산근1"/>
      <sheetName val="수리모형내역"/>
      <sheetName val="일위대가2-1"/>
      <sheetName val="일위대가2-2"/>
      <sheetName val="환경DATA"/>
      <sheetName val="단가"/>
      <sheetName val="작성 유의사항"/>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I4">
            <v>36</v>
          </cell>
        </row>
      </sheetData>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환지방식개발계획(면적식)"/>
      <sheetName val="환지방식개발계획(절충식)"/>
      <sheetName val="환지방식개발계획(평가식)"/>
      <sheetName val="도시재개발계획(면적식)"/>
      <sheetName val="도시재개발계획(절충식)"/>
      <sheetName val="도시재개발계획(평가식)"/>
      <sheetName val="도시재개발계획(기본계획)"/>
      <sheetName val="Sheet1"/>
      <sheetName val="지구단위계획(제주)"/>
      <sheetName val="산업단지개발계획"/>
      <sheetName val="주택단지개발계획"/>
      <sheetName val="유통단지개발계획"/>
      <sheetName val="주거환경개선사업계획"/>
      <sheetName val="지구단위계획"/>
      <sheetName val="재해영향평가"/>
      <sheetName val="표서식"/>
      <sheetName val="노임단가"/>
      <sheetName val="표지"/>
      <sheetName val="표준품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5">
          <cell r="T15">
            <v>100</v>
          </cell>
        </row>
      </sheetData>
      <sheetData sheetId="14" refreshError="1"/>
      <sheetData sheetId="15" refreshError="1"/>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results"/>
      <sheetName val="data"/>
      <sheetName val="내역총괄"/>
      <sheetName val="직접인건비"/>
      <sheetName val="직접경비"/>
      <sheetName val="인력"/>
      <sheetName val="Sheet16"/>
      <sheetName val="지구단위계획"/>
      <sheetName val="DATE"/>
      <sheetName val="표지"/>
      <sheetName val="총괄내역서"/>
      <sheetName val="6.2 사전재해(개발)"/>
      <sheetName val="사전재해(개발)-제원, 노임단가, 적용요율"/>
      <sheetName val="사전재해(개발)-소요인력"/>
      <sheetName val="사전재해(개발)-산출근거-면적"/>
      <sheetName val="대로근거"/>
      <sheetName val="관접합및부설"/>
      <sheetName val="단가"/>
      <sheetName val="수량이동"/>
      <sheetName val="공수"/>
      <sheetName val="산근"/>
      <sheetName val="일위대가(계측기설치)"/>
      <sheetName val="_산근2_"/>
      <sheetName val="_산근5_"/>
      <sheetName val="하천제원"/>
      <sheetName val="Sheet1"/>
      <sheetName val="Sheet1 (2)"/>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2)"/>
      <sheetName val="예산내역서 (총괄)"/>
      <sheetName val="표지"/>
      <sheetName val="용역비총괄표"/>
      <sheetName val="1.기본계획"/>
      <sheetName val="1-1.일위대가"/>
      <sheetName val="1-2.수량산출"/>
      <sheetName val="2.조경기본계획"/>
      <sheetName val="2-1.일위대가"/>
      <sheetName val="2-2.산출근거"/>
      <sheetName val="3.농지전용"/>
      <sheetName val="3-1.일위대가"/>
      <sheetName val="3-2.산출근거"/>
      <sheetName val="4.산지전용"/>
      <sheetName val="4-1.사업계획서작성"/>
      <sheetName val="4-2.실측도"/>
      <sheetName val="4-3.산림조사서"/>
      <sheetName val="5.지구단위계획"/>
      <sheetName val="5-1.일위대가"/>
      <sheetName val="5-2.산출근거(1)"/>
      <sheetName val="5-3.산출근거(2)"/>
      <sheetName val="6.(기본및실시)예산내역서"/>
      <sheetName val="6-1.기초DATA 입력"/>
      <sheetName val="6-2.(기본및실시)직접인건비 내역"/>
      <sheetName val="6-3.기본및실시설계투입인원"/>
      <sheetName val="6-5.(기본및실시)적용수량 산출근거"/>
      <sheetName val="6-6.(기본및실시)직접경비"/>
      <sheetName val="6-7.(기본및실시)손해배상보험료"/>
      <sheetName val="7.수요 및 사업타당성조사용역"/>
      <sheetName val="7-1.일위대가"/>
      <sheetName val="7-2.인건비산출근거"/>
      <sheetName val="7-3.경비산출근거"/>
      <sheetName val="7-4.인력투입량 배분"/>
      <sheetName val="8.관리용역비"/>
      <sheetName val="8-1.산출내역"/>
    </sheetNames>
    <sheetDataSet>
      <sheetData sheetId="0"/>
      <sheetData sheetId="1"/>
      <sheetData sheetId="2"/>
      <sheetData sheetId="3">
        <row r="12">
          <cell r="A12" t="str">
            <v xml:space="preserve">  1. 기본계획</v>
          </cell>
        </row>
        <row r="13">
          <cell r="A13" t="str">
            <v xml:space="preserve">  2. 조경기본계획</v>
          </cell>
        </row>
        <row r="14">
          <cell r="A14" t="str">
            <v xml:space="preserve">  3. 농지전용 협의도서 작성</v>
          </cell>
        </row>
        <row r="15">
          <cell r="A15" t="str">
            <v xml:space="preserve">  4. 산지전용 협의도서 작성</v>
          </cell>
        </row>
        <row r="16">
          <cell r="A16" t="str">
            <v xml:space="preserve">  5. 지구단위계획</v>
          </cell>
        </row>
        <row r="17">
          <cell r="A17" t="str">
            <v xml:space="preserve">  6. 기본 및 실시설계</v>
          </cell>
        </row>
        <row r="18">
          <cell r="A18" t="str">
            <v xml:space="preserve">  7. 수요 및 사업타당성조사</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내역서"/>
      <sheetName val="내역1"/>
      <sheetName val="1-1"/>
      <sheetName val="1-2"/>
      <sheetName val="내역2"/>
      <sheetName val="종합계획"/>
      <sheetName val="측량수량산출"/>
      <sheetName val="표석수량"/>
      <sheetName val="설계기준"/>
      <sheetName val="환경"/>
      <sheetName val="환경표지"/>
      <sheetName val="환경단가1"/>
      <sheetName val="환경단가2"/>
      <sheetName val="임금"/>
    </sheetNames>
    <sheetDataSet>
      <sheetData sheetId="0" refreshError="1"/>
      <sheetData sheetId="1"/>
      <sheetData sheetId="2"/>
      <sheetData sheetId="3" refreshError="1"/>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예산내역서 (총괄)"/>
      <sheetName val="용역비총괄표(출력X)"/>
      <sheetName val="1.기본계획"/>
      <sheetName val="1-1.일위대가"/>
      <sheetName val="1-2.수량산출"/>
      <sheetName val="2.조경기본계획"/>
      <sheetName val="2-1.일위대가"/>
      <sheetName val="2-2.산출근거"/>
      <sheetName val="3.농지전용"/>
      <sheetName val="3-1.일위대가"/>
      <sheetName val="3-2.산출근거"/>
      <sheetName val="4.에너지사용계획"/>
      <sheetName val="4-1.일위대가"/>
      <sheetName val="4-2.산출근거"/>
      <sheetName val="5.지구단위계획"/>
      <sheetName val="5-1.일위대가"/>
      <sheetName val="5-2.산출근거(1)"/>
      <sheetName val="5-3.산출근거(2)"/>
      <sheetName val="6.기본및실시설계"/>
      <sheetName val="6-1.직접인건비 산출내역"/>
      <sheetName val="6-2.직접경비 산출내역"/>
      <sheetName val="6-3.기본및실시설계투입인원"/>
      <sheetName val="6-4.산출서"/>
      <sheetName val="6-5.손해배상공제료"/>
      <sheetName val="7.수요조사및마케팅전략"/>
      <sheetName val="7-1.설계내역"/>
      <sheetName val="직접인건비산출"/>
      <sheetName val="8.관리용역비"/>
      <sheetName val="산출내역"/>
    </sheetNames>
    <sheetDataSet>
      <sheetData sheetId="0"/>
      <sheetData sheetId="1"/>
      <sheetData sheetId="2">
        <row r="23">
          <cell r="A23" t="str">
            <v>Ⅱ. 관리용역</v>
          </cell>
        </row>
        <row r="24">
          <cell r="A24" t="str">
            <v>1. 관리용역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총괄표 "/>
      <sheetName val="총괄내역서"/>
      <sheetName val="1-1.사전환경"/>
      <sheetName val="1-2.일위대가표"/>
      <sheetName val="1-3.수량산출서"/>
      <sheetName val="1-4.산출근거"/>
      <sheetName val="1-5.할증율 산출"/>
      <sheetName val="2-1.기본계획 "/>
      <sheetName val="2-2.일위대가표"/>
      <sheetName val="2-3.수량산출서"/>
      <sheetName val="2-4.산출근거"/>
      <sheetName val="3-1.에너지사용계획"/>
      <sheetName val="3-2.일위대가표"/>
      <sheetName val="3-3.산출근거"/>
      <sheetName val="4-1.지구단위계획"/>
      <sheetName val="4-2.일위대가표"/>
      <sheetName val="4-3.산출근거(1)"/>
      <sheetName val="4-4.산출근거(2)"/>
      <sheetName val="5-1.조경기본계획"/>
      <sheetName val="5-2.일위대가표"/>
      <sheetName val="5-3.산출근거"/>
      <sheetName val="6-1.농지"/>
      <sheetName val="6-2.일위대가표"/>
      <sheetName val="6-3.산출근거"/>
      <sheetName val="7-1.산지"/>
      <sheetName val="7-2.사업계획서"/>
      <sheetName val="7-3.실측도작성"/>
      <sheetName val="7-4.산림조사서"/>
      <sheetName val="8-1. 기본및실시설계"/>
      <sheetName val="8-2. 산출근거"/>
      <sheetName val="노임단가"/>
      <sheetName val="간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E4" t="str">
            <v>만㎡</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9">
          <cell r="C19">
            <v>0.69</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서표지"/>
      <sheetName val="과업지시서"/>
      <sheetName val="설계예산서표지"/>
      <sheetName val="갑지"/>
      <sheetName val="총괄설계내역서"/>
      <sheetName val="설계내역"/>
      <sheetName val="일위대가표(표지)"/>
      <sheetName val="일위대가"/>
      <sheetName val="산출근거(표지)"/>
      <sheetName val="준설단가"/>
      <sheetName val="산출근거(기본설계비)"/>
      <sheetName val="물량 및 단가산출기초(표지)"/>
      <sheetName val="물량기초(관거현황)"/>
      <sheetName val="관거보수 물량"/>
      <sheetName val="용역물량"/>
      <sheetName val="관거개량물량"/>
      <sheetName val="공사비(관거개량)"/>
      <sheetName val="공사비단가(굴착, 개량)"/>
      <sheetName val="공사비단가(비굴착)"/>
      <sheetName val="공사비(관거보수)"/>
      <sheetName val="산출기초(인건비)"/>
      <sheetName val="요율"/>
      <sheetName val="인건비"/>
      <sheetName val="라.공사비"/>
      <sheetName val="우배수"/>
      <sheetName val="수로BOX"/>
      <sheetName val="데이타"/>
      <sheetName val="식재인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총괄표"/>
      <sheetName val="DB구축비용"/>
      <sheetName val="DB산출근거"/>
      <sheetName val="개발비용"/>
      <sheetName val="개발산출근거"/>
      <sheetName val="일위대가"/>
      <sheetName val="고시단가"/>
      <sheetName val="심사물량"/>
      <sheetName val="심사계산"/>
      <sheetName val="도로일위대가표"/>
      <sheetName val="노임단가 (2)"/>
      <sheetName val="산출근거"/>
      <sheetName val="경산시기준점및좌표변환"/>
      <sheetName val="환경성검토산출근거"/>
      <sheetName val="직노"/>
      <sheetName val="2003상반기노임기준"/>
      <sheetName val="실행내역"/>
      <sheetName val="노임단가"/>
      <sheetName val="Sheet1 (2)"/>
      <sheetName val="200"/>
      <sheetName val="데리네이타현황"/>
      <sheetName val="항공측량노임단가"/>
      <sheetName val="수량산출"/>
      <sheetName val="Sheet2"/>
      <sheetName val="설계명세서"/>
      <sheetName val="노임단가 및 기계경비"/>
      <sheetName val="도로횡단-D300"/>
      <sheetName val="차수공개요"/>
      <sheetName val="재료"/>
      <sheetName val="입력란"/>
      <sheetName val="97노임단가"/>
      <sheetName val="지급자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F8">
            <v>121420</v>
          </cell>
        </row>
        <row r="9">
          <cell r="F9">
            <v>93309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본및실시설계(단지)"/>
      <sheetName val="적정성 검토"/>
      <sheetName val="(기본및실시)예산내역서"/>
      <sheetName val="(기본및실시)직접인건비 내역"/>
      <sheetName val="기본및실시설계투입인원"/>
      <sheetName val="(기본및실시)적용범위"/>
      <sheetName val="기본설계(단지)"/>
      <sheetName val="(기본설계)예산내역서"/>
      <sheetName val="(기본설계)직접인건비 내역"/>
      <sheetName val="(기본설계)투입인원"/>
      <sheetName val="(기본설계)적용범위"/>
      <sheetName val="실시설계(단지)"/>
      <sheetName val="(실시설계)예산내역서"/>
      <sheetName val="(실시설계)직접인건비 내역"/>
      <sheetName val="(실시설계)투입인원"/>
      <sheetName val="기준인원수 검토"/>
      <sheetName val="(실시설계)적용범위"/>
      <sheetName val="Sheet1"/>
    </sheetNames>
    <sheetDataSet>
      <sheetData sheetId="0">
        <row r="70">
          <cell r="H70">
            <v>0.8</v>
          </cell>
        </row>
        <row r="74">
          <cell r="H74">
            <v>0.8</v>
          </cell>
        </row>
        <row r="78">
          <cell r="H78">
            <v>1</v>
          </cell>
        </row>
        <row r="83">
          <cell r="H83">
            <v>1.1000000000000001</v>
          </cell>
        </row>
        <row r="90">
          <cell r="A90">
            <v>319299</v>
          </cell>
          <cell r="C90">
            <v>245203</v>
          </cell>
          <cell r="E90">
            <v>199093</v>
          </cell>
          <cell r="G90">
            <v>175860</v>
          </cell>
          <cell r="I90">
            <v>134313</v>
          </cell>
        </row>
      </sheetData>
      <sheetData sheetId="1"/>
      <sheetData sheetId="2"/>
      <sheetData sheetId="3"/>
      <sheetData sheetId="4"/>
      <sheetData sheetId="5"/>
      <sheetData sheetId="6">
        <row r="65">
          <cell r="H65">
            <v>1</v>
          </cell>
        </row>
        <row r="69">
          <cell r="H69">
            <v>1</v>
          </cell>
        </row>
        <row r="73">
          <cell r="H73">
            <v>1</v>
          </cell>
        </row>
        <row r="78">
          <cell r="H78">
            <v>1</v>
          </cell>
        </row>
        <row r="84">
          <cell r="A84">
            <v>319299</v>
          </cell>
          <cell r="C84">
            <v>245203</v>
          </cell>
          <cell r="E84">
            <v>199093</v>
          </cell>
          <cell r="G84">
            <v>175860</v>
          </cell>
          <cell r="I84">
            <v>134313</v>
          </cell>
        </row>
      </sheetData>
      <sheetData sheetId="7"/>
      <sheetData sheetId="8"/>
      <sheetData sheetId="9"/>
      <sheetData sheetId="10"/>
      <sheetData sheetId="11">
        <row r="70">
          <cell r="H70">
            <v>1</v>
          </cell>
        </row>
        <row r="74">
          <cell r="H74">
            <v>1</v>
          </cell>
        </row>
        <row r="78">
          <cell r="H78">
            <v>1</v>
          </cell>
        </row>
        <row r="83">
          <cell r="H83">
            <v>1</v>
          </cell>
        </row>
        <row r="90">
          <cell r="A90">
            <v>319299</v>
          </cell>
          <cell r="C90">
            <v>245203</v>
          </cell>
          <cell r="E90">
            <v>199093</v>
          </cell>
          <cell r="G90">
            <v>175860</v>
          </cell>
          <cell r="I90">
            <v>134313</v>
          </cell>
        </row>
      </sheetData>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초DATA 입력"/>
      <sheetName val="표지"/>
      <sheetName val="(기본및실시)용역비총괄표"/>
      <sheetName val="(기본및실시)예산내역서"/>
      <sheetName val="(기본및실시)직접인건비 내역"/>
      <sheetName val="기본및실시설계투입인원"/>
      <sheetName val="(기본및실시)적용수량 산출근거"/>
      <sheetName val="(기본및실시)직접경비"/>
      <sheetName val="(기본및실시)손해배상보험료"/>
      <sheetName val="(기본설계)용역비총괄표"/>
      <sheetName val="(기본설계)예산내역서"/>
      <sheetName val="(기본설계)직접인건비 내역"/>
      <sheetName val="(기본설계)투입인원"/>
      <sheetName val="(기본설계)적용수량 산출근거"/>
      <sheetName val="(기본설계)직접경비"/>
      <sheetName val="(실시설계)용역비총괄표"/>
      <sheetName val="(실시설계)예산내역서"/>
      <sheetName val="(실시설계)직접인건비 내역"/>
      <sheetName val="(실시설계)투입인원"/>
      <sheetName val="(실시설계)적용수량 산출근거"/>
      <sheetName val="(실시설계)직접경비"/>
      <sheetName val="(실시설계)손해배상보험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본및실시설계(단지)"/>
      <sheetName val="(기본및실시)예산내역서"/>
      <sheetName val="(기본및실시)직접인건비 내역"/>
      <sheetName val="기본및실시설계투입인원"/>
      <sheetName val="기본설계(단지)"/>
      <sheetName val="(기본설계)예산내역서"/>
      <sheetName val="(기본설계)직접인건비 내역"/>
      <sheetName val="(기본설계)투입인원"/>
      <sheetName val="실시설계(단지)"/>
      <sheetName val="(실시설계)예산내역서"/>
      <sheetName val="(실시설계)직접인건비 내역"/>
      <sheetName val="(실시설계)투입인원"/>
    </sheetNames>
    <sheetDataSet>
      <sheetData sheetId="0">
        <row r="70">
          <cell r="H70">
            <v>0.8</v>
          </cell>
        </row>
        <row r="74">
          <cell r="H74">
            <v>0.8</v>
          </cell>
        </row>
        <row r="78">
          <cell r="H78">
            <v>0.9</v>
          </cell>
        </row>
        <row r="83">
          <cell r="H83">
            <v>1</v>
          </cell>
        </row>
        <row r="90">
          <cell r="A90">
            <v>334901</v>
          </cell>
          <cell r="C90">
            <v>247598</v>
          </cell>
          <cell r="E90">
            <v>205518</v>
          </cell>
          <cell r="G90">
            <v>187789</v>
          </cell>
          <cell r="I90">
            <v>140332</v>
          </cell>
        </row>
      </sheetData>
      <sheetData sheetId="1" refreshError="1"/>
      <sheetData sheetId="2" refreshError="1"/>
      <sheetData sheetId="3">
        <row r="5">
          <cell r="B5" t="str">
            <v>1. 과업착수준비</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산정"/>
      <sheetName val="구형거"/>
      <sheetName val="포장구간"/>
      <sheetName val="관두께"/>
      <sheetName val="직접(흄관)기초 (1)"/>
      <sheetName val="직접(흄관) 공사비"/>
      <sheetName val="직접(PC관)기초(2)"/>
      <sheetName val="직접(PC관)공사비"/>
      <sheetName val="직접(강관)기초(3)"/>
      <sheetName val="직접(강관)공사비"/>
      <sheetName val="모래(PE관)기초(4)"/>
      <sheetName val="모래(PE관)공사비"/>
      <sheetName val=" CON'C(흄관)기초 (1)"/>
      <sheetName val="CON'C(흄관)공사비 "/>
      <sheetName val="CON'C(PC관)기초(2)"/>
      <sheetName val="CON'(PC관)공사비"/>
      <sheetName val="CON'C(강관)기초(3)"/>
      <sheetName val="CON'C(강관)공사비"/>
      <sheetName val="관접합및부설"/>
      <sheetName val="단가"/>
      <sheetName val="맨홀공"/>
      <sheetName val="토류벽단가(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79">
          <cell r="C79">
            <v>1094</v>
          </cell>
        </row>
        <row r="80">
          <cell r="C80">
            <v>8126</v>
          </cell>
        </row>
        <row r="81">
          <cell r="C81">
            <v>20643</v>
          </cell>
        </row>
        <row r="82">
          <cell r="C82">
            <v>4658.03</v>
          </cell>
        </row>
        <row r="83">
          <cell r="C83">
            <v>7599.49</v>
          </cell>
        </row>
        <row r="84">
          <cell r="C84">
            <v>301.7</v>
          </cell>
        </row>
        <row r="85">
          <cell r="C85">
            <v>186.1</v>
          </cell>
        </row>
        <row r="86">
          <cell r="C86">
            <v>8126</v>
          </cell>
        </row>
      </sheetData>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VXXXX"/>
      <sheetName val="총괄표"/>
      <sheetName val="내역서"/>
      <sheetName val="공간별식재내역"/>
      <sheetName val="단가대비표"/>
      <sheetName val="지급자재"/>
      <sheetName val="수목할증"/>
      <sheetName val="노임단가"/>
      <sheetName val="일위대가목록"/>
      <sheetName val="일위대가"/>
      <sheetName val="수목수량총괄"/>
      <sheetName val="당간지주"/>
      <sheetName val="비료단가"/>
      <sheetName val="공총괄표"/>
      <sheetName val="공내역서"/>
      <sheetName val="견적대비표"/>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3.bin"/><Relationship Id="rId1" Type="http://schemas.openxmlformats.org/officeDocument/2006/relationships/hyperlink" Target="http://www.kenca.or.kr/"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27.bin"/><Relationship Id="rId1" Type="http://schemas.openxmlformats.org/officeDocument/2006/relationships/hyperlink" Target="http://133.1.7.31:8081/IKLC_LAWINFO/info_law_searchview.asp?lawid=10543150&amp;jonum=&amp;byulidx=&amp;ljo=l" TargetMode="External"/><Relationship Id="rId4" Type="http://schemas.openxmlformats.org/officeDocument/2006/relationships/comments" Target="../comments5.xm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efc.co.kr/"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32"/>
  <sheetViews>
    <sheetView view="pageBreakPreview" zoomScale="85" zoomScaleNormal="85" zoomScaleSheetLayoutView="85" workbookViewId="0">
      <selection activeCell="G13" sqref="G13"/>
    </sheetView>
  </sheetViews>
  <sheetFormatPr defaultRowHeight="13.5"/>
  <cols>
    <col min="1" max="1" width="4" style="1340" customWidth="1"/>
    <col min="2" max="2" width="4.75" style="1340" customWidth="1"/>
    <col min="3" max="3" width="19" style="1340" customWidth="1"/>
    <col min="4" max="4" width="12" style="1340" customWidth="1"/>
    <col min="5" max="5" width="18.625" style="1340" customWidth="1"/>
    <col min="6" max="6" width="10" style="1340" customWidth="1"/>
    <col min="7" max="7" width="18.75" style="1340" customWidth="1"/>
    <col min="8" max="8" width="16.5" style="1340" customWidth="1"/>
    <col min="9" max="9" width="10.25" style="1340" customWidth="1"/>
    <col min="10" max="10" width="17.375" style="1340" customWidth="1"/>
    <col min="11" max="11" width="9.375" style="1340" customWidth="1"/>
    <col min="12" max="12" width="7.25" style="1340" customWidth="1"/>
    <col min="13" max="13" width="1.5" style="1340" customWidth="1"/>
    <col min="14" max="256" width="9" style="1340"/>
    <col min="257" max="257" width="4" style="1340" customWidth="1"/>
    <col min="258" max="258" width="9.125" style="1340" customWidth="1"/>
    <col min="259" max="259" width="7.25" style="1340" customWidth="1"/>
    <col min="260" max="260" width="10.125" style="1340" customWidth="1"/>
    <col min="261" max="261" width="11.625" style="1340" customWidth="1"/>
    <col min="262" max="262" width="12.25" style="1340" customWidth="1"/>
    <col min="263" max="263" width="16.5" style="1340" customWidth="1"/>
    <col min="264" max="264" width="13.375" style="1340" customWidth="1"/>
    <col min="265" max="265" width="10.25" style="1340" customWidth="1"/>
    <col min="266" max="266" width="17.375" style="1340" customWidth="1"/>
    <col min="267" max="267" width="9.375" style="1340" customWidth="1"/>
    <col min="268" max="268" width="7.125" style="1340" customWidth="1"/>
    <col min="269" max="269" width="5.5" style="1340" customWidth="1"/>
    <col min="270" max="512" width="9" style="1340"/>
    <col min="513" max="513" width="4" style="1340" customWidth="1"/>
    <col min="514" max="514" width="9.125" style="1340" customWidth="1"/>
    <col min="515" max="515" width="7.25" style="1340" customWidth="1"/>
    <col min="516" max="516" width="10.125" style="1340" customWidth="1"/>
    <col min="517" max="517" width="11.625" style="1340" customWidth="1"/>
    <col min="518" max="518" width="12.25" style="1340" customWidth="1"/>
    <col min="519" max="519" width="16.5" style="1340" customWidth="1"/>
    <col min="520" max="520" width="13.375" style="1340" customWidth="1"/>
    <col min="521" max="521" width="10.25" style="1340" customWidth="1"/>
    <col min="522" max="522" width="17.375" style="1340" customWidth="1"/>
    <col min="523" max="523" width="9.375" style="1340" customWidth="1"/>
    <col min="524" max="524" width="7.125" style="1340" customWidth="1"/>
    <col min="525" max="525" width="5.5" style="1340" customWidth="1"/>
    <col min="526" max="768" width="9" style="1340"/>
    <col min="769" max="769" width="4" style="1340" customWidth="1"/>
    <col min="770" max="770" width="9.125" style="1340" customWidth="1"/>
    <col min="771" max="771" width="7.25" style="1340" customWidth="1"/>
    <col min="772" max="772" width="10.125" style="1340" customWidth="1"/>
    <col min="773" max="773" width="11.625" style="1340" customWidth="1"/>
    <col min="774" max="774" width="12.25" style="1340" customWidth="1"/>
    <col min="775" max="775" width="16.5" style="1340" customWidth="1"/>
    <col min="776" max="776" width="13.375" style="1340" customWidth="1"/>
    <col min="777" max="777" width="10.25" style="1340" customWidth="1"/>
    <col min="778" max="778" width="17.375" style="1340" customWidth="1"/>
    <col min="779" max="779" width="9.375" style="1340" customWidth="1"/>
    <col min="780" max="780" width="7.125" style="1340" customWidth="1"/>
    <col min="781" max="781" width="5.5" style="1340" customWidth="1"/>
    <col min="782" max="1024" width="9" style="1340"/>
    <col min="1025" max="1025" width="4" style="1340" customWidth="1"/>
    <col min="1026" max="1026" width="9.125" style="1340" customWidth="1"/>
    <col min="1027" max="1027" width="7.25" style="1340" customWidth="1"/>
    <col min="1028" max="1028" width="10.125" style="1340" customWidth="1"/>
    <col min="1029" max="1029" width="11.625" style="1340" customWidth="1"/>
    <col min="1030" max="1030" width="12.25" style="1340" customWidth="1"/>
    <col min="1031" max="1031" width="16.5" style="1340" customWidth="1"/>
    <col min="1032" max="1032" width="13.375" style="1340" customWidth="1"/>
    <col min="1033" max="1033" width="10.25" style="1340" customWidth="1"/>
    <col min="1034" max="1034" width="17.375" style="1340" customWidth="1"/>
    <col min="1035" max="1035" width="9.375" style="1340" customWidth="1"/>
    <col min="1036" max="1036" width="7.125" style="1340" customWidth="1"/>
    <col min="1037" max="1037" width="5.5" style="1340" customWidth="1"/>
    <col min="1038" max="1280" width="9" style="1340"/>
    <col min="1281" max="1281" width="4" style="1340" customWidth="1"/>
    <col min="1282" max="1282" width="9.125" style="1340" customWidth="1"/>
    <col min="1283" max="1283" width="7.25" style="1340" customWidth="1"/>
    <col min="1284" max="1284" width="10.125" style="1340" customWidth="1"/>
    <col min="1285" max="1285" width="11.625" style="1340" customWidth="1"/>
    <col min="1286" max="1286" width="12.25" style="1340" customWidth="1"/>
    <col min="1287" max="1287" width="16.5" style="1340" customWidth="1"/>
    <col min="1288" max="1288" width="13.375" style="1340" customWidth="1"/>
    <col min="1289" max="1289" width="10.25" style="1340" customWidth="1"/>
    <col min="1290" max="1290" width="17.375" style="1340" customWidth="1"/>
    <col min="1291" max="1291" width="9.375" style="1340" customWidth="1"/>
    <col min="1292" max="1292" width="7.125" style="1340" customWidth="1"/>
    <col min="1293" max="1293" width="5.5" style="1340" customWidth="1"/>
    <col min="1294" max="1536" width="9" style="1340"/>
    <col min="1537" max="1537" width="4" style="1340" customWidth="1"/>
    <col min="1538" max="1538" width="9.125" style="1340" customWidth="1"/>
    <col min="1539" max="1539" width="7.25" style="1340" customWidth="1"/>
    <col min="1540" max="1540" width="10.125" style="1340" customWidth="1"/>
    <col min="1541" max="1541" width="11.625" style="1340" customWidth="1"/>
    <col min="1542" max="1542" width="12.25" style="1340" customWidth="1"/>
    <col min="1543" max="1543" width="16.5" style="1340" customWidth="1"/>
    <col min="1544" max="1544" width="13.375" style="1340" customWidth="1"/>
    <col min="1545" max="1545" width="10.25" style="1340" customWidth="1"/>
    <col min="1546" max="1546" width="17.375" style="1340" customWidth="1"/>
    <col min="1547" max="1547" width="9.375" style="1340" customWidth="1"/>
    <col min="1548" max="1548" width="7.125" style="1340" customWidth="1"/>
    <col min="1549" max="1549" width="5.5" style="1340" customWidth="1"/>
    <col min="1550" max="1792" width="9" style="1340"/>
    <col min="1793" max="1793" width="4" style="1340" customWidth="1"/>
    <col min="1794" max="1794" width="9.125" style="1340" customWidth="1"/>
    <col min="1795" max="1795" width="7.25" style="1340" customWidth="1"/>
    <col min="1796" max="1796" width="10.125" style="1340" customWidth="1"/>
    <col min="1797" max="1797" width="11.625" style="1340" customWidth="1"/>
    <col min="1798" max="1798" width="12.25" style="1340" customWidth="1"/>
    <col min="1799" max="1799" width="16.5" style="1340" customWidth="1"/>
    <col min="1800" max="1800" width="13.375" style="1340" customWidth="1"/>
    <col min="1801" max="1801" width="10.25" style="1340" customWidth="1"/>
    <col min="1802" max="1802" width="17.375" style="1340" customWidth="1"/>
    <col min="1803" max="1803" width="9.375" style="1340" customWidth="1"/>
    <col min="1804" max="1804" width="7.125" style="1340" customWidth="1"/>
    <col min="1805" max="1805" width="5.5" style="1340" customWidth="1"/>
    <col min="1806" max="2048" width="9" style="1340"/>
    <col min="2049" max="2049" width="4" style="1340" customWidth="1"/>
    <col min="2050" max="2050" width="9.125" style="1340" customWidth="1"/>
    <col min="2051" max="2051" width="7.25" style="1340" customWidth="1"/>
    <col min="2052" max="2052" width="10.125" style="1340" customWidth="1"/>
    <col min="2053" max="2053" width="11.625" style="1340" customWidth="1"/>
    <col min="2054" max="2054" width="12.25" style="1340" customWidth="1"/>
    <col min="2055" max="2055" width="16.5" style="1340" customWidth="1"/>
    <col min="2056" max="2056" width="13.375" style="1340" customWidth="1"/>
    <col min="2057" max="2057" width="10.25" style="1340" customWidth="1"/>
    <col min="2058" max="2058" width="17.375" style="1340" customWidth="1"/>
    <col min="2059" max="2059" width="9.375" style="1340" customWidth="1"/>
    <col min="2060" max="2060" width="7.125" style="1340" customWidth="1"/>
    <col min="2061" max="2061" width="5.5" style="1340" customWidth="1"/>
    <col min="2062" max="2304" width="9" style="1340"/>
    <col min="2305" max="2305" width="4" style="1340" customWidth="1"/>
    <col min="2306" max="2306" width="9.125" style="1340" customWidth="1"/>
    <col min="2307" max="2307" width="7.25" style="1340" customWidth="1"/>
    <col min="2308" max="2308" width="10.125" style="1340" customWidth="1"/>
    <col min="2309" max="2309" width="11.625" style="1340" customWidth="1"/>
    <col min="2310" max="2310" width="12.25" style="1340" customWidth="1"/>
    <col min="2311" max="2311" width="16.5" style="1340" customWidth="1"/>
    <col min="2312" max="2312" width="13.375" style="1340" customWidth="1"/>
    <col min="2313" max="2313" width="10.25" style="1340" customWidth="1"/>
    <col min="2314" max="2314" width="17.375" style="1340" customWidth="1"/>
    <col min="2315" max="2315" width="9.375" style="1340" customWidth="1"/>
    <col min="2316" max="2316" width="7.125" style="1340" customWidth="1"/>
    <col min="2317" max="2317" width="5.5" style="1340" customWidth="1"/>
    <col min="2318" max="2560" width="9" style="1340"/>
    <col min="2561" max="2561" width="4" style="1340" customWidth="1"/>
    <col min="2562" max="2562" width="9.125" style="1340" customWidth="1"/>
    <col min="2563" max="2563" width="7.25" style="1340" customWidth="1"/>
    <col min="2564" max="2564" width="10.125" style="1340" customWidth="1"/>
    <col min="2565" max="2565" width="11.625" style="1340" customWidth="1"/>
    <col min="2566" max="2566" width="12.25" style="1340" customWidth="1"/>
    <col min="2567" max="2567" width="16.5" style="1340" customWidth="1"/>
    <col min="2568" max="2568" width="13.375" style="1340" customWidth="1"/>
    <col min="2569" max="2569" width="10.25" style="1340" customWidth="1"/>
    <col min="2570" max="2570" width="17.375" style="1340" customWidth="1"/>
    <col min="2571" max="2571" width="9.375" style="1340" customWidth="1"/>
    <col min="2572" max="2572" width="7.125" style="1340" customWidth="1"/>
    <col min="2573" max="2573" width="5.5" style="1340" customWidth="1"/>
    <col min="2574" max="2816" width="9" style="1340"/>
    <col min="2817" max="2817" width="4" style="1340" customWidth="1"/>
    <col min="2818" max="2818" width="9.125" style="1340" customWidth="1"/>
    <col min="2819" max="2819" width="7.25" style="1340" customWidth="1"/>
    <col min="2820" max="2820" width="10.125" style="1340" customWidth="1"/>
    <col min="2821" max="2821" width="11.625" style="1340" customWidth="1"/>
    <col min="2822" max="2822" width="12.25" style="1340" customWidth="1"/>
    <col min="2823" max="2823" width="16.5" style="1340" customWidth="1"/>
    <col min="2824" max="2824" width="13.375" style="1340" customWidth="1"/>
    <col min="2825" max="2825" width="10.25" style="1340" customWidth="1"/>
    <col min="2826" max="2826" width="17.375" style="1340" customWidth="1"/>
    <col min="2827" max="2827" width="9.375" style="1340" customWidth="1"/>
    <col min="2828" max="2828" width="7.125" style="1340" customWidth="1"/>
    <col min="2829" max="2829" width="5.5" style="1340" customWidth="1"/>
    <col min="2830" max="3072" width="9" style="1340"/>
    <col min="3073" max="3073" width="4" style="1340" customWidth="1"/>
    <col min="3074" max="3074" width="9.125" style="1340" customWidth="1"/>
    <col min="3075" max="3075" width="7.25" style="1340" customWidth="1"/>
    <col min="3076" max="3076" width="10.125" style="1340" customWidth="1"/>
    <col min="3077" max="3077" width="11.625" style="1340" customWidth="1"/>
    <col min="3078" max="3078" width="12.25" style="1340" customWidth="1"/>
    <col min="3079" max="3079" width="16.5" style="1340" customWidth="1"/>
    <col min="3080" max="3080" width="13.375" style="1340" customWidth="1"/>
    <col min="3081" max="3081" width="10.25" style="1340" customWidth="1"/>
    <col min="3082" max="3082" width="17.375" style="1340" customWidth="1"/>
    <col min="3083" max="3083" width="9.375" style="1340" customWidth="1"/>
    <col min="3084" max="3084" width="7.125" style="1340" customWidth="1"/>
    <col min="3085" max="3085" width="5.5" style="1340" customWidth="1"/>
    <col min="3086" max="3328" width="9" style="1340"/>
    <col min="3329" max="3329" width="4" style="1340" customWidth="1"/>
    <col min="3330" max="3330" width="9.125" style="1340" customWidth="1"/>
    <col min="3331" max="3331" width="7.25" style="1340" customWidth="1"/>
    <col min="3332" max="3332" width="10.125" style="1340" customWidth="1"/>
    <col min="3333" max="3333" width="11.625" style="1340" customWidth="1"/>
    <col min="3334" max="3334" width="12.25" style="1340" customWidth="1"/>
    <col min="3335" max="3335" width="16.5" style="1340" customWidth="1"/>
    <col min="3336" max="3336" width="13.375" style="1340" customWidth="1"/>
    <col min="3337" max="3337" width="10.25" style="1340" customWidth="1"/>
    <col min="3338" max="3338" width="17.375" style="1340" customWidth="1"/>
    <col min="3339" max="3339" width="9.375" style="1340" customWidth="1"/>
    <col min="3340" max="3340" width="7.125" style="1340" customWidth="1"/>
    <col min="3341" max="3341" width="5.5" style="1340" customWidth="1"/>
    <col min="3342" max="3584" width="9" style="1340"/>
    <col min="3585" max="3585" width="4" style="1340" customWidth="1"/>
    <col min="3586" max="3586" width="9.125" style="1340" customWidth="1"/>
    <col min="3587" max="3587" width="7.25" style="1340" customWidth="1"/>
    <col min="3588" max="3588" width="10.125" style="1340" customWidth="1"/>
    <col min="3589" max="3589" width="11.625" style="1340" customWidth="1"/>
    <col min="3590" max="3590" width="12.25" style="1340" customWidth="1"/>
    <col min="3591" max="3591" width="16.5" style="1340" customWidth="1"/>
    <col min="3592" max="3592" width="13.375" style="1340" customWidth="1"/>
    <col min="3593" max="3593" width="10.25" style="1340" customWidth="1"/>
    <col min="3594" max="3594" width="17.375" style="1340" customWidth="1"/>
    <col min="3595" max="3595" width="9.375" style="1340" customWidth="1"/>
    <col min="3596" max="3596" width="7.125" style="1340" customWidth="1"/>
    <col min="3597" max="3597" width="5.5" style="1340" customWidth="1"/>
    <col min="3598" max="3840" width="9" style="1340"/>
    <col min="3841" max="3841" width="4" style="1340" customWidth="1"/>
    <col min="3842" max="3842" width="9.125" style="1340" customWidth="1"/>
    <col min="3843" max="3843" width="7.25" style="1340" customWidth="1"/>
    <col min="3844" max="3844" width="10.125" style="1340" customWidth="1"/>
    <col min="3845" max="3845" width="11.625" style="1340" customWidth="1"/>
    <col min="3846" max="3846" width="12.25" style="1340" customWidth="1"/>
    <col min="3847" max="3847" width="16.5" style="1340" customWidth="1"/>
    <col min="3848" max="3848" width="13.375" style="1340" customWidth="1"/>
    <col min="3849" max="3849" width="10.25" style="1340" customWidth="1"/>
    <col min="3850" max="3850" width="17.375" style="1340" customWidth="1"/>
    <col min="3851" max="3851" width="9.375" style="1340" customWidth="1"/>
    <col min="3852" max="3852" width="7.125" style="1340" customWidth="1"/>
    <col min="3853" max="3853" width="5.5" style="1340" customWidth="1"/>
    <col min="3854" max="4096" width="9" style="1340"/>
    <col min="4097" max="4097" width="4" style="1340" customWidth="1"/>
    <col min="4098" max="4098" width="9.125" style="1340" customWidth="1"/>
    <col min="4099" max="4099" width="7.25" style="1340" customWidth="1"/>
    <col min="4100" max="4100" width="10.125" style="1340" customWidth="1"/>
    <col min="4101" max="4101" width="11.625" style="1340" customWidth="1"/>
    <col min="4102" max="4102" width="12.25" style="1340" customWidth="1"/>
    <col min="4103" max="4103" width="16.5" style="1340" customWidth="1"/>
    <col min="4104" max="4104" width="13.375" style="1340" customWidth="1"/>
    <col min="4105" max="4105" width="10.25" style="1340" customWidth="1"/>
    <col min="4106" max="4106" width="17.375" style="1340" customWidth="1"/>
    <col min="4107" max="4107" width="9.375" style="1340" customWidth="1"/>
    <col min="4108" max="4108" width="7.125" style="1340" customWidth="1"/>
    <col min="4109" max="4109" width="5.5" style="1340" customWidth="1"/>
    <col min="4110" max="4352" width="9" style="1340"/>
    <col min="4353" max="4353" width="4" style="1340" customWidth="1"/>
    <col min="4354" max="4354" width="9.125" style="1340" customWidth="1"/>
    <col min="4355" max="4355" width="7.25" style="1340" customWidth="1"/>
    <col min="4356" max="4356" width="10.125" style="1340" customWidth="1"/>
    <col min="4357" max="4357" width="11.625" style="1340" customWidth="1"/>
    <col min="4358" max="4358" width="12.25" style="1340" customWidth="1"/>
    <col min="4359" max="4359" width="16.5" style="1340" customWidth="1"/>
    <col min="4360" max="4360" width="13.375" style="1340" customWidth="1"/>
    <col min="4361" max="4361" width="10.25" style="1340" customWidth="1"/>
    <col min="4362" max="4362" width="17.375" style="1340" customWidth="1"/>
    <col min="4363" max="4363" width="9.375" style="1340" customWidth="1"/>
    <col min="4364" max="4364" width="7.125" style="1340" customWidth="1"/>
    <col min="4365" max="4365" width="5.5" style="1340" customWidth="1"/>
    <col min="4366" max="4608" width="9" style="1340"/>
    <col min="4609" max="4609" width="4" style="1340" customWidth="1"/>
    <col min="4610" max="4610" width="9.125" style="1340" customWidth="1"/>
    <col min="4611" max="4611" width="7.25" style="1340" customWidth="1"/>
    <col min="4612" max="4612" width="10.125" style="1340" customWidth="1"/>
    <col min="4613" max="4613" width="11.625" style="1340" customWidth="1"/>
    <col min="4614" max="4614" width="12.25" style="1340" customWidth="1"/>
    <col min="4615" max="4615" width="16.5" style="1340" customWidth="1"/>
    <col min="4616" max="4616" width="13.375" style="1340" customWidth="1"/>
    <col min="4617" max="4617" width="10.25" style="1340" customWidth="1"/>
    <col min="4618" max="4618" width="17.375" style="1340" customWidth="1"/>
    <col min="4619" max="4619" width="9.375" style="1340" customWidth="1"/>
    <col min="4620" max="4620" width="7.125" style="1340" customWidth="1"/>
    <col min="4621" max="4621" width="5.5" style="1340" customWidth="1"/>
    <col min="4622" max="4864" width="9" style="1340"/>
    <col min="4865" max="4865" width="4" style="1340" customWidth="1"/>
    <col min="4866" max="4866" width="9.125" style="1340" customWidth="1"/>
    <col min="4867" max="4867" width="7.25" style="1340" customWidth="1"/>
    <col min="4868" max="4868" width="10.125" style="1340" customWidth="1"/>
    <col min="4869" max="4869" width="11.625" style="1340" customWidth="1"/>
    <col min="4870" max="4870" width="12.25" style="1340" customWidth="1"/>
    <col min="4871" max="4871" width="16.5" style="1340" customWidth="1"/>
    <col min="4872" max="4872" width="13.375" style="1340" customWidth="1"/>
    <col min="4873" max="4873" width="10.25" style="1340" customWidth="1"/>
    <col min="4874" max="4874" width="17.375" style="1340" customWidth="1"/>
    <col min="4875" max="4875" width="9.375" style="1340" customWidth="1"/>
    <col min="4876" max="4876" width="7.125" style="1340" customWidth="1"/>
    <col min="4877" max="4877" width="5.5" style="1340" customWidth="1"/>
    <col min="4878" max="5120" width="9" style="1340"/>
    <col min="5121" max="5121" width="4" style="1340" customWidth="1"/>
    <col min="5122" max="5122" width="9.125" style="1340" customWidth="1"/>
    <col min="5123" max="5123" width="7.25" style="1340" customWidth="1"/>
    <col min="5124" max="5124" width="10.125" style="1340" customWidth="1"/>
    <col min="5125" max="5125" width="11.625" style="1340" customWidth="1"/>
    <col min="5126" max="5126" width="12.25" style="1340" customWidth="1"/>
    <col min="5127" max="5127" width="16.5" style="1340" customWidth="1"/>
    <col min="5128" max="5128" width="13.375" style="1340" customWidth="1"/>
    <col min="5129" max="5129" width="10.25" style="1340" customWidth="1"/>
    <col min="5130" max="5130" width="17.375" style="1340" customWidth="1"/>
    <col min="5131" max="5131" width="9.375" style="1340" customWidth="1"/>
    <col min="5132" max="5132" width="7.125" style="1340" customWidth="1"/>
    <col min="5133" max="5133" width="5.5" style="1340" customWidth="1"/>
    <col min="5134" max="5376" width="9" style="1340"/>
    <col min="5377" max="5377" width="4" style="1340" customWidth="1"/>
    <col min="5378" max="5378" width="9.125" style="1340" customWidth="1"/>
    <col min="5379" max="5379" width="7.25" style="1340" customWidth="1"/>
    <col min="5380" max="5380" width="10.125" style="1340" customWidth="1"/>
    <col min="5381" max="5381" width="11.625" style="1340" customWidth="1"/>
    <col min="5382" max="5382" width="12.25" style="1340" customWidth="1"/>
    <col min="5383" max="5383" width="16.5" style="1340" customWidth="1"/>
    <col min="5384" max="5384" width="13.375" style="1340" customWidth="1"/>
    <col min="5385" max="5385" width="10.25" style="1340" customWidth="1"/>
    <col min="5386" max="5386" width="17.375" style="1340" customWidth="1"/>
    <col min="5387" max="5387" width="9.375" style="1340" customWidth="1"/>
    <col min="5388" max="5388" width="7.125" style="1340" customWidth="1"/>
    <col min="5389" max="5389" width="5.5" style="1340" customWidth="1"/>
    <col min="5390" max="5632" width="9" style="1340"/>
    <col min="5633" max="5633" width="4" style="1340" customWidth="1"/>
    <col min="5634" max="5634" width="9.125" style="1340" customWidth="1"/>
    <col min="5635" max="5635" width="7.25" style="1340" customWidth="1"/>
    <col min="5636" max="5636" width="10.125" style="1340" customWidth="1"/>
    <col min="5637" max="5637" width="11.625" style="1340" customWidth="1"/>
    <col min="5638" max="5638" width="12.25" style="1340" customWidth="1"/>
    <col min="5639" max="5639" width="16.5" style="1340" customWidth="1"/>
    <col min="5640" max="5640" width="13.375" style="1340" customWidth="1"/>
    <col min="5641" max="5641" width="10.25" style="1340" customWidth="1"/>
    <col min="5642" max="5642" width="17.375" style="1340" customWidth="1"/>
    <col min="5643" max="5643" width="9.375" style="1340" customWidth="1"/>
    <col min="5644" max="5644" width="7.125" style="1340" customWidth="1"/>
    <col min="5645" max="5645" width="5.5" style="1340" customWidth="1"/>
    <col min="5646" max="5888" width="9" style="1340"/>
    <col min="5889" max="5889" width="4" style="1340" customWidth="1"/>
    <col min="5890" max="5890" width="9.125" style="1340" customWidth="1"/>
    <col min="5891" max="5891" width="7.25" style="1340" customWidth="1"/>
    <col min="5892" max="5892" width="10.125" style="1340" customWidth="1"/>
    <col min="5893" max="5893" width="11.625" style="1340" customWidth="1"/>
    <col min="5894" max="5894" width="12.25" style="1340" customWidth="1"/>
    <col min="5895" max="5895" width="16.5" style="1340" customWidth="1"/>
    <col min="5896" max="5896" width="13.375" style="1340" customWidth="1"/>
    <col min="5897" max="5897" width="10.25" style="1340" customWidth="1"/>
    <col min="5898" max="5898" width="17.375" style="1340" customWidth="1"/>
    <col min="5899" max="5899" width="9.375" style="1340" customWidth="1"/>
    <col min="5900" max="5900" width="7.125" style="1340" customWidth="1"/>
    <col min="5901" max="5901" width="5.5" style="1340" customWidth="1"/>
    <col min="5902" max="6144" width="9" style="1340"/>
    <col min="6145" max="6145" width="4" style="1340" customWidth="1"/>
    <col min="6146" max="6146" width="9.125" style="1340" customWidth="1"/>
    <col min="6147" max="6147" width="7.25" style="1340" customWidth="1"/>
    <col min="6148" max="6148" width="10.125" style="1340" customWidth="1"/>
    <col min="6149" max="6149" width="11.625" style="1340" customWidth="1"/>
    <col min="6150" max="6150" width="12.25" style="1340" customWidth="1"/>
    <col min="6151" max="6151" width="16.5" style="1340" customWidth="1"/>
    <col min="6152" max="6152" width="13.375" style="1340" customWidth="1"/>
    <col min="6153" max="6153" width="10.25" style="1340" customWidth="1"/>
    <col min="6154" max="6154" width="17.375" style="1340" customWidth="1"/>
    <col min="6155" max="6155" width="9.375" style="1340" customWidth="1"/>
    <col min="6156" max="6156" width="7.125" style="1340" customWidth="1"/>
    <col min="6157" max="6157" width="5.5" style="1340" customWidth="1"/>
    <col min="6158" max="6400" width="9" style="1340"/>
    <col min="6401" max="6401" width="4" style="1340" customWidth="1"/>
    <col min="6402" max="6402" width="9.125" style="1340" customWidth="1"/>
    <col min="6403" max="6403" width="7.25" style="1340" customWidth="1"/>
    <col min="6404" max="6404" width="10.125" style="1340" customWidth="1"/>
    <col min="6405" max="6405" width="11.625" style="1340" customWidth="1"/>
    <col min="6406" max="6406" width="12.25" style="1340" customWidth="1"/>
    <col min="6407" max="6407" width="16.5" style="1340" customWidth="1"/>
    <col min="6408" max="6408" width="13.375" style="1340" customWidth="1"/>
    <col min="6409" max="6409" width="10.25" style="1340" customWidth="1"/>
    <col min="6410" max="6410" width="17.375" style="1340" customWidth="1"/>
    <col min="6411" max="6411" width="9.375" style="1340" customWidth="1"/>
    <col min="6412" max="6412" width="7.125" style="1340" customWidth="1"/>
    <col min="6413" max="6413" width="5.5" style="1340" customWidth="1"/>
    <col min="6414" max="6656" width="9" style="1340"/>
    <col min="6657" max="6657" width="4" style="1340" customWidth="1"/>
    <col min="6658" max="6658" width="9.125" style="1340" customWidth="1"/>
    <col min="6659" max="6659" width="7.25" style="1340" customWidth="1"/>
    <col min="6660" max="6660" width="10.125" style="1340" customWidth="1"/>
    <col min="6661" max="6661" width="11.625" style="1340" customWidth="1"/>
    <col min="6662" max="6662" width="12.25" style="1340" customWidth="1"/>
    <col min="6663" max="6663" width="16.5" style="1340" customWidth="1"/>
    <col min="6664" max="6664" width="13.375" style="1340" customWidth="1"/>
    <col min="6665" max="6665" width="10.25" style="1340" customWidth="1"/>
    <col min="6666" max="6666" width="17.375" style="1340" customWidth="1"/>
    <col min="6667" max="6667" width="9.375" style="1340" customWidth="1"/>
    <col min="6668" max="6668" width="7.125" style="1340" customWidth="1"/>
    <col min="6669" max="6669" width="5.5" style="1340" customWidth="1"/>
    <col min="6670" max="6912" width="9" style="1340"/>
    <col min="6913" max="6913" width="4" style="1340" customWidth="1"/>
    <col min="6914" max="6914" width="9.125" style="1340" customWidth="1"/>
    <col min="6915" max="6915" width="7.25" style="1340" customWidth="1"/>
    <col min="6916" max="6916" width="10.125" style="1340" customWidth="1"/>
    <col min="6917" max="6917" width="11.625" style="1340" customWidth="1"/>
    <col min="6918" max="6918" width="12.25" style="1340" customWidth="1"/>
    <col min="6919" max="6919" width="16.5" style="1340" customWidth="1"/>
    <col min="6920" max="6920" width="13.375" style="1340" customWidth="1"/>
    <col min="6921" max="6921" width="10.25" style="1340" customWidth="1"/>
    <col min="6922" max="6922" width="17.375" style="1340" customWidth="1"/>
    <col min="6923" max="6923" width="9.375" style="1340" customWidth="1"/>
    <col min="6924" max="6924" width="7.125" style="1340" customWidth="1"/>
    <col min="6925" max="6925" width="5.5" style="1340" customWidth="1"/>
    <col min="6926" max="7168" width="9" style="1340"/>
    <col min="7169" max="7169" width="4" style="1340" customWidth="1"/>
    <col min="7170" max="7170" width="9.125" style="1340" customWidth="1"/>
    <col min="7171" max="7171" width="7.25" style="1340" customWidth="1"/>
    <col min="7172" max="7172" width="10.125" style="1340" customWidth="1"/>
    <col min="7173" max="7173" width="11.625" style="1340" customWidth="1"/>
    <col min="7174" max="7174" width="12.25" style="1340" customWidth="1"/>
    <col min="7175" max="7175" width="16.5" style="1340" customWidth="1"/>
    <col min="7176" max="7176" width="13.375" style="1340" customWidth="1"/>
    <col min="7177" max="7177" width="10.25" style="1340" customWidth="1"/>
    <col min="7178" max="7178" width="17.375" style="1340" customWidth="1"/>
    <col min="7179" max="7179" width="9.375" style="1340" customWidth="1"/>
    <col min="7180" max="7180" width="7.125" style="1340" customWidth="1"/>
    <col min="7181" max="7181" width="5.5" style="1340" customWidth="1"/>
    <col min="7182" max="7424" width="9" style="1340"/>
    <col min="7425" max="7425" width="4" style="1340" customWidth="1"/>
    <col min="7426" max="7426" width="9.125" style="1340" customWidth="1"/>
    <col min="7427" max="7427" width="7.25" style="1340" customWidth="1"/>
    <col min="7428" max="7428" width="10.125" style="1340" customWidth="1"/>
    <col min="7429" max="7429" width="11.625" style="1340" customWidth="1"/>
    <col min="7430" max="7430" width="12.25" style="1340" customWidth="1"/>
    <col min="7431" max="7431" width="16.5" style="1340" customWidth="1"/>
    <col min="7432" max="7432" width="13.375" style="1340" customWidth="1"/>
    <col min="7433" max="7433" width="10.25" style="1340" customWidth="1"/>
    <col min="7434" max="7434" width="17.375" style="1340" customWidth="1"/>
    <col min="7435" max="7435" width="9.375" style="1340" customWidth="1"/>
    <col min="7436" max="7436" width="7.125" style="1340" customWidth="1"/>
    <col min="7437" max="7437" width="5.5" style="1340" customWidth="1"/>
    <col min="7438" max="7680" width="9" style="1340"/>
    <col min="7681" max="7681" width="4" style="1340" customWidth="1"/>
    <col min="7682" max="7682" width="9.125" style="1340" customWidth="1"/>
    <col min="7683" max="7683" width="7.25" style="1340" customWidth="1"/>
    <col min="7684" max="7684" width="10.125" style="1340" customWidth="1"/>
    <col min="7685" max="7685" width="11.625" style="1340" customWidth="1"/>
    <col min="7686" max="7686" width="12.25" style="1340" customWidth="1"/>
    <col min="7687" max="7687" width="16.5" style="1340" customWidth="1"/>
    <col min="7688" max="7688" width="13.375" style="1340" customWidth="1"/>
    <col min="7689" max="7689" width="10.25" style="1340" customWidth="1"/>
    <col min="7690" max="7690" width="17.375" style="1340" customWidth="1"/>
    <col min="7691" max="7691" width="9.375" style="1340" customWidth="1"/>
    <col min="7692" max="7692" width="7.125" style="1340" customWidth="1"/>
    <col min="7693" max="7693" width="5.5" style="1340" customWidth="1"/>
    <col min="7694" max="7936" width="9" style="1340"/>
    <col min="7937" max="7937" width="4" style="1340" customWidth="1"/>
    <col min="7938" max="7938" width="9.125" style="1340" customWidth="1"/>
    <col min="7939" max="7939" width="7.25" style="1340" customWidth="1"/>
    <col min="7940" max="7940" width="10.125" style="1340" customWidth="1"/>
    <col min="7941" max="7941" width="11.625" style="1340" customWidth="1"/>
    <col min="7942" max="7942" width="12.25" style="1340" customWidth="1"/>
    <col min="7943" max="7943" width="16.5" style="1340" customWidth="1"/>
    <col min="7944" max="7944" width="13.375" style="1340" customWidth="1"/>
    <col min="7945" max="7945" width="10.25" style="1340" customWidth="1"/>
    <col min="7946" max="7946" width="17.375" style="1340" customWidth="1"/>
    <col min="7947" max="7947" width="9.375" style="1340" customWidth="1"/>
    <col min="7948" max="7948" width="7.125" style="1340" customWidth="1"/>
    <col min="7949" max="7949" width="5.5" style="1340" customWidth="1"/>
    <col min="7950" max="8192" width="9" style="1340"/>
    <col min="8193" max="8193" width="4" style="1340" customWidth="1"/>
    <col min="8194" max="8194" width="9.125" style="1340" customWidth="1"/>
    <col min="8195" max="8195" width="7.25" style="1340" customWidth="1"/>
    <col min="8196" max="8196" width="10.125" style="1340" customWidth="1"/>
    <col min="8197" max="8197" width="11.625" style="1340" customWidth="1"/>
    <col min="8198" max="8198" width="12.25" style="1340" customWidth="1"/>
    <col min="8199" max="8199" width="16.5" style="1340" customWidth="1"/>
    <col min="8200" max="8200" width="13.375" style="1340" customWidth="1"/>
    <col min="8201" max="8201" width="10.25" style="1340" customWidth="1"/>
    <col min="8202" max="8202" width="17.375" style="1340" customWidth="1"/>
    <col min="8203" max="8203" width="9.375" style="1340" customWidth="1"/>
    <col min="8204" max="8204" width="7.125" style="1340" customWidth="1"/>
    <col min="8205" max="8205" width="5.5" style="1340" customWidth="1"/>
    <col min="8206" max="8448" width="9" style="1340"/>
    <col min="8449" max="8449" width="4" style="1340" customWidth="1"/>
    <col min="8450" max="8450" width="9.125" style="1340" customWidth="1"/>
    <col min="8451" max="8451" width="7.25" style="1340" customWidth="1"/>
    <col min="8452" max="8452" width="10.125" style="1340" customWidth="1"/>
    <col min="8453" max="8453" width="11.625" style="1340" customWidth="1"/>
    <col min="8454" max="8454" width="12.25" style="1340" customWidth="1"/>
    <col min="8455" max="8455" width="16.5" style="1340" customWidth="1"/>
    <col min="8456" max="8456" width="13.375" style="1340" customWidth="1"/>
    <col min="8457" max="8457" width="10.25" style="1340" customWidth="1"/>
    <col min="8458" max="8458" width="17.375" style="1340" customWidth="1"/>
    <col min="8459" max="8459" width="9.375" style="1340" customWidth="1"/>
    <col min="8460" max="8460" width="7.125" style="1340" customWidth="1"/>
    <col min="8461" max="8461" width="5.5" style="1340" customWidth="1"/>
    <col min="8462" max="8704" width="9" style="1340"/>
    <col min="8705" max="8705" width="4" style="1340" customWidth="1"/>
    <col min="8706" max="8706" width="9.125" style="1340" customWidth="1"/>
    <col min="8707" max="8707" width="7.25" style="1340" customWidth="1"/>
    <col min="8708" max="8708" width="10.125" style="1340" customWidth="1"/>
    <col min="8709" max="8709" width="11.625" style="1340" customWidth="1"/>
    <col min="8710" max="8710" width="12.25" style="1340" customWidth="1"/>
    <col min="8711" max="8711" width="16.5" style="1340" customWidth="1"/>
    <col min="8712" max="8712" width="13.375" style="1340" customWidth="1"/>
    <col min="8713" max="8713" width="10.25" style="1340" customWidth="1"/>
    <col min="8714" max="8714" width="17.375" style="1340" customWidth="1"/>
    <col min="8715" max="8715" width="9.375" style="1340" customWidth="1"/>
    <col min="8716" max="8716" width="7.125" style="1340" customWidth="1"/>
    <col min="8717" max="8717" width="5.5" style="1340" customWidth="1"/>
    <col min="8718" max="8960" width="9" style="1340"/>
    <col min="8961" max="8961" width="4" style="1340" customWidth="1"/>
    <col min="8962" max="8962" width="9.125" style="1340" customWidth="1"/>
    <col min="8963" max="8963" width="7.25" style="1340" customWidth="1"/>
    <col min="8964" max="8964" width="10.125" style="1340" customWidth="1"/>
    <col min="8965" max="8965" width="11.625" style="1340" customWidth="1"/>
    <col min="8966" max="8966" width="12.25" style="1340" customWidth="1"/>
    <col min="8967" max="8967" width="16.5" style="1340" customWidth="1"/>
    <col min="8968" max="8968" width="13.375" style="1340" customWidth="1"/>
    <col min="8969" max="8969" width="10.25" style="1340" customWidth="1"/>
    <col min="8970" max="8970" width="17.375" style="1340" customWidth="1"/>
    <col min="8971" max="8971" width="9.375" style="1340" customWidth="1"/>
    <col min="8972" max="8972" width="7.125" style="1340" customWidth="1"/>
    <col min="8973" max="8973" width="5.5" style="1340" customWidth="1"/>
    <col min="8974" max="9216" width="9" style="1340"/>
    <col min="9217" max="9217" width="4" style="1340" customWidth="1"/>
    <col min="9218" max="9218" width="9.125" style="1340" customWidth="1"/>
    <col min="9219" max="9219" width="7.25" style="1340" customWidth="1"/>
    <col min="9220" max="9220" width="10.125" style="1340" customWidth="1"/>
    <col min="9221" max="9221" width="11.625" style="1340" customWidth="1"/>
    <col min="9222" max="9222" width="12.25" style="1340" customWidth="1"/>
    <col min="9223" max="9223" width="16.5" style="1340" customWidth="1"/>
    <col min="9224" max="9224" width="13.375" style="1340" customWidth="1"/>
    <col min="9225" max="9225" width="10.25" style="1340" customWidth="1"/>
    <col min="9226" max="9226" width="17.375" style="1340" customWidth="1"/>
    <col min="9227" max="9227" width="9.375" style="1340" customWidth="1"/>
    <col min="9228" max="9228" width="7.125" style="1340" customWidth="1"/>
    <col min="9229" max="9229" width="5.5" style="1340" customWidth="1"/>
    <col min="9230" max="9472" width="9" style="1340"/>
    <col min="9473" max="9473" width="4" style="1340" customWidth="1"/>
    <col min="9474" max="9474" width="9.125" style="1340" customWidth="1"/>
    <col min="9475" max="9475" width="7.25" style="1340" customWidth="1"/>
    <col min="9476" max="9476" width="10.125" style="1340" customWidth="1"/>
    <col min="9477" max="9477" width="11.625" style="1340" customWidth="1"/>
    <col min="9478" max="9478" width="12.25" style="1340" customWidth="1"/>
    <col min="9479" max="9479" width="16.5" style="1340" customWidth="1"/>
    <col min="9480" max="9480" width="13.375" style="1340" customWidth="1"/>
    <col min="9481" max="9481" width="10.25" style="1340" customWidth="1"/>
    <col min="9482" max="9482" width="17.375" style="1340" customWidth="1"/>
    <col min="9483" max="9483" width="9.375" style="1340" customWidth="1"/>
    <col min="9484" max="9484" width="7.125" style="1340" customWidth="1"/>
    <col min="9485" max="9485" width="5.5" style="1340" customWidth="1"/>
    <col min="9486" max="9728" width="9" style="1340"/>
    <col min="9729" max="9729" width="4" style="1340" customWidth="1"/>
    <col min="9730" max="9730" width="9.125" style="1340" customWidth="1"/>
    <col min="9731" max="9731" width="7.25" style="1340" customWidth="1"/>
    <col min="9732" max="9732" width="10.125" style="1340" customWidth="1"/>
    <col min="9733" max="9733" width="11.625" style="1340" customWidth="1"/>
    <col min="9734" max="9734" width="12.25" style="1340" customWidth="1"/>
    <col min="9735" max="9735" width="16.5" style="1340" customWidth="1"/>
    <col min="9736" max="9736" width="13.375" style="1340" customWidth="1"/>
    <col min="9737" max="9737" width="10.25" style="1340" customWidth="1"/>
    <col min="9738" max="9738" width="17.375" style="1340" customWidth="1"/>
    <col min="9739" max="9739" width="9.375" style="1340" customWidth="1"/>
    <col min="9740" max="9740" width="7.125" style="1340" customWidth="1"/>
    <col min="9741" max="9741" width="5.5" style="1340" customWidth="1"/>
    <col min="9742" max="9984" width="9" style="1340"/>
    <col min="9985" max="9985" width="4" style="1340" customWidth="1"/>
    <col min="9986" max="9986" width="9.125" style="1340" customWidth="1"/>
    <col min="9987" max="9987" width="7.25" style="1340" customWidth="1"/>
    <col min="9988" max="9988" width="10.125" style="1340" customWidth="1"/>
    <col min="9989" max="9989" width="11.625" style="1340" customWidth="1"/>
    <col min="9990" max="9990" width="12.25" style="1340" customWidth="1"/>
    <col min="9991" max="9991" width="16.5" style="1340" customWidth="1"/>
    <col min="9992" max="9992" width="13.375" style="1340" customWidth="1"/>
    <col min="9993" max="9993" width="10.25" style="1340" customWidth="1"/>
    <col min="9994" max="9994" width="17.375" style="1340" customWidth="1"/>
    <col min="9995" max="9995" width="9.375" style="1340" customWidth="1"/>
    <col min="9996" max="9996" width="7.125" style="1340" customWidth="1"/>
    <col min="9997" max="9997" width="5.5" style="1340" customWidth="1"/>
    <col min="9998" max="10240" width="9" style="1340"/>
    <col min="10241" max="10241" width="4" style="1340" customWidth="1"/>
    <col min="10242" max="10242" width="9.125" style="1340" customWidth="1"/>
    <col min="10243" max="10243" width="7.25" style="1340" customWidth="1"/>
    <col min="10244" max="10244" width="10.125" style="1340" customWidth="1"/>
    <col min="10245" max="10245" width="11.625" style="1340" customWidth="1"/>
    <col min="10246" max="10246" width="12.25" style="1340" customWidth="1"/>
    <col min="10247" max="10247" width="16.5" style="1340" customWidth="1"/>
    <col min="10248" max="10248" width="13.375" style="1340" customWidth="1"/>
    <col min="10249" max="10249" width="10.25" style="1340" customWidth="1"/>
    <col min="10250" max="10250" width="17.375" style="1340" customWidth="1"/>
    <col min="10251" max="10251" width="9.375" style="1340" customWidth="1"/>
    <col min="10252" max="10252" width="7.125" style="1340" customWidth="1"/>
    <col min="10253" max="10253" width="5.5" style="1340" customWidth="1"/>
    <col min="10254" max="10496" width="9" style="1340"/>
    <col min="10497" max="10497" width="4" style="1340" customWidth="1"/>
    <col min="10498" max="10498" width="9.125" style="1340" customWidth="1"/>
    <col min="10499" max="10499" width="7.25" style="1340" customWidth="1"/>
    <col min="10500" max="10500" width="10.125" style="1340" customWidth="1"/>
    <col min="10501" max="10501" width="11.625" style="1340" customWidth="1"/>
    <col min="10502" max="10502" width="12.25" style="1340" customWidth="1"/>
    <col min="10503" max="10503" width="16.5" style="1340" customWidth="1"/>
    <col min="10504" max="10504" width="13.375" style="1340" customWidth="1"/>
    <col min="10505" max="10505" width="10.25" style="1340" customWidth="1"/>
    <col min="10506" max="10506" width="17.375" style="1340" customWidth="1"/>
    <col min="10507" max="10507" width="9.375" style="1340" customWidth="1"/>
    <col min="10508" max="10508" width="7.125" style="1340" customWidth="1"/>
    <col min="10509" max="10509" width="5.5" style="1340" customWidth="1"/>
    <col min="10510" max="10752" width="9" style="1340"/>
    <col min="10753" max="10753" width="4" style="1340" customWidth="1"/>
    <col min="10754" max="10754" width="9.125" style="1340" customWidth="1"/>
    <col min="10755" max="10755" width="7.25" style="1340" customWidth="1"/>
    <col min="10756" max="10756" width="10.125" style="1340" customWidth="1"/>
    <col min="10757" max="10757" width="11.625" style="1340" customWidth="1"/>
    <col min="10758" max="10758" width="12.25" style="1340" customWidth="1"/>
    <col min="10759" max="10759" width="16.5" style="1340" customWidth="1"/>
    <col min="10760" max="10760" width="13.375" style="1340" customWidth="1"/>
    <col min="10761" max="10761" width="10.25" style="1340" customWidth="1"/>
    <col min="10762" max="10762" width="17.375" style="1340" customWidth="1"/>
    <col min="10763" max="10763" width="9.375" style="1340" customWidth="1"/>
    <col min="10764" max="10764" width="7.125" style="1340" customWidth="1"/>
    <col min="10765" max="10765" width="5.5" style="1340" customWidth="1"/>
    <col min="10766" max="11008" width="9" style="1340"/>
    <col min="11009" max="11009" width="4" style="1340" customWidth="1"/>
    <col min="11010" max="11010" width="9.125" style="1340" customWidth="1"/>
    <col min="11011" max="11011" width="7.25" style="1340" customWidth="1"/>
    <col min="11012" max="11012" width="10.125" style="1340" customWidth="1"/>
    <col min="11013" max="11013" width="11.625" style="1340" customWidth="1"/>
    <col min="11014" max="11014" width="12.25" style="1340" customWidth="1"/>
    <col min="11015" max="11015" width="16.5" style="1340" customWidth="1"/>
    <col min="11016" max="11016" width="13.375" style="1340" customWidth="1"/>
    <col min="11017" max="11017" width="10.25" style="1340" customWidth="1"/>
    <col min="11018" max="11018" width="17.375" style="1340" customWidth="1"/>
    <col min="11019" max="11019" width="9.375" style="1340" customWidth="1"/>
    <col min="11020" max="11020" width="7.125" style="1340" customWidth="1"/>
    <col min="11021" max="11021" width="5.5" style="1340" customWidth="1"/>
    <col min="11022" max="11264" width="9" style="1340"/>
    <col min="11265" max="11265" width="4" style="1340" customWidth="1"/>
    <col min="11266" max="11266" width="9.125" style="1340" customWidth="1"/>
    <col min="11267" max="11267" width="7.25" style="1340" customWidth="1"/>
    <col min="11268" max="11268" width="10.125" style="1340" customWidth="1"/>
    <col min="11269" max="11269" width="11.625" style="1340" customWidth="1"/>
    <col min="11270" max="11270" width="12.25" style="1340" customWidth="1"/>
    <col min="11271" max="11271" width="16.5" style="1340" customWidth="1"/>
    <col min="11272" max="11272" width="13.375" style="1340" customWidth="1"/>
    <col min="11273" max="11273" width="10.25" style="1340" customWidth="1"/>
    <col min="11274" max="11274" width="17.375" style="1340" customWidth="1"/>
    <col min="11275" max="11275" width="9.375" style="1340" customWidth="1"/>
    <col min="11276" max="11276" width="7.125" style="1340" customWidth="1"/>
    <col min="11277" max="11277" width="5.5" style="1340" customWidth="1"/>
    <col min="11278" max="11520" width="9" style="1340"/>
    <col min="11521" max="11521" width="4" style="1340" customWidth="1"/>
    <col min="11522" max="11522" width="9.125" style="1340" customWidth="1"/>
    <col min="11523" max="11523" width="7.25" style="1340" customWidth="1"/>
    <col min="11524" max="11524" width="10.125" style="1340" customWidth="1"/>
    <col min="11525" max="11525" width="11.625" style="1340" customWidth="1"/>
    <col min="11526" max="11526" width="12.25" style="1340" customWidth="1"/>
    <col min="11527" max="11527" width="16.5" style="1340" customWidth="1"/>
    <col min="11528" max="11528" width="13.375" style="1340" customWidth="1"/>
    <col min="11529" max="11529" width="10.25" style="1340" customWidth="1"/>
    <col min="11530" max="11530" width="17.375" style="1340" customWidth="1"/>
    <col min="11531" max="11531" width="9.375" style="1340" customWidth="1"/>
    <col min="11532" max="11532" width="7.125" style="1340" customWidth="1"/>
    <col min="11533" max="11533" width="5.5" style="1340" customWidth="1"/>
    <col min="11534" max="11776" width="9" style="1340"/>
    <col min="11777" max="11777" width="4" style="1340" customWidth="1"/>
    <col min="11778" max="11778" width="9.125" style="1340" customWidth="1"/>
    <col min="11779" max="11779" width="7.25" style="1340" customWidth="1"/>
    <col min="11780" max="11780" width="10.125" style="1340" customWidth="1"/>
    <col min="11781" max="11781" width="11.625" style="1340" customWidth="1"/>
    <col min="11782" max="11782" width="12.25" style="1340" customWidth="1"/>
    <col min="11783" max="11783" width="16.5" style="1340" customWidth="1"/>
    <col min="11784" max="11784" width="13.375" style="1340" customWidth="1"/>
    <col min="11785" max="11785" width="10.25" style="1340" customWidth="1"/>
    <col min="11786" max="11786" width="17.375" style="1340" customWidth="1"/>
    <col min="11787" max="11787" width="9.375" style="1340" customWidth="1"/>
    <col min="11788" max="11788" width="7.125" style="1340" customWidth="1"/>
    <col min="11789" max="11789" width="5.5" style="1340" customWidth="1"/>
    <col min="11790" max="12032" width="9" style="1340"/>
    <col min="12033" max="12033" width="4" style="1340" customWidth="1"/>
    <col min="12034" max="12034" width="9.125" style="1340" customWidth="1"/>
    <col min="12035" max="12035" width="7.25" style="1340" customWidth="1"/>
    <col min="12036" max="12036" width="10.125" style="1340" customWidth="1"/>
    <col min="12037" max="12037" width="11.625" style="1340" customWidth="1"/>
    <col min="12038" max="12038" width="12.25" style="1340" customWidth="1"/>
    <col min="12039" max="12039" width="16.5" style="1340" customWidth="1"/>
    <col min="12040" max="12040" width="13.375" style="1340" customWidth="1"/>
    <col min="12041" max="12041" width="10.25" style="1340" customWidth="1"/>
    <col min="12042" max="12042" width="17.375" style="1340" customWidth="1"/>
    <col min="12043" max="12043" width="9.375" style="1340" customWidth="1"/>
    <col min="12044" max="12044" width="7.125" style="1340" customWidth="1"/>
    <col min="12045" max="12045" width="5.5" style="1340" customWidth="1"/>
    <col min="12046" max="12288" width="9" style="1340"/>
    <col min="12289" max="12289" width="4" style="1340" customWidth="1"/>
    <col min="12290" max="12290" width="9.125" style="1340" customWidth="1"/>
    <col min="12291" max="12291" width="7.25" style="1340" customWidth="1"/>
    <col min="12292" max="12292" width="10.125" style="1340" customWidth="1"/>
    <col min="12293" max="12293" width="11.625" style="1340" customWidth="1"/>
    <col min="12294" max="12294" width="12.25" style="1340" customWidth="1"/>
    <col min="12295" max="12295" width="16.5" style="1340" customWidth="1"/>
    <col min="12296" max="12296" width="13.375" style="1340" customWidth="1"/>
    <col min="12297" max="12297" width="10.25" style="1340" customWidth="1"/>
    <col min="12298" max="12298" width="17.375" style="1340" customWidth="1"/>
    <col min="12299" max="12299" width="9.375" style="1340" customWidth="1"/>
    <col min="12300" max="12300" width="7.125" style="1340" customWidth="1"/>
    <col min="12301" max="12301" width="5.5" style="1340" customWidth="1"/>
    <col min="12302" max="12544" width="9" style="1340"/>
    <col min="12545" max="12545" width="4" style="1340" customWidth="1"/>
    <col min="12546" max="12546" width="9.125" style="1340" customWidth="1"/>
    <col min="12547" max="12547" width="7.25" style="1340" customWidth="1"/>
    <col min="12548" max="12548" width="10.125" style="1340" customWidth="1"/>
    <col min="12549" max="12549" width="11.625" style="1340" customWidth="1"/>
    <col min="12550" max="12550" width="12.25" style="1340" customWidth="1"/>
    <col min="12551" max="12551" width="16.5" style="1340" customWidth="1"/>
    <col min="12552" max="12552" width="13.375" style="1340" customWidth="1"/>
    <col min="12553" max="12553" width="10.25" style="1340" customWidth="1"/>
    <col min="12554" max="12554" width="17.375" style="1340" customWidth="1"/>
    <col min="12555" max="12555" width="9.375" style="1340" customWidth="1"/>
    <col min="12556" max="12556" width="7.125" style="1340" customWidth="1"/>
    <col min="12557" max="12557" width="5.5" style="1340" customWidth="1"/>
    <col min="12558" max="12800" width="9" style="1340"/>
    <col min="12801" max="12801" width="4" style="1340" customWidth="1"/>
    <col min="12802" max="12802" width="9.125" style="1340" customWidth="1"/>
    <col min="12803" max="12803" width="7.25" style="1340" customWidth="1"/>
    <col min="12804" max="12804" width="10.125" style="1340" customWidth="1"/>
    <col min="12805" max="12805" width="11.625" style="1340" customWidth="1"/>
    <col min="12806" max="12806" width="12.25" style="1340" customWidth="1"/>
    <col min="12807" max="12807" width="16.5" style="1340" customWidth="1"/>
    <col min="12808" max="12808" width="13.375" style="1340" customWidth="1"/>
    <col min="12809" max="12809" width="10.25" style="1340" customWidth="1"/>
    <col min="12810" max="12810" width="17.375" style="1340" customWidth="1"/>
    <col min="12811" max="12811" width="9.375" style="1340" customWidth="1"/>
    <col min="12812" max="12812" width="7.125" style="1340" customWidth="1"/>
    <col min="12813" max="12813" width="5.5" style="1340" customWidth="1"/>
    <col min="12814" max="13056" width="9" style="1340"/>
    <col min="13057" max="13057" width="4" style="1340" customWidth="1"/>
    <col min="13058" max="13058" width="9.125" style="1340" customWidth="1"/>
    <col min="13059" max="13059" width="7.25" style="1340" customWidth="1"/>
    <col min="13060" max="13060" width="10.125" style="1340" customWidth="1"/>
    <col min="13061" max="13061" width="11.625" style="1340" customWidth="1"/>
    <col min="13062" max="13062" width="12.25" style="1340" customWidth="1"/>
    <col min="13063" max="13063" width="16.5" style="1340" customWidth="1"/>
    <col min="13064" max="13064" width="13.375" style="1340" customWidth="1"/>
    <col min="13065" max="13065" width="10.25" style="1340" customWidth="1"/>
    <col min="13066" max="13066" width="17.375" style="1340" customWidth="1"/>
    <col min="13067" max="13067" width="9.375" style="1340" customWidth="1"/>
    <col min="13068" max="13068" width="7.125" style="1340" customWidth="1"/>
    <col min="13069" max="13069" width="5.5" style="1340" customWidth="1"/>
    <col min="13070" max="13312" width="9" style="1340"/>
    <col min="13313" max="13313" width="4" style="1340" customWidth="1"/>
    <col min="13314" max="13314" width="9.125" style="1340" customWidth="1"/>
    <col min="13315" max="13315" width="7.25" style="1340" customWidth="1"/>
    <col min="13316" max="13316" width="10.125" style="1340" customWidth="1"/>
    <col min="13317" max="13317" width="11.625" style="1340" customWidth="1"/>
    <col min="13318" max="13318" width="12.25" style="1340" customWidth="1"/>
    <col min="13319" max="13319" width="16.5" style="1340" customWidth="1"/>
    <col min="13320" max="13320" width="13.375" style="1340" customWidth="1"/>
    <col min="13321" max="13321" width="10.25" style="1340" customWidth="1"/>
    <col min="13322" max="13322" width="17.375" style="1340" customWidth="1"/>
    <col min="13323" max="13323" width="9.375" style="1340" customWidth="1"/>
    <col min="13324" max="13324" width="7.125" style="1340" customWidth="1"/>
    <col min="13325" max="13325" width="5.5" style="1340" customWidth="1"/>
    <col min="13326" max="13568" width="9" style="1340"/>
    <col min="13569" max="13569" width="4" style="1340" customWidth="1"/>
    <col min="13570" max="13570" width="9.125" style="1340" customWidth="1"/>
    <col min="13571" max="13571" width="7.25" style="1340" customWidth="1"/>
    <col min="13572" max="13572" width="10.125" style="1340" customWidth="1"/>
    <col min="13573" max="13573" width="11.625" style="1340" customWidth="1"/>
    <col min="13574" max="13574" width="12.25" style="1340" customWidth="1"/>
    <col min="13575" max="13575" width="16.5" style="1340" customWidth="1"/>
    <col min="13576" max="13576" width="13.375" style="1340" customWidth="1"/>
    <col min="13577" max="13577" width="10.25" style="1340" customWidth="1"/>
    <col min="13578" max="13578" width="17.375" style="1340" customWidth="1"/>
    <col min="13579" max="13579" width="9.375" style="1340" customWidth="1"/>
    <col min="13580" max="13580" width="7.125" style="1340" customWidth="1"/>
    <col min="13581" max="13581" width="5.5" style="1340" customWidth="1"/>
    <col min="13582" max="13824" width="9" style="1340"/>
    <col min="13825" max="13825" width="4" style="1340" customWidth="1"/>
    <col min="13826" max="13826" width="9.125" style="1340" customWidth="1"/>
    <col min="13827" max="13827" width="7.25" style="1340" customWidth="1"/>
    <col min="13828" max="13828" width="10.125" style="1340" customWidth="1"/>
    <col min="13829" max="13829" width="11.625" style="1340" customWidth="1"/>
    <col min="13830" max="13830" width="12.25" style="1340" customWidth="1"/>
    <col min="13831" max="13831" width="16.5" style="1340" customWidth="1"/>
    <col min="13832" max="13832" width="13.375" style="1340" customWidth="1"/>
    <col min="13833" max="13833" width="10.25" style="1340" customWidth="1"/>
    <col min="13834" max="13834" width="17.375" style="1340" customWidth="1"/>
    <col min="13835" max="13835" width="9.375" style="1340" customWidth="1"/>
    <col min="13836" max="13836" width="7.125" style="1340" customWidth="1"/>
    <col min="13837" max="13837" width="5.5" style="1340" customWidth="1"/>
    <col min="13838" max="14080" width="9" style="1340"/>
    <col min="14081" max="14081" width="4" style="1340" customWidth="1"/>
    <col min="14082" max="14082" width="9.125" style="1340" customWidth="1"/>
    <col min="14083" max="14083" width="7.25" style="1340" customWidth="1"/>
    <col min="14084" max="14084" width="10.125" style="1340" customWidth="1"/>
    <col min="14085" max="14085" width="11.625" style="1340" customWidth="1"/>
    <col min="14086" max="14086" width="12.25" style="1340" customWidth="1"/>
    <col min="14087" max="14087" width="16.5" style="1340" customWidth="1"/>
    <col min="14088" max="14088" width="13.375" style="1340" customWidth="1"/>
    <col min="14089" max="14089" width="10.25" style="1340" customWidth="1"/>
    <col min="14090" max="14090" width="17.375" style="1340" customWidth="1"/>
    <col min="14091" max="14091" width="9.375" style="1340" customWidth="1"/>
    <col min="14092" max="14092" width="7.125" style="1340" customWidth="1"/>
    <col min="14093" max="14093" width="5.5" style="1340" customWidth="1"/>
    <col min="14094" max="14336" width="9" style="1340"/>
    <col min="14337" max="14337" width="4" style="1340" customWidth="1"/>
    <col min="14338" max="14338" width="9.125" style="1340" customWidth="1"/>
    <col min="14339" max="14339" width="7.25" style="1340" customWidth="1"/>
    <col min="14340" max="14340" width="10.125" style="1340" customWidth="1"/>
    <col min="14341" max="14341" width="11.625" style="1340" customWidth="1"/>
    <col min="14342" max="14342" width="12.25" style="1340" customWidth="1"/>
    <col min="14343" max="14343" width="16.5" style="1340" customWidth="1"/>
    <col min="14344" max="14344" width="13.375" style="1340" customWidth="1"/>
    <col min="14345" max="14345" width="10.25" style="1340" customWidth="1"/>
    <col min="14346" max="14346" width="17.375" style="1340" customWidth="1"/>
    <col min="14347" max="14347" width="9.375" style="1340" customWidth="1"/>
    <col min="14348" max="14348" width="7.125" style="1340" customWidth="1"/>
    <col min="14349" max="14349" width="5.5" style="1340" customWidth="1"/>
    <col min="14350" max="14592" width="9" style="1340"/>
    <col min="14593" max="14593" width="4" style="1340" customWidth="1"/>
    <col min="14594" max="14594" width="9.125" style="1340" customWidth="1"/>
    <col min="14595" max="14595" width="7.25" style="1340" customWidth="1"/>
    <col min="14596" max="14596" width="10.125" style="1340" customWidth="1"/>
    <col min="14597" max="14597" width="11.625" style="1340" customWidth="1"/>
    <col min="14598" max="14598" width="12.25" style="1340" customWidth="1"/>
    <col min="14599" max="14599" width="16.5" style="1340" customWidth="1"/>
    <col min="14600" max="14600" width="13.375" style="1340" customWidth="1"/>
    <col min="14601" max="14601" width="10.25" style="1340" customWidth="1"/>
    <col min="14602" max="14602" width="17.375" style="1340" customWidth="1"/>
    <col min="14603" max="14603" width="9.375" style="1340" customWidth="1"/>
    <col min="14604" max="14604" width="7.125" style="1340" customWidth="1"/>
    <col min="14605" max="14605" width="5.5" style="1340" customWidth="1"/>
    <col min="14606" max="14848" width="9" style="1340"/>
    <col min="14849" max="14849" width="4" style="1340" customWidth="1"/>
    <col min="14850" max="14850" width="9.125" style="1340" customWidth="1"/>
    <col min="14851" max="14851" width="7.25" style="1340" customWidth="1"/>
    <col min="14852" max="14852" width="10.125" style="1340" customWidth="1"/>
    <col min="14853" max="14853" width="11.625" style="1340" customWidth="1"/>
    <col min="14854" max="14854" width="12.25" style="1340" customWidth="1"/>
    <col min="14855" max="14855" width="16.5" style="1340" customWidth="1"/>
    <col min="14856" max="14856" width="13.375" style="1340" customWidth="1"/>
    <col min="14857" max="14857" width="10.25" style="1340" customWidth="1"/>
    <col min="14858" max="14858" width="17.375" style="1340" customWidth="1"/>
    <col min="14859" max="14859" width="9.375" style="1340" customWidth="1"/>
    <col min="14860" max="14860" width="7.125" style="1340" customWidth="1"/>
    <col min="14861" max="14861" width="5.5" style="1340" customWidth="1"/>
    <col min="14862" max="15104" width="9" style="1340"/>
    <col min="15105" max="15105" width="4" style="1340" customWidth="1"/>
    <col min="15106" max="15106" width="9.125" style="1340" customWidth="1"/>
    <col min="15107" max="15107" width="7.25" style="1340" customWidth="1"/>
    <col min="15108" max="15108" width="10.125" style="1340" customWidth="1"/>
    <col min="15109" max="15109" width="11.625" style="1340" customWidth="1"/>
    <col min="15110" max="15110" width="12.25" style="1340" customWidth="1"/>
    <col min="15111" max="15111" width="16.5" style="1340" customWidth="1"/>
    <col min="15112" max="15112" width="13.375" style="1340" customWidth="1"/>
    <col min="15113" max="15113" width="10.25" style="1340" customWidth="1"/>
    <col min="15114" max="15114" width="17.375" style="1340" customWidth="1"/>
    <col min="15115" max="15115" width="9.375" style="1340" customWidth="1"/>
    <col min="15116" max="15116" width="7.125" style="1340" customWidth="1"/>
    <col min="15117" max="15117" width="5.5" style="1340" customWidth="1"/>
    <col min="15118" max="15360" width="9" style="1340"/>
    <col min="15361" max="15361" width="4" style="1340" customWidth="1"/>
    <col min="15362" max="15362" width="9.125" style="1340" customWidth="1"/>
    <col min="15363" max="15363" width="7.25" style="1340" customWidth="1"/>
    <col min="15364" max="15364" width="10.125" style="1340" customWidth="1"/>
    <col min="15365" max="15365" width="11.625" style="1340" customWidth="1"/>
    <col min="15366" max="15366" width="12.25" style="1340" customWidth="1"/>
    <col min="15367" max="15367" width="16.5" style="1340" customWidth="1"/>
    <col min="15368" max="15368" width="13.375" style="1340" customWidth="1"/>
    <col min="15369" max="15369" width="10.25" style="1340" customWidth="1"/>
    <col min="15370" max="15370" width="17.375" style="1340" customWidth="1"/>
    <col min="15371" max="15371" width="9.375" style="1340" customWidth="1"/>
    <col min="15372" max="15372" width="7.125" style="1340" customWidth="1"/>
    <col min="15373" max="15373" width="5.5" style="1340" customWidth="1"/>
    <col min="15374" max="15616" width="9" style="1340"/>
    <col min="15617" max="15617" width="4" style="1340" customWidth="1"/>
    <col min="15618" max="15618" width="9.125" style="1340" customWidth="1"/>
    <col min="15619" max="15619" width="7.25" style="1340" customWidth="1"/>
    <col min="15620" max="15620" width="10.125" style="1340" customWidth="1"/>
    <col min="15621" max="15621" width="11.625" style="1340" customWidth="1"/>
    <col min="15622" max="15622" width="12.25" style="1340" customWidth="1"/>
    <col min="15623" max="15623" width="16.5" style="1340" customWidth="1"/>
    <col min="15624" max="15624" width="13.375" style="1340" customWidth="1"/>
    <col min="15625" max="15625" width="10.25" style="1340" customWidth="1"/>
    <col min="15626" max="15626" width="17.375" style="1340" customWidth="1"/>
    <col min="15627" max="15627" width="9.375" style="1340" customWidth="1"/>
    <col min="15628" max="15628" width="7.125" style="1340" customWidth="1"/>
    <col min="15629" max="15629" width="5.5" style="1340" customWidth="1"/>
    <col min="15630" max="15872" width="9" style="1340"/>
    <col min="15873" max="15873" width="4" style="1340" customWidth="1"/>
    <col min="15874" max="15874" width="9.125" style="1340" customWidth="1"/>
    <col min="15875" max="15875" width="7.25" style="1340" customWidth="1"/>
    <col min="15876" max="15876" width="10.125" style="1340" customWidth="1"/>
    <col min="15877" max="15877" width="11.625" style="1340" customWidth="1"/>
    <col min="15878" max="15878" width="12.25" style="1340" customWidth="1"/>
    <col min="15879" max="15879" width="16.5" style="1340" customWidth="1"/>
    <col min="15880" max="15880" width="13.375" style="1340" customWidth="1"/>
    <col min="15881" max="15881" width="10.25" style="1340" customWidth="1"/>
    <col min="15882" max="15882" width="17.375" style="1340" customWidth="1"/>
    <col min="15883" max="15883" width="9.375" style="1340" customWidth="1"/>
    <col min="15884" max="15884" width="7.125" style="1340" customWidth="1"/>
    <col min="15885" max="15885" width="5.5" style="1340" customWidth="1"/>
    <col min="15886" max="16128" width="9" style="1340"/>
    <col min="16129" max="16129" width="4" style="1340" customWidth="1"/>
    <col min="16130" max="16130" width="9.125" style="1340" customWidth="1"/>
    <col min="16131" max="16131" width="7.25" style="1340" customWidth="1"/>
    <col min="16132" max="16132" width="10.125" style="1340" customWidth="1"/>
    <col min="16133" max="16133" width="11.625" style="1340" customWidth="1"/>
    <col min="16134" max="16134" width="12.25" style="1340" customWidth="1"/>
    <col min="16135" max="16135" width="16.5" style="1340" customWidth="1"/>
    <col min="16136" max="16136" width="13.375" style="1340" customWidth="1"/>
    <col min="16137" max="16137" width="10.25" style="1340" customWidth="1"/>
    <col min="16138" max="16138" width="17.375" style="1340" customWidth="1"/>
    <col min="16139" max="16139" width="9.375" style="1340" customWidth="1"/>
    <col min="16140" max="16140" width="7.125" style="1340" customWidth="1"/>
    <col min="16141" max="16141" width="5.5" style="1340" customWidth="1"/>
    <col min="16142" max="16384" width="9" style="1340"/>
  </cols>
  <sheetData>
    <row r="1" spans="1:13" ht="6" customHeight="1"/>
    <row r="2" spans="1:13" ht="22.5" customHeight="1">
      <c r="A2" s="1341"/>
      <c r="B2" s="1342"/>
      <c r="C2" s="1342"/>
      <c r="D2" s="1342"/>
      <c r="E2" s="1342"/>
      <c r="F2" s="1342"/>
      <c r="G2" s="1342"/>
      <c r="H2" s="1342"/>
      <c r="I2" s="1342"/>
      <c r="J2" s="1342"/>
      <c r="K2" s="1342"/>
      <c r="L2" s="1343"/>
    </row>
    <row r="3" spans="1:13" ht="38.25" customHeight="1">
      <c r="A3" s="1344"/>
      <c r="B3" s="1345" t="s">
        <v>1443</v>
      </c>
      <c r="C3" s="1346"/>
      <c r="D3" s="1346"/>
      <c r="E3" s="1346"/>
      <c r="F3" s="1346"/>
      <c r="G3" s="1346"/>
      <c r="H3" s="1346"/>
      <c r="I3" s="1347" t="s">
        <v>1444</v>
      </c>
      <c r="J3" s="1348"/>
      <c r="K3" s="1349" t="s">
        <v>1445</v>
      </c>
      <c r="L3" s="1350"/>
    </row>
    <row r="4" spans="1:13" ht="24.75" customHeight="1">
      <c r="A4" s="1344"/>
      <c r="B4" s="1346"/>
      <c r="C4" s="1346"/>
      <c r="D4" s="1346"/>
      <c r="E4" s="1346"/>
      <c r="F4" s="1346"/>
      <c r="G4" s="1346"/>
      <c r="H4" s="1346"/>
      <c r="I4" s="1346"/>
      <c r="J4" s="1346"/>
      <c r="K4" s="1346"/>
      <c r="L4" s="1350"/>
    </row>
    <row r="5" spans="1:13" ht="45" customHeight="1">
      <c r="A5" s="1" t="s">
        <v>1446</v>
      </c>
      <c r="B5" s="1414"/>
      <c r="C5" s="1414"/>
      <c r="D5" s="1414"/>
      <c r="E5" s="1414"/>
      <c r="F5" s="1414"/>
      <c r="G5" s="1414"/>
      <c r="H5" s="1414"/>
      <c r="I5" s="1414"/>
      <c r="J5" s="1414"/>
      <c r="K5" s="1414"/>
      <c r="L5" s="1415"/>
    </row>
    <row r="6" spans="1:13" ht="32.25" customHeight="1">
      <c r="A6" s="1351"/>
      <c r="B6" s="1352"/>
      <c r="C6" s="1414" t="s">
        <v>1447</v>
      </c>
      <c r="D6" s="1414"/>
      <c r="E6" s="1414"/>
      <c r="F6" s="1414"/>
      <c r="G6" s="1414"/>
      <c r="H6" s="1414"/>
      <c r="I6" s="1414"/>
      <c r="J6" s="1414"/>
      <c r="K6" s="1352"/>
      <c r="L6" s="1353"/>
    </row>
    <row r="7" spans="1:13" ht="36.75" customHeight="1">
      <c r="A7" s="1344"/>
      <c r="B7" s="1346"/>
      <c r="C7" s="1346"/>
      <c r="D7" s="1346"/>
      <c r="E7" s="1346"/>
      <c r="F7" s="1346"/>
      <c r="G7" s="1346"/>
      <c r="H7" s="1346"/>
      <c r="I7" s="1346"/>
      <c r="J7" s="1346"/>
      <c r="K7" s="1346"/>
      <c r="L7" s="1350"/>
      <c r="M7" s="1340" t="s">
        <v>1448</v>
      </c>
    </row>
    <row r="8" spans="1:13" ht="36" customHeight="1">
      <c r="A8" s="1344"/>
      <c r="B8" s="1346"/>
      <c r="C8" s="1354"/>
      <c r="D8" s="1355" t="s">
        <v>1449</v>
      </c>
      <c r="E8" s="1354" t="str">
        <f>CONCATENATE(" 일금  ",TEXT(I8,"[DBNum4]G/표준"),"원정")</f>
        <v xml:space="preserve"> 일금  칠억사천칠백만원정</v>
      </c>
      <c r="F8" s="1354"/>
      <c r="G8" s="1354"/>
      <c r="H8" s="1354"/>
      <c r="I8" s="1416">
        <f>+'예산내역서 (총괄)'!F22</f>
        <v>747000000</v>
      </c>
      <c r="J8" s="1416"/>
      <c r="K8" s="1416"/>
      <c r="L8" s="1350"/>
    </row>
    <row r="9" spans="1:13" ht="39" customHeight="1">
      <c r="A9" s="1344"/>
      <c r="B9" s="1346"/>
      <c r="C9" s="1346"/>
      <c r="D9" s="1346"/>
      <c r="E9" s="1346"/>
      <c r="F9" s="1346"/>
      <c r="G9" s="1346"/>
      <c r="H9" s="1346"/>
      <c r="I9" s="1346"/>
      <c r="J9" s="1346"/>
      <c r="K9" s="1346"/>
      <c r="L9" s="1350"/>
    </row>
    <row r="10" spans="1:13" ht="21.95" customHeight="1">
      <c r="A10" s="1344"/>
      <c r="B10" s="1346"/>
      <c r="C10" s="1346"/>
      <c r="D10" s="1346"/>
      <c r="E10" s="1346"/>
      <c r="F10" s="1356"/>
      <c r="G10" s="1356"/>
      <c r="H10" s="1356"/>
      <c r="I10" s="1356"/>
      <c r="J10" s="1356"/>
      <c r="K10" s="1356"/>
      <c r="L10" s="1357"/>
    </row>
    <row r="11" spans="1:13" ht="21.95" customHeight="1">
      <c r="A11" s="1344"/>
      <c r="B11" s="1346"/>
      <c r="C11" s="1346"/>
      <c r="D11" s="1346"/>
      <c r="E11" s="1346"/>
      <c r="F11" s="1356"/>
      <c r="G11" s="1356"/>
      <c r="H11" s="1358"/>
      <c r="I11" s="1359"/>
      <c r="J11" s="1356"/>
      <c r="K11" s="1356"/>
      <c r="L11" s="1357"/>
    </row>
    <row r="12" spans="1:13" ht="21.95" customHeight="1">
      <c r="A12" s="1344"/>
      <c r="B12" s="1346"/>
      <c r="C12" s="1346"/>
      <c r="D12" s="1346"/>
      <c r="E12" s="1346"/>
      <c r="F12" s="1356"/>
      <c r="G12" s="1356"/>
      <c r="H12" s="1358"/>
      <c r="I12" s="1356"/>
      <c r="J12" s="1356"/>
      <c r="K12" s="1356"/>
      <c r="L12" s="1357"/>
    </row>
    <row r="13" spans="1:13" ht="21.95" customHeight="1">
      <c r="A13" s="1344"/>
      <c r="B13" s="1346"/>
      <c r="C13" s="1346"/>
      <c r="D13" s="1346"/>
      <c r="E13" s="1346"/>
      <c r="F13" s="1356"/>
      <c r="G13" s="1356"/>
      <c r="H13" s="1358"/>
      <c r="I13" s="1356"/>
      <c r="J13" s="1356"/>
      <c r="K13" s="1356"/>
      <c r="L13" s="1357"/>
    </row>
    <row r="14" spans="1:13" ht="21.95" customHeight="1">
      <c r="A14" s="1344"/>
      <c r="B14" s="1346"/>
      <c r="C14" s="1346"/>
      <c r="D14" s="1346"/>
      <c r="E14" s="1346"/>
      <c r="F14" s="1356"/>
      <c r="G14" s="1356" t="s">
        <v>1450</v>
      </c>
      <c r="H14" s="1356"/>
      <c r="I14" s="1356"/>
      <c r="J14" s="1356"/>
      <c r="K14" s="1356"/>
      <c r="L14" s="1357"/>
    </row>
    <row r="15" spans="1:13" ht="21.95" customHeight="1">
      <c r="A15" s="1344"/>
      <c r="B15" s="1346"/>
      <c r="C15" s="1346"/>
      <c r="D15" s="1346"/>
      <c r="E15" s="1346"/>
      <c r="F15" s="1356"/>
      <c r="G15" s="1356" t="s">
        <v>1451</v>
      </c>
      <c r="H15" s="1358"/>
      <c r="I15" s="1359"/>
      <c r="J15" s="1356"/>
      <c r="K15" s="1356"/>
      <c r="L15" s="1357"/>
    </row>
    <row r="16" spans="1:13" ht="21.95" customHeight="1">
      <c r="A16" s="1344"/>
      <c r="B16" s="1360"/>
      <c r="C16" s="1360"/>
      <c r="D16" s="1361"/>
      <c r="E16" s="1362"/>
      <c r="F16" s="1363"/>
      <c r="G16" s="1356" t="s">
        <v>1452</v>
      </c>
      <c r="H16" s="1358"/>
      <c r="I16" s="1356"/>
      <c r="J16" s="1356"/>
      <c r="K16" s="1356"/>
      <c r="L16" s="1357"/>
    </row>
    <row r="17" spans="1:12" ht="21.95" customHeight="1">
      <c r="A17" s="1344"/>
      <c r="B17" s="1364"/>
      <c r="C17" s="1360" t="s">
        <v>1453</v>
      </c>
      <c r="D17" s="1361"/>
      <c r="E17" s="1362"/>
      <c r="F17" s="1363"/>
      <c r="G17" s="1356"/>
      <c r="H17" s="1358"/>
      <c r="I17" s="1356"/>
      <c r="J17" s="1356"/>
      <c r="K17" s="1356"/>
      <c r="L17" s="1357"/>
    </row>
    <row r="18" spans="1:12" ht="21.95" customHeight="1">
      <c r="A18" s="1344"/>
      <c r="B18" s="1365"/>
      <c r="C18" s="1366" t="s">
        <v>1454</v>
      </c>
      <c r="D18" s="1367" t="s">
        <v>1455</v>
      </c>
      <c r="E18" s="1368" t="s">
        <v>1456</v>
      </c>
      <c r="F18" s="1369" t="s">
        <v>1457</v>
      </c>
      <c r="G18" s="1356" t="s">
        <v>1458</v>
      </c>
      <c r="H18" s="1358"/>
      <c r="I18" s="1356"/>
      <c r="J18" s="1356"/>
      <c r="K18" s="1356"/>
      <c r="L18" s="1357"/>
    </row>
    <row r="19" spans="1:12" ht="21.95" customHeight="1">
      <c r="A19" s="1344"/>
      <c r="B19" s="1365"/>
      <c r="C19" s="1370" t="s">
        <v>1459</v>
      </c>
      <c r="D19" s="1371">
        <v>0.5</v>
      </c>
      <c r="E19" s="1372">
        <f>I$8*D19</f>
        <v>373500000</v>
      </c>
      <c r="F19" s="1373"/>
      <c r="G19" s="1356" t="s">
        <v>1460</v>
      </c>
      <c r="H19" s="1358"/>
      <c r="I19" s="1359"/>
      <c r="J19" s="1356"/>
      <c r="K19" s="1356"/>
      <c r="L19" s="1357"/>
    </row>
    <row r="20" spans="1:12" ht="21.95" customHeight="1">
      <c r="A20" s="1344"/>
      <c r="B20" s="1365"/>
      <c r="C20" s="1374" t="s">
        <v>1461</v>
      </c>
      <c r="D20" s="1375">
        <v>0.4</v>
      </c>
      <c r="E20" s="1372">
        <f t="shared" ref="E20:E21" si="0">I$8*D20</f>
        <v>298800000</v>
      </c>
      <c r="F20" s="1376"/>
      <c r="G20" s="1356" t="s">
        <v>1462</v>
      </c>
      <c r="H20" s="1358"/>
      <c r="I20" s="1356"/>
      <c r="J20" s="1356"/>
      <c r="K20" s="1356"/>
      <c r="L20" s="1357"/>
    </row>
    <row r="21" spans="1:12" ht="21.95" customHeight="1">
      <c r="A21" s="1344"/>
      <c r="B21" s="1365"/>
      <c r="C21" s="1374" t="s">
        <v>1463</v>
      </c>
      <c r="D21" s="1375">
        <v>0.1</v>
      </c>
      <c r="E21" s="1372">
        <f t="shared" si="0"/>
        <v>74700000</v>
      </c>
      <c r="F21" s="1376"/>
      <c r="G21" s="1356"/>
      <c r="H21" s="1358"/>
      <c r="I21" s="1356"/>
      <c r="J21" s="1356"/>
      <c r="K21" s="1356"/>
      <c r="L21" s="1357"/>
    </row>
    <row r="22" spans="1:12" ht="21.95" customHeight="1">
      <c r="A22" s="1344"/>
      <c r="B22" s="1364"/>
      <c r="C22" s="1377" t="s">
        <v>1464</v>
      </c>
      <c r="D22" s="1378">
        <f>SUM(D18:D21)</f>
        <v>1</v>
      </c>
      <c r="E22" s="1379">
        <f>SUM(E18:E21)</f>
        <v>747000000</v>
      </c>
      <c r="F22" s="1380"/>
      <c r="G22" s="1356" t="s">
        <v>1465</v>
      </c>
      <c r="H22" s="1358"/>
      <c r="I22" s="1356"/>
      <c r="J22" s="1356"/>
      <c r="K22" s="1356"/>
      <c r="L22" s="1357"/>
    </row>
    <row r="23" spans="1:12" ht="21.95" customHeight="1">
      <c r="A23" s="1344"/>
      <c r="B23" s="1346"/>
      <c r="C23" s="1346"/>
      <c r="D23" s="1346"/>
      <c r="E23" s="1346"/>
      <c r="F23" s="1356"/>
      <c r="G23" s="1356" t="s">
        <v>1466</v>
      </c>
      <c r="H23" s="1358"/>
      <c r="I23" s="1359"/>
      <c r="J23" s="1356"/>
      <c r="K23" s="1356"/>
      <c r="L23" s="1357"/>
    </row>
    <row r="24" spans="1:12" ht="21.95" customHeight="1">
      <c r="A24" s="1344"/>
      <c r="B24" s="1346"/>
      <c r="C24" s="1346"/>
      <c r="D24" s="1346"/>
      <c r="E24" s="1346"/>
      <c r="F24" s="1356"/>
      <c r="G24" s="1356" t="s">
        <v>1467</v>
      </c>
      <c r="H24" s="1358"/>
      <c r="I24" s="1356"/>
      <c r="J24" s="1356"/>
      <c r="K24" s="1356"/>
      <c r="L24" s="1357"/>
    </row>
    <row r="25" spans="1:12" ht="21.95" customHeight="1">
      <c r="A25" s="1381"/>
      <c r="B25" s="1382"/>
      <c r="C25" s="1382"/>
      <c r="D25" s="1382"/>
      <c r="E25" s="1382"/>
      <c r="F25" s="1383"/>
      <c r="G25" s="1383"/>
      <c r="H25" s="1384"/>
      <c r="I25" s="1383"/>
      <c r="J25" s="1383"/>
      <c r="K25" s="1383"/>
      <c r="L25" s="1385"/>
    </row>
    <row r="26" spans="1:12" ht="48" customHeight="1"/>
    <row r="27" spans="1:12" ht="9" customHeight="1"/>
    <row r="28" spans="1:12" ht="1.5" customHeight="1"/>
    <row r="29" spans="1:12" ht="0.75" hidden="1" customHeight="1"/>
    <row r="30" spans="1:12" ht="3.75" customHeight="1"/>
    <row r="31" spans="1:12" ht="16.5">
      <c r="E31" s="863"/>
    </row>
    <row r="32" spans="1:12" ht="16.5">
      <c r="E32" s="547"/>
    </row>
  </sheetData>
  <mergeCells count="3">
    <mergeCell ref="A5:L5"/>
    <mergeCell ref="C6:J6"/>
    <mergeCell ref="I8:K8"/>
  </mergeCells>
  <phoneticPr fontId="2" type="noConversion"/>
  <printOptions horizontalCentered="1" verticalCentered="1"/>
  <pageMargins left="0.59055118110236227" right="0.59055118110236227" top="0.39370078740157483" bottom="0.39370078740157483" header="0.51181102362204722" footer="0.51181102362204722"/>
  <pageSetup paperSize="9" scale="83"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3"/>
  <sheetViews>
    <sheetView view="pageBreakPreview" zoomScale="85" zoomScaleNormal="70" zoomScaleSheetLayoutView="85" workbookViewId="0">
      <selection activeCell="I8" sqref="I8:K8"/>
    </sheetView>
  </sheetViews>
  <sheetFormatPr defaultRowHeight="13.5"/>
  <cols>
    <col min="1" max="1" width="15.5" style="17" customWidth="1"/>
    <col min="2" max="2" width="29.25" style="17" customWidth="1"/>
    <col min="3" max="8" width="11.625" style="17" customWidth="1"/>
    <col min="9" max="9" width="13.5" style="17" customWidth="1"/>
    <col min="10" max="10" width="12.75" style="17" customWidth="1"/>
    <col min="11" max="11" width="11.5" style="17" bestFit="1" customWidth="1"/>
    <col min="12" max="12" width="13" style="17" bestFit="1" customWidth="1"/>
    <col min="13" max="256" width="9" style="17"/>
    <col min="257" max="257" width="22.375" style="17" customWidth="1"/>
    <col min="258" max="258" width="44.5" style="17" customWidth="1"/>
    <col min="259" max="264" width="14.375" style="17" customWidth="1"/>
    <col min="265" max="265" width="9" style="17"/>
    <col min="266" max="266" width="8.5" style="17" customWidth="1"/>
    <col min="267" max="267" width="11.5" style="17" bestFit="1" customWidth="1"/>
    <col min="268" max="268" width="13" style="17" bestFit="1" customWidth="1"/>
    <col min="269" max="512" width="9" style="17"/>
    <col min="513" max="513" width="22.375" style="17" customWidth="1"/>
    <col min="514" max="514" width="44.5" style="17" customWidth="1"/>
    <col min="515" max="520" width="14.375" style="17" customWidth="1"/>
    <col min="521" max="521" width="9" style="17"/>
    <col min="522" max="522" width="8.5" style="17" customWidth="1"/>
    <col min="523" max="523" width="11.5" style="17" bestFit="1" customWidth="1"/>
    <col min="524" max="524" width="13" style="17" bestFit="1" customWidth="1"/>
    <col min="525" max="768" width="9" style="17"/>
    <col min="769" max="769" width="22.375" style="17" customWidth="1"/>
    <col min="770" max="770" width="44.5" style="17" customWidth="1"/>
    <col min="771" max="776" width="14.375" style="17" customWidth="1"/>
    <col min="777" max="777" width="9" style="17"/>
    <col min="778" max="778" width="8.5" style="17" customWidth="1"/>
    <col min="779" max="779" width="11.5" style="17" bestFit="1" customWidth="1"/>
    <col min="780" max="780" width="13" style="17" bestFit="1" customWidth="1"/>
    <col min="781" max="1024" width="9" style="17"/>
    <col min="1025" max="1025" width="22.375" style="17" customWidth="1"/>
    <col min="1026" max="1026" width="44.5" style="17" customWidth="1"/>
    <col min="1027" max="1032" width="14.375" style="17" customWidth="1"/>
    <col min="1033" max="1033" width="9" style="17"/>
    <col min="1034" max="1034" width="8.5" style="17" customWidth="1"/>
    <col min="1035" max="1035" width="11.5" style="17" bestFit="1" customWidth="1"/>
    <col min="1036" max="1036" width="13" style="17" bestFit="1" customWidth="1"/>
    <col min="1037" max="1280" width="9" style="17"/>
    <col min="1281" max="1281" width="22.375" style="17" customWidth="1"/>
    <col min="1282" max="1282" width="44.5" style="17" customWidth="1"/>
    <col min="1283" max="1288" width="14.375" style="17" customWidth="1"/>
    <col min="1289" max="1289" width="9" style="17"/>
    <col min="1290" max="1290" width="8.5" style="17" customWidth="1"/>
    <col min="1291" max="1291" width="11.5" style="17" bestFit="1" customWidth="1"/>
    <col min="1292" max="1292" width="13" style="17" bestFit="1" customWidth="1"/>
    <col min="1293" max="1536" width="9" style="17"/>
    <col min="1537" max="1537" width="22.375" style="17" customWidth="1"/>
    <col min="1538" max="1538" width="44.5" style="17" customWidth="1"/>
    <col min="1539" max="1544" width="14.375" style="17" customWidth="1"/>
    <col min="1545" max="1545" width="9" style="17"/>
    <col min="1546" max="1546" width="8.5" style="17" customWidth="1"/>
    <col min="1547" max="1547" width="11.5" style="17" bestFit="1" customWidth="1"/>
    <col min="1548" max="1548" width="13" style="17" bestFit="1" customWidth="1"/>
    <col min="1549" max="1792" width="9" style="17"/>
    <col min="1793" max="1793" width="22.375" style="17" customWidth="1"/>
    <col min="1794" max="1794" width="44.5" style="17" customWidth="1"/>
    <col min="1795" max="1800" width="14.375" style="17" customWidth="1"/>
    <col min="1801" max="1801" width="9" style="17"/>
    <col min="1802" max="1802" width="8.5" style="17" customWidth="1"/>
    <col min="1803" max="1803" width="11.5" style="17" bestFit="1" customWidth="1"/>
    <col min="1804" max="1804" width="13" style="17" bestFit="1" customWidth="1"/>
    <col min="1805" max="2048" width="9" style="17"/>
    <col min="2049" max="2049" width="22.375" style="17" customWidth="1"/>
    <col min="2050" max="2050" width="44.5" style="17" customWidth="1"/>
    <col min="2051" max="2056" width="14.375" style="17" customWidth="1"/>
    <col min="2057" max="2057" width="9" style="17"/>
    <col min="2058" max="2058" width="8.5" style="17" customWidth="1"/>
    <col min="2059" max="2059" width="11.5" style="17" bestFit="1" customWidth="1"/>
    <col min="2060" max="2060" width="13" style="17" bestFit="1" customWidth="1"/>
    <col min="2061" max="2304" width="9" style="17"/>
    <col min="2305" max="2305" width="22.375" style="17" customWidth="1"/>
    <col min="2306" max="2306" width="44.5" style="17" customWidth="1"/>
    <col min="2307" max="2312" width="14.375" style="17" customWidth="1"/>
    <col min="2313" max="2313" width="9" style="17"/>
    <col min="2314" max="2314" width="8.5" style="17" customWidth="1"/>
    <col min="2315" max="2315" width="11.5" style="17" bestFit="1" customWidth="1"/>
    <col min="2316" max="2316" width="13" style="17" bestFit="1" customWidth="1"/>
    <col min="2317" max="2560" width="9" style="17"/>
    <col min="2561" max="2561" width="22.375" style="17" customWidth="1"/>
    <col min="2562" max="2562" width="44.5" style="17" customWidth="1"/>
    <col min="2563" max="2568" width="14.375" style="17" customWidth="1"/>
    <col min="2569" max="2569" width="9" style="17"/>
    <col min="2570" max="2570" width="8.5" style="17" customWidth="1"/>
    <col min="2571" max="2571" width="11.5" style="17" bestFit="1" customWidth="1"/>
    <col min="2572" max="2572" width="13" style="17" bestFit="1" customWidth="1"/>
    <col min="2573" max="2816" width="9" style="17"/>
    <col min="2817" max="2817" width="22.375" style="17" customWidth="1"/>
    <col min="2818" max="2818" width="44.5" style="17" customWidth="1"/>
    <col min="2819" max="2824" width="14.375" style="17" customWidth="1"/>
    <col min="2825" max="2825" width="9" style="17"/>
    <col min="2826" max="2826" width="8.5" style="17" customWidth="1"/>
    <col min="2827" max="2827" width="11.5" style="17" bestFit="1" customWidth="1"/>
    <col min="2828" max="2828" width="13" style="17" bestFit="1" customWidth="1"/>
    <col min="2829" max="3072" width="9" style="17"/>
    <col min="3073" max="3073" width="22.375" style="17" customWidth="1"/>
    <col min="3074" max="3074" width="44.5" style="17" customWidth="1"/>
    <col min="3075" max="3080" width="14.375" style="17" customWidth="1"/>
    <col min="3081" max="3081" width="9" style="17"/>
    <col min="3082" max="3082" width="8.5" style="17" customWidth="1"/>
    <col min="3083" max="3083" width="11.5" style="17" bestFit="1" customWidth="1"/>
    <col min="3084" max="3084" width="13" style="17" bestFit="1" customWidth="1"/>
    <col min="3085" max="3328" width="9" style="17"/>
    <col min="3329" max="3329" width="22.375" style="17" customWidth="1"/>
    <col min="3330" max="3330" width="44.5" style="17" customWidth="1"/>
    <col min="3331" max="3336" width="14.375" style="17" customWidth="1"/>
    <col min="3337" max="3337" width="9" style="17"/>
    <col min="3338" max="3338" width="8.5" style="17" customWidth="1"/>
    <col min="3339" max="3339" width="11.5" style="17" bestFit="1" customWidth="1"/>
    <col min="3340" max="3340" width="13" style="17" bestFit="1" customWidth="1"/>
    <col min="3341" max="3584" width="9" style="17"/>
    <col min="3585" max="3585" width="22.375" style="17" customWidth="1"/>
    <col min="3586" max="3586" width="44.5" style="17" customWidth="1"/>
    <col min="3587" max="3592" width="14.375" style="17" customWidth="1"/>
    <col min="3593" max="3593" width="9" style="17"/>
    <col min="3594" max="3594" width="8.5" style="17" customWidth="1"/>
    <col min="3595" max="3595" width="11.5" style="17" bestFit="1" customWidth="1"/>
    <col min="3596" max="3596" width="13" style="17" bestFit="1" customWidth="1"/>
    <col min="3597" max="3840" width="9" style="17"/>
    <col min="3841" max="3841" width="22.375" style="17" customWidth="1"/>
    <col min="3842" max="3842" width="44.5" style="17" customWidth="1"/>
    <col min="3843" max="3848" width="14.375" style="17" customWidth="1"/>
    <col min="3849" max="3849" width="9" style="17"/>
    <col min="3850" max="3850" width="8.5" style="17" customWidth="1"/>
    <col min="3851" max="3851" width="11.5" style="17" bestFit="1" customWidth="1"/>
    <col min="3852" max="3852" width="13" style="17" bestFit="1" customWidth="1"/>
    <col min="3853" max="4096" width="9" style="17"/>
    <col min="4097" max="4097" width="22.375" style="17" customWidth="1"/>
    <col min="4098" max="4098" width="44.5" style="17" customWidth="1"/>
    <col min="4099" max="4104" width="14.375" style="17" customWidth="1"/>
    <col min="4105" max="4105" width="9" style="17"/>
    <col min="4106" max="4106" width="8.5" style="17" customWidth="1"/>
    <col min="4107" max="4107" width="11.5" style="17" bestFit="1" customWidth="1"/>
    <col min="4108" max="4108" width="13" style="17" bestFit="1" customWidth="1"/>
    <col min="4109" max="4352" width="9" style="17"/>
    <col min="4353" max="4353" width="22.375" style="17" customWidth="1"/>
    <col min="4354" max="4354" width="44.5" style="17" customWidth="1"/>
    <col min="4355" max="4360" width="14.375" style="17" customWidth="1"/>
    <col min="4361" max="4361" width="9" style="17"/>
    <col min="4362" max="4362" width="8.5" style="17" customWidth="1"/>
    <col min="4363" max="4363" width="11.5" style="17" bestFit="1" customWidth="1"/>
    <col min="4364" max="4364" width="13" style="17" bestFit="1" customWidth="1"/>
    <col min="4365" max="4608" width="9" style="17"/>
    <col min="4609" max="4609" width="22.375" style="17" customWidth="1"/>
    <col min="4610" max="4610" width="44.5" style="17" customWidth="1"/>
    <col min="4611" max="4616" width="14.375" style="17" customWidth="1"/>
    <col min="4617" max="4617" width="9" style="17"/>
    <col min="4618" max="4618" width="8.5" style="17" customWidth="1"/>
    <col min="4619" max="4619" width="11.5" style="17" bestFit="1" customWidth="1"/>
    <col min="4620" max="4620" width="13" style="17" bestFit="1" customWidth="1"/>
    <col min="4621" max="4864" width="9" style="17"/>
    <col min="4865" max="4865" width="22.375" style="17" customWidth="1"/>
    <col min="4866" max="4866" width="44.5" style="17" customWidth="1"/>
    <col min="4867" max="4872" width="14.375" style="17" customWidth="1"/>
    <col min="4873" max="4873" width="9" style="17"/>
    <col min="4874" max="4874" width="8.5" style="17" customWidth="1"/>
    <col min="4875" max="4875" width="11.5" style="17" bestFit="1" customWidth="1"/>
    <col min="4876" max="4876" width="13" style="17" bestFit="1" customWidth="1"/>
    <col min="4877" max="5120" width="9" style="17"/>
    <col min="5121" max="5121" width="22.375" style="17" customWidth="1"/>
    <col min="5122" max="5122" width="44.5" style="17" customWidth="1"/>
    <col min="5123" max="5128" width="14.375" style="17" customWidth="1"/>
    <col min="5129" max="5129" width="9" style="17"/>
    <col min="5130" max="5130" width="8.5" style="17" customWidth="1"/>
    <col min="5131" max="5131" width="11.5" style="17" bestFit="1" customWidth="1"/>
    <col min="5132" max="5132" width="13" style="17" bestFit="1" customWidth="1"/>
    <col min="5133" max="5376" width="9" style="17"/>
    <col min="5377" max="5377" width="22.375" style="17" customWidth="1"/>
    <col min="5378" max="5378" width="44.5" style="17" customWidth="1"/>
    <col min="5379" max="5384" width="14.375" style="17" customWidth="1"/>
    <col min="5385" max="5385" width="9" style="17"/>
    <col min="5386" max="5386" width="8.5" style="17" customWidth="1"/>
    <col min="5387" max="5387" width="11.5" style="17" bestFit="1" customWidth="1"/>
    <col min="5388" max="5388" width="13" style="17" bestFit="1" customWidth="1"/>
    <col min="5389" max="5632" width="9" style="17"/>
    <col min="5633" max="5633" width="22.375" style="17" customWidth="1"/>
    <col min="5634" max="5634" width="44.5" style="17" customWidth="1"/>
    <col min="5635" max="5640" width="14.375" style="17" customWidth="1"/>
    <col min="5641" max="5641" width="9" style="17"/>
    <col min="5642" max="5642" width="8.5" style="17" customWidth="1"/>
    <col min="5643" max="5643" width="11.5" style="17" bestFit="1" customWidth="1"/>
    <col min="5644" max="5644" width="13" style="17" bestFit="1" customWidth="1"/>
    <col min="5645" max="5888" width="9" style="17"/>
    <col min="5889" max="5889" width="22.375" style="17" customWidth="1"/>
    <col min="5890" max="5890" width="44.5" style="17" customWidth="1"/>
    <col min="5891" max="5896" width="14.375" style="17" customWidth="1"/>
    <col min="5897" max="5897" width="9" style="17"/>
    <col min="5898" max="5898" width="8.5" style="17" customWidth="1"/>
    <col min="5899" max="5899" width="11.5" style="17" bestFit="1" customWidth="1"/>
    <col min="5900" max="5900" width="13" style="17" bestFit="1" customWidth="1"/>
    <col min="5901" max="6144" width="9" style="17"/>
    <col min="6145" max="6145" width="22.375" style="17" customWidth="1"/>
    <col min="6146" max="6146" width="44.5" style="17" customWidth="1"/>
    <col min="6147" max="6152" width="14.375" style="17" customWidth="1"/>
    <col min="6153" max="6153" width="9" style="17"/>
    <col min="6154" max="6154" width="8.5" style="17" customWidth="1"/>
    <col min="6155" max="6155" width="11.5" style="17" bestFit="1" customWidth="1"/>
    <col min="6156" max="6156" width="13" style="17" bestFit="1" customWidth="1"/>
    <col min="6157" max="6400" width="9" style="17"/>
    <col min="6401" max="6401" width="22.375" style="17" customWidth="1"/>
    <col min="6402" max="6402" width="44.5" style="17" customWidth="1"/>
    <col min="6403" max="6408" width="14.375" style="17" customWidth="1"/>
    <col min="6409" max="6409" width="9" style="17"/>
    <col min="6410" max="6410" width="8.5" style="17" customWidth="1"/>
    <col min="6411" max="6411" width="11.5" style="17" bestFit="1" customWidth="1"/>
    <col min="6412" max="6412" width="13" style="17" bestFit="1" customWidth="1"/>
    <col min="6413" max="6656" width="9" style="17"/>
    <col min="6657" max="6657" width="22.375" style="17" customWidth="1"/>
    <col min="6658" max="6658" width="44.5" style="17" customWidth="1"/>
    <col min="6659" max="6664" width="14.375" style="17" customWidth="1"/>
    <col min="6665" max="6665" width="9" style="17"/>
    <col min="6666" max="6666" width="8.5" style="17" customWidth="1"/>
    <col min="6667" max="6667" width="11.5" style="17" bestFit="1" customWidth="1"/>
    <col min="6668" max="6668" width="13" style="17" bestFit="1" customWidth="1"/>
    <col min="6669" max="6912" width="9" style="17"/>
    <col min="6913" max="6913" width="22.375" style="17" customWidth="1"/>
    <col min="6914" max="6914" width="44.5" style="17" customWidth="1"/>
    <col min="6915" max="6920" width="14.375" style="17" customWidth="1"/>
    <col min="6921" max="6921" width="9" style="17"/>
    <col min="6922" max="6922" width="8.5" style="17" customWidth="1"/>
    <col min="6923" max="6923" width="11.5" style="17" bestFit="1" customWidth="1"/>
    <col min="6924" max="6924" width="13" style="17" bestFit="1" customWidth="1"/>
    <col min="6925" max="7168" width="9" style="17"/>
    <col min="7169" max="7169" width="22.375" style="17" customWidth="1"/>
    <col min="7170" max="7170" width="44.5" style="17" customWidth="1"/>
    <col min="7171" max="7176" width="14.375" style="17" customWidth="1"/>
    <col min="7177" max="7177" width="9" style="17"/>
    <col min="7178" max="7178" width="8.5" style="17" customWidth="1"/>
    <col min="7179" max="7179" width="11.5" style="17" bestFit="1" customWidth="1"/>
    <col min="7180" max="7180" width="13" style="17" bestFit="1" customWidth="1"/>
    <col min="7181" max="7424" width="9" style="17"/>
    <col min="7425" max="7425" width="22.375" style="17" customWidth="1"/>
    <col min="7426" max="7426" width="44.5" style="17" customWidth="1"/>
    <col min="7427" max="7432" width="14.375" style="17" customWidth="1"/>
    <col min="7433" max="7433" width="9" style="17"/>
    <col min="7434" max="7434" width="8.5" style="17" customWidth="1"/>
    <col min="7435" max="7435" width="11.5" style="17" bestFit="1" customWidth="1"/>
    <col min="7436" max="7436" width="13" style="17" bestFit="1" customWidth="1"/>
    <col min="7437" max="7680" width="9" style="17"/>
    <col min="7681" max="7681" width="22.375" style="17" customWidth="1"/>
    <col min="7682" max="7682" width="44.5" style="17" customWidth="1"/>
    <col min="7683" max="7688" width="14.375" style="17" customWidth="1"/>
    <col min="7689" max="7689" width="9" style="17"/>
    <col min="7690" max="7690" width="8.5" style="17" customWidth="1"/>
    <col min="7691" max="7691" width="11.5" style="17" bestFit="1" customWidth="1"/>
    <col min="7692" max="7692" width="13" style="17" bestFit="1" customWidth="1"/>
    <col min="7693" max="7936" width="9" style="17"/>
    <col min="7937" max="7937" width="22.375" style="17" customWidth="1"/>
    <col min="7938" max="7938" width="44.5" style="17" customWidth="1"/>
    <col min="7939" max="7944" width="14.375" style="17" customWidth="1"/>
    <col min="7945" max="7945" width="9" style="17"/>
    <col min="7946" max="7946" width="8.5" style="17" customWidth="1"/>
    <col min="7947" max="7947" width="11.5" style="17" bestFit="1" customWidth="1"/>
    <col min="7948" max="7948" width="13" style="17" bestFit="1" customWidth="1"/>
    <col min="7949" max="8192" width="9" style="17"/>
    <col min="8193" max="8193" width="22.375" style="17" customWidth="1"/>
    <col min="8194" max="8194" width="44.5" style="17" customWidth="1"/>
    <col min="8195" max="8200" width="14.375" style="17" customWidth="1"/>
    <col min="8201" max="8201" width="9" style="17"/>
    <col min="8202" max="8202" width="8.5" style="17" customWidth="1"/>
    <col min="8203" max="8203" width="11.5" style="17" bestFit="1" customWidth="1"/>
    <col min="8204" max="8204" width="13" style="17" bestFit="1" customWidth="1"/>
    <col min="8205" max="8448" width="9" style="17"/>
    <col min="8449" max="8449" width="22.375" style="17" customWidth="1"/>
    <col min="8450" max="8450" width="44.5" style="17" customWidth="1"/>
    <col min="8451" max="8456" width="14.375" style="17" customWidth="1"/>
    <col min="8457" max="8457" width="9" style="17"/>
    <col min="8458" max="8458" width="8.5" style="17" customWidth="1"/>
    <col min="8459" max="8459" width="11.5" style="17" bestFit="1" customWidth="1"/>
    <col min="8460" max="8460" width="13" style="17" bestFit="1" customWidth="1"/>
    <col min="8461" max="8704" width="9" style="17"/>
    <col min="8705" max="8705" width="22.375" style="17" customWidth="1"/>
    <col min="8706" max="8706" width="44.5" style="17" customWidth="1"/>
    <col min="8707" max="8712" width="14.375" style="17" customWidth="1"/>
    <col min="8713" max="8713" width="9" style="17"/>
    <col min="8714" max="8714" width="8.5" style="17" customWidth="1"/>
    <col min="8715" max="8715" width="11.5" style="17" bestFit="1" customWidth="1"/>
    <col min="8716" max="8716" width="13" style="17" bestFit="1" customWidth="1"/>
    <col min="8717" max="8960" width="9" style="17"/>
    <col min="8961" max="8961" width="22.375" style="17" customWidth="1"/>
    <col min="8962" max="8962" width="44.5" style="17" customWidth="1"/>
    <col min="8963" max="8968" width="14.375" style="17" customWidth="1"/>
    <col min="8969" max="8969" width="9" style="17"/>
    <col min="8970" max="8970" width="8.5" style="17" customWidth="1"/>
    <col min="8971" max="8971" width="11.5" style="17" bestFit="1" customWidth="1"/>
    <col min="8972" max="8972" width="13" style="17" bestFit="1" customWidth="1"/>
    <col min="8973" max="9216" width="9" style="17"/>
    <col min="9217" max="9217" width="22.375" style="17" customWidth="1"/>
    <col min="9218" max="9218" width="44.5" style="17" customWidth="1"/>
    <col min="9219" max="9224" width="14.375" style="17" customWidth="1"/>
    <col min="9225" max="9225" width="9" style="17"/>
    <col min="9226" max="9226" width="8.5" style="17" customWidth="1"/>
    <col min="9227" max="9227" width="11.5" style="17" bestFit="1" customWidth="1"/>
    <col min="9228" max="9228" width="13" style="17" bestFit="1" customWidth="1"/>
    <col min="9229" max="9472" width="9" style="17"/>
    <col min="9473" max="9473" width="22.375" style="17" customWidth="1"/>
    <col min="9474" max="9474" width="44.5" style="17" customWidth="1"/>
    <col min="9475" max="9480" width="14.375" style="17" customWidth="1"/>
    <col min="9481" max="9481" width="9" style="17"/>
    <col min="9482" max="9482" width="8.5" style="17" customWidth="1"/>
    <col min="9483" max="9483" width="11.5" style="17" bestFit="1" customWidth="1"/>
    <col min="9484" max="9484" width="13" style="17" bestFit="1" customWidth="1"/>
    <col min="9485" max="9728" width="9" style="17"/>
    <col min="9729" max="9729" width="22.375" style="17" customWidth="1"/>
    <col min="9730" max="9730" width="44.5" style="17" customWidth="1"/>
    <col min="9731" max="9736" width="14.375" style="17" customWidth="1"/>
    <col min="9737" max="9737" width="9" style="17"/>
    <col min="9738" max="9738" width="8.5" style="17" customWidth="1"/>
    <col min="9739" max="9739" width="11.5" style="17" bestFit="1" customWidth="1"/>
    <col min="9740" max="9740" width="13" style="17" bestFit="1" customWidth="1"/>
    <col min="9741" max="9984" width="9" style="17"/>
    <col min="9985" max="9985" width="22.375" style="17" customWidth="1"/>
    <col min="9986" max="9986" width="44.5" style="17" customWidth="1"/>
    <col min="9987" max="9992" width="14.375" style="17" customWidth="1"/>
    <col min="9993" max="9993" width="9" style="17"/>
    <col min="9994" max="9994" width="8.5" style="17" customWidth="1"/>
    <col min="9995" max="9995" width="11.5" style="17" bestFit="1" customWidth="1"/>
    <col min="9996" max="9996" width="13" style="17" bestFit="1" customWidth="1"/>
    <col min="9997" max="10240" width="9" style="17"/>
    <col min="10241" max="10241" width="22.375" style="17" customWidth="1"/>
    <col min="10242" max="10242" width="44.5" style="17" customWidth="1"/>
    <col min="10243" max="10248" width="14.375" style="17" customWidth="1"/>
    <col min="10249" max="10249" width="9" style="17"/>
    <col min="10250" max="10250" width="8.5" style="17" customWidth="1"/>
    <col min="10251" max="10251" width="11.5" style="17" bestFit="1" customWidth="1"/>
    <col min="10252" max="10252" width="13" style="17" bestFit="1" customWidth="1"/>
    <col min="10253" max="10496" width="9" style="17"/>
    <col min="10497" max="10497" width="22.375" style="17" customWidth="1"/>
    <col min="10498" max="10498" width="44.5" style="17" customWidth="1"/>
    <col min="10499" max="10504" width="14.375" style="17" customWidth="1"/>
    <col min="10505" max="10505" width="9" style="17"/>
    <col min="10506" max="10506" width="8.5" style="17" customWidth="1"/>
    <col min="10507" max="10507" width="11.5" style="17" bestFit="1" customWidth="1"/>
    <col min="10508" max="10508" width="13" style="17" bestFit="1" customWidth="1"/>
    <col min="10509" max="10752" width="9" style="17"/>
    <col min="10753" max="10753" width="22.375" style="17" customWidth="1"/>
    <col min="10754" max="10754" width="44.5" style="17" customWidth="1"/>
    <col min="10755" max="10760" width="14.375" style="17" customWidth="1"/>
    <col min="10761" max="10761" width="9" style="17"/>
    <col min="10762" max="10762" width="8.5" style="17" customWidth="1"/>
    <col min="10763" max="10763" width="11.5" style="17" bestFit="1" customWidth="1"/>
    <col min="10764" max="10764" width="13" style="17" bestFit="1" customWidth="1"/>
    <col min="10765" max="11008" width="9" style="17"/>
    <col min="11009" max="11009" width="22.375" style="17" customWidth="1"/>
    <col min="11010" max="11010" width="44.5" style="17" customWidth="1"/>
    <col min="11011" max="11016" width="14.375" style="17" customWidth="1"/>
    <col min="11017" max="11017" width="9" style="17"/>
    <col min="11018" max="11018" width="8.5" style="17" customWidth="1"/>
    <col min="11019" max="11019" width="11.5" style="17" bestFit="1" customWidth="1"/>
    <col min="11020" max="11020" width="13" style="17" bestFit="1" customWidth="1"/>
    <col min="11021" max="11264" width="9" style="17"/>
    <col min="11265" max="11265" width="22.375" style="17" customWidth="1"/>
    <col min="11266" max="11266" width="44.5" style="17" customWidth="1"/>
    <col min="11267" max="11272" width="14.375" style="17" customWidth="1"/>
    <col min="11273" max="11273" width="9" style="17"/>
    <col min="11274" max="11274" width="8.5" style="17" customWidth="1"/>
    <col min="11275" max="11275" width="11.5" style="17" bestFit="1" customWidth="1"/>
    <col min="11276" max="11276" width="13" style="17" bestFit="1" customWidth="1"/>
    <col min="11277" max="11520" width="9" style="17"/>
    <col min="11521" max="11521" width="22.375" style="17" customWidth="1"/>
    <col min="11522" max="11522" width="44.5" style="17" customWidth="1"/>
    <col min="11523" max="11528" width="14.375" style="17" customWidth="1"/>
    <col min="11529" max="11529" width="9" style="17"/>
    <col min="11530" max="11530" width="8.5" style="17" customWidth="1"/>
    <col min="11531" max="11531" width="11.5" style="17" bestFit="1" customWidth="1"/>
    <col min="11532" max="11532" width="13" style="17" bestFit="1" customWidth="1"/>
    <col min="11533" max="11776" width="9" style="17"/>
    <col min="11777" max="11777" width="22.375" style="17" customWidth="1"/>
    <col min="11778" max="11778" width="44.5" style="17" customWidth="1"/>
    <col min="11779" max="11784" width="14.375" style="17" customWidth="1"/>
    <col min="11785" max="11785" width="9" style="17"/>
    <col min="11786" max="11786" width="8.5" style="17" customWidth="1"/>
    <col min="11787" max="11787" width="11.5" style="17" bestFit="1" customWidth="1"/>
    <col min="11788" max="11788" width="13" style="17" bestFit="1" customWidth="1"/>
    <col min="11789" max="12032" width="9" style="17"/>
    <col min="12033" max="12033" width="22.375" style="17" customWidth="1"/>
    <col min="12034" max="12034" width="44.5" style="17" customWidth="1"/>
    <col min="12035" max="12040" width="14.375" style="17" customWidth="1"/>
    <col min="12041" max="12041" width="9" style="17"/>
    <col min="12042" max="12042" width="8.5" style="17" customWidth="1"/>
    <col min="12043" max="12043" width="11.5" style="17" bestFit="1" customWidth="1"/>
    <col min="12044" max="12044" width="13" style="17" bestFit="1" customWidth="1"/>
    <col min="12045" max="12288" width="9" style="17"/>
    <col min="12289" max="12289" width="22.375" style="17" customWidth="1"/>
    <col min="12290" max="12290" width="44.5" style="17" customWidth="1"/>
    <col min="12291" max="12296" width="14.375" style="17" customWidth="1"/>
    <col min="12297" max="12297" width="9" style="17"/>
    <col min="12298" max="12298" width="8.5" style="17" customWidth="1"/>
    <col min="12299" max="12299" width="11.5" style="17" bestFit="1" customWidth="1"/>
    <col min="12300" max="12300" width="13" style="17" bestFit="1" customWidth="1"/>
    <col min="12301" max="12544" width="9" style="17"/>
    <col min="12545" max="12545" width="22.375" style="17" customWidth="1"/>
    <col min="12546" max="12546" width="44.5" style="17" customWidth="1"/>
    <col min="12547" max="12552" width="14.375" style="17" customWidth="1"/>
    <col min="12553" max="12553" width="9" style="17"/>
    <col min="12554" max="12554" width="8.5" style="17" customWidth="1"/>
    <col min="12555" max="12555" width="11.5" style="17" bestFit="1" customWidth="1"/>
    <col min="12556" max="12556" width="13" style="17" bestFit="1" customWidth="1"/>
    <col min="12557" max="12800" width="9" style="17"/>
    <col min="12801" max="12801" width="22.375" style="17" customWidth="1"/>
    <col min="12802" max="12802" width="44.5" style="17" customWidth="1"/>
    <col min="12803" max="12808" width="14.375" style="17" customWidth="1"/>
    <col min="12809" max="12809" width="9" style="17"/>
    <col min="12810" max="12810" width="8.5" style="17" customWidth="1"/>
    <col min="12811" max="12811" width="11.5" style="17" bestFit="1" customWidth="1"/>
    <col min="12812" max="12812" width="13" style="17" bestFit="1" customWidth="1"/>
    <col min="12813" max="13056" width="9" style="17"/>
    <col min="13057" max="13057" width="22.375" style="17" customWidth="1"/>
    <col min="13058" max="13058" width="44.5" style="17" customWidth="1"/>
    <col min="13059" max="13064" width="14.375" style="17" customWidth="1"/>
    <col min="13065" max="13065" width="9" style="17"/>
    <col min="13066" max="13066" width="8.5" style="17" customWidth="1"/>
    <col min="13067" max="13067" width="11.5" style="17" bestFit="1" customWidth="1"/>
    <col min="13068" max="13068" width="13" style="17" bestFit="1" customWidth="1"/>
    <col min="13069" max="13312" width="9" style="17"/>
    <col min="13313" max="13313" width="22.375" style="17" customWidth="1"/>
    <col min="13314" max="13314" width="44.5" style="17" customWidth="1"/>
    <col min="13315" max="13320" width="14.375" style="17" customWidth="1"/>
    <col min="13321" max="13321" width="9" style="17"/>
    <col min="13322" max="13322" width="8.5" style="17" customWidth="1"/>
    <col min="13323" max="13323" width="11.5" style="17" bestFit="1" customWidth="1"/>
    <col min="13324" max="13324" width="13" style="17" bestFit="1" customWidth="1"/>
    <col min="13325" max="13568" width="9" style="17"/>
    <col min="13569" max="13569" width="22.375" style="17" customWidth="1"/>
    <col min="13570" max="13570" width="44.5" style="17" customWidth="1"/>
    <col min="13571" max="13576" width="14.375" style="17" customWidth="1"/>
    <col min="13577" max="13577" width="9" style="17"/>
    <col min="13578" max="13578" width="8.5" style="17" customWidth="1"/>
    <col min="13579" max="13579" width="11.5" style="17" bestFit="1" customWidth="1"/>
    <col min="13580" max="13580" width="13" style="17" bestFit="1" customWidth="1"/>
    <col min="13581" max="13824" width="9" style="17"/>
    <col min="13825" max="13825" width="22.375" style="17" customWidth="1"/>
    <col min="13826" max="13826" width="44.5" style="17" customWidth="1"/>
    <col min="13827" max="13832" width="14.375" style="17" customWidth="1"/>
    <col min="13833" max="13833" width="9" style="17"/>
    <col min="13834" max="13834" width="8.5" style="17" customWidth="1"/>
    <col min="13835" max="13835" width="11.5" style="17" bestFit="1" customWidth="1"/>
    <col min="13836" max="13836" width="13" style="17" bestFit="1" customWidth="1"/>
    <col min="13837" max="14080" width="9" style="17"/>
    <col min="14081" max="14081" width="22.375" style="17" customWidth="1"/>
    <col min="14082" max="14082" width="44.5" style="17" customWidth="1"/>
    <col min="14083" max="14088" width="14.375" style="17" customWidth="1"/>
    <col min="14089" max="14089" width="9" style="17"/>
    <col min="14090" max="14090" width="8.5" style="17" customWidth="1"/>
    <col min="14091" max="14091" width="11.5" style="17" bestFit="1" customWidth="1"/>
    <col min="14092" max="14092" width="13" style="17" bestFit="1" customWidth="1"/>
    <col min="14093" max="14336" width="9" style="17"/>
    <col min="14337" max="14337" width="22.375" style="17" customWidth="1"/>
    <col min="14338" max="14338" width="44.5" style="17" customWidth="1"/>
    <col min="14339" max="14344" width="14.375" style="17" customWidth="1"/>
    <col min="14345" max="14345" width="9" style="17"/>
    <col min="14346" max="14346" width="8.5" style="17" customWidth="1"/>
    <col min="14347" max="14347" width="11.5" style="17" bestFit="1" customWidth="1"/>
    <col min="14348" max="14348" width="13" style="17" bestFit="1" customWidth="1"/>
    <col min="14349" max="14592" width="9" style="17"/>
    <col min="14593" max="14593" width="22.375" style="17" customWidth="1"/>
    <col min="14594" max="14594" width="44.5" style="17" customWidth="1"/>
    <col min="14595" max="14600" width="14.375" style="17" customWidth="1"/>
    <col min="14601" max="14601" width="9" style="17"/>
    <col min="14602" max="14602" width="8.5" style="17" customWidth="1"/>
    <col min="14603" max="14603" width="11.5" style="17" bestFit="1" customWidth="1"/>
    <col min="14604" max="14604" width="13" style="17" bestFit="1" customWidth="1"/>
    <col min="14605" max="14848" width="9" style="17"/>
    <col min="14849" max="14849" width="22.375" style="17" customWidth="1"/>
    <col min="14850" max="14850" width="44.5" style="17" customWidth="1"/>
    <col min="14851" max="14856" width="14.375" style="17" customWidth="1"/>
    <col min="14857" max="14857" width="9" style="17"/>
    <col min="14858" max="14858" width="8.5" style="17" customWidth="1"/>
    <col min="14859" max="14859" width="11.5" style="17" bestFit="1" customWidth="1"/>
    <col min="14860" max="14860" width="13" style="17" bestFit="1" customWidth="1"/>
    <col min="14861" max="15104" width="9" style="17"/>
    <col min="15105" max="15105" width="22.375" style="17" customWidth="1"/>
    <col min="15106" max="15106" width="44.5" style="17" customWidth="1"/>
    <col min="15107" max="15112" width="14.375" style="17" customWidth="1"/>
    <col min="15113" max="15113" width="9" style="17"/>
    <col min="15114" max="15114" width="8.5" style="17" customWidth="1"/>
    <col min="15115" max="15115" width="11.5" style="17" bestFit="1" customWidth="1"/>
    <col min="15116" max="15116" width="13" style="17" bestFit="1" customWidth="1"/>
    <col min="15117" max="15360" width="9" style="17"/>
    <col min="15361" max="15361" width="22.375" style="17" customWidth="1"/>
    <col min="15362" max="15362" width="44.5" style="17" customWidth="1"/>
    <col min="15363" max="15368" width="14.375" style="17" customWidth="1"/>
    <col min="15369" max="15369" width="9" style="17"/>
    <col min="15370" max="15370" width="8.5" style="17" customWidth="1"/>
    <col min="15371" max="15371" width="11.5" style="17" bestFit="1" customWidth="1"/>
    <col min="15372" max="15372" width="13" style="17" bestFit="1" customWidth="1"/>
    <col min="15373" max="15616" width="9" style="17"/>
    <col min="15617" max="15617" width="22.375" style="17" customWidth="1"/>
    <col min="15618" max="15618" width="44.5" style="17" customWidth="1"/>
    <col min="15619" max="15624" width="14.375" style="17" customWidth="1"/>
    <col min="15625" max="15625" width="9" style="17"/>
    <col min="15626" max="15626" width="8.5" style="17" customWidth="1"/>
    <col min="15627" max="15627" width="11.5" style="17" bestFit="1" customWidth="1"/>
    <col min="15628" max="15628" width="13" style="17" bestFit="1" customWidth="1"/>
    <col min="15629" max="15872" width="9" style="17"/>
    <col min="15873" max="15873" width="22.375" style="17" customWidth="1"/>
    <col min="15874" max="15874" width="44.5" style="17" customWidth="1"/>
    <col min="15875" max="15880" width="14.375" style="17" customWidth="1"/>
    <col min="15881" max="15881" width="9" style="17"/>
    <col min="15882" max="15882" width="8.5" style="17" customWidth="1"/>
    <col min="15883" max="15883" width="11.5" style="17" bestFit="1" customWidth="1"/>
    <col min="15884" max="15884" width="13" style="17" bestFit="1" customWidth="1"/>
    <col min="15885" max="16128" width="9" style="17"/>
    <col min="16129" max="16129" width="22.375" style="17" customWidth="1"/>
    <col min="16130" max="16130" width="44.5" style="17" customWidth="1"/>
    <col min="16131" max="16136" width="14.375" style="17" customWidth="1"/>
    <col min="16137" max="16137" width="9" style="17"/>
    <col min="16138" max="16138" width="8.5" style="17" customWidth="1"/>
    <col min="16139" max="16139" width="11.5" style="17" bestFit="1" customWidth="1"/>
    <col min="16140" max="16140" width="13" style="17" bestFit="1" customWidth="1"/>
    <col min="16141" max="16384" width="9" style="17"/>
  </cols>
  <sheetData>
    <row r="1" spans="1:11" ht="33.75" customHeight="1">
      <c r="A1" s="1548" t="s">
        <v>694</v>
      </c>
      <c r="B1" s="1548"/>
      <c r="C1" s="1548"/>
      <c r="D1" s="1548"/>
      <c r="E1" s="1548"/>
      <c r="F1" s="1548"/>
      <c r="G1" s="1548"/>
      <c r="H1" s="1548"/>
    </row>
    <row r="2" spans="1:11" ht="19.5" customHeight="1"/>
    <row r="3" spans="1:11" ht="19.5" customHeight="1">
      <c r="A3" s="137" t="s">
        <v>695</v>
      </c>
      <c r="B3" s="138"/>
      <c r="C3" s="138"/>
      <c r="D3" s="138"/>
      <c r="E3" s="138"/>
      <c r="F3" s="139"/>
      <c r="H3" s="140"/>
    </row>
    <row r="4" spans="1:11" ht="19.5" customHeight="1">
      <c r="A4" s="136" t="s">
        <v>696</v>
      </c>
      <c r="B4" s="126"/>
      <c r="C4" s="126"/>
      <c r="D4" s="126"/>
      <c r="E4" s="126"/>
      <c r="F4" s="126"/>
      <c r="H4" s="126"/>
    </row>
    <row r="5" spans="1:11" ht="19.5" customHeight="1">
      <c r="A5" s="136" t="s">
        <v>935</v>
      </c>
      <c r="B5" s="126"/>
      <c r="C5" s="126"/>
      <c r="D5" s="126"/>
      <c r="E5" s="126"/>
      <c r="F5" s="126"/>
      <c r="G5" s="126"/>
      <c r="H5" s="126"/>
    </row>
    <row r="6" spans="1:11" ht="19.5" customHeight="1">
      <c r="A6" s="136" t="s">
        <v>697</v>
      </c>
      <c r="B6" s="126"/>
      <c r="C6" s="126"/>
      <c r="D6" s="126"/>
      <c r="E6" s="126"/>
      <c r="F6" s="126"/>
      <c r="G6" s="126"/>
      <c r="H6" s="126"/>
    </row>
    <row r="7" spans="1:11" ht="19.5" customHeight="1"/>
    <row r="8" spans="1:11" ht="19.5" customHeight="1">
      <c r="A8" s="15" t="s">
        <v>698</v>
      </c>
      <c r="B8" s="613">
        <v>105550</v>
      </c>
      <c r="C8" s="15" t="s">
        <v>699</v>
      </c>
      <c r="D8" s="15"/>
      <c r="E8" s="15"/>
      <c r="F8" s="15"/>
      <c r="G8" s="15"/>
      <c r="H8" s="15"/>
    </row>
    <row r="9" spans="1:11" ht="19.5" customHeight="1">
      <c r="A9" s="1549" t="s">
        <v>700</v>
      </c>
      <c r="B9" s="1549"/>
      <c r="C9" s="560" t="s">
        <v>575</v>
      </c>
      <c r="D9" s="560" t="s">
        <v>634</v>
      </c>
      <c r="E9" s="560" t="s">
        <v>635</v>
      </c>
      <c r="F9" s="560" t="s">
        <v>636</v>
      </c>
      <c r="G9" s="560" t="s">
        <v>637</v>
      </c>
      <c r="H9" s="560" t="s">
        <v>638</v>
      </c>
      <c r="I9" s="18" t="s">
        <v>928</v>
      </c>
    </row>
    <row r="10" spans="1:11" ht="19.5" customHeight="1">
      <c r="A10" s="1552" t="s">
        <v>701</v>
      </c>
      <c r="B10" s="135" t="s">
        <v>702</v>
      </c>
      <c r="C10" s="84">
        <v>0.3</v>
      </c>
      <c r="D10" s="84">
        <v>0.5</v>
      </c>
      <c r="E10" s="84">
        <v>2.6</v>
      </c>
      <c r="F10" s="84">
        <v>2.8</v>
      </c>
      <c r="G10" s="84">
        <v>3.8</v>
      </c>
      <c r="H10" s="84">
        <v>4</v>
      </c>
      <c r="I10" s="128" t="s">
        <v>610</v>
      </c>
      <c r="J10" s="128" t="s">
        <v>611</v>
      </c>
      <c r="K10" s="11" t="s">
        <v>612</v>
      </c>
    </row>
    <row r="11" spans="1:11" ht="19.5" customHeight="1">
      <c r="A11" s="1553"/>
      <c r="B11" s="135" t="s">
        <v>703</v>
      </c>
      <c r="C11" s="84">
        <v>0.3</v>
      </c>
      <c r="D11" s="84">
        <v>0.5</v>
      </c>
      <c r="E11" s="84">
        <v>2.1</v>
      </c>
      <c r="F11" s="84">
        <v>2.8</v>
      </c>
      <c r="G11" s="84">
        <v>3.8</v>
      </c>
      <c r="H11" s="84">
        <v>4</v>
      </c>
      <c r="I11" s="129" t="s">
        <v>615</v>
      </c>
      <c r="J11" s="130">
        <f>+'1-2.수량산출'!M4</f>
        <v>325327.32320500002</v>
      </c>
    </row>
    <row r="12" spans="1:11" ht="19.5" customHeight="1">
      <c r="A12" s="1553"/>
      <c r="B12" s="131" t="s">
        <v>704</v>
      </c>
      <c r="C12" s="84">
        <f>SUM(C10:C11)</f>
        <v>0.6</v>
      </c>
      <c r="D12" s="84">
        <f t="shared" ref="D12:H12" si="0">SUM(D10:D11)</f>
        <v>1</v>
      </c>
      <c r="E12" s="84">
        <f t="shared" si="0"/>
        <v>4.7</v>
      </c>
      <c r="F12" s="84">
        <f t="shared" si="0"/>
        <v>5.6</v>
      </c>
      <c r="G12" s="84">
        <f t="shared" si="0"/>
        <v>7.6</v>
      </c>
      <c r="H12" s="84">
        <f t="shared" si="0"/>
        <v>8</v>
      </c>
      <c r="I12" s="129" t="s">
        <v>617</v>
      </c>
      <c r="J12" s="130">
        <f>+'1-2.수량산출'!M5</f>
        <v>238578.78030000001</v>
      </c>
    </row>
    <row r="13" spans="1:11" ht="19.5" customHeight="1">
      <c r="A13" s="1554"/>
      <c r="B13" s="132" t="s">
        <v>705</v>
      </c>
      <c r="C13" s="133">
        <f t="shared" ref="C13:H13" si="1">ROUNDDOWN(C12*0.6,2)</f>
        <v>0.36</v>
      </c>
      <c r="D13" s="133">
        <f t="shared" si="1"/>
        <v>0.6</v>
      </c>
      <c r="E13" s="133">
        <f t="shared" si="1"/>
        <v>2.82</v>
      </c>
      <c r="F13" s="133">
        <f t="shared" si="1"/>
        <v>3.36</v>
      </c>
      <c r="G13" s="133">
        <f t="shared" si="1"/>
        <v>4.5599999999999996</v>
      </c>
      <c r="H13" s="133">
        <f t="shared" si="1"/>
        <v>4.8</v>
      </c>
      <c r="I13" s="129" t="s">
        <v>620</v>
      </c>
      <c r="J13" s="130">
        <f>+'1-2.수량산출'!M6</f>
        <v>199505.89618100002</v>
      </c>
    </row>
    <row r="14" spans="1:11" ht="19.5" customHeight="1">
      <c r="A14" s="1550" t="s">
        <v>706</v>
      </c>
      <c r="B14" s="131" t="s">
        <v>707</v>
      </c>
      <c r="C14" s="82">
        <v>0.5</v>
      </c>
      <c r="D14" s="82">
        <v>0.7</v>
      </c>
      <c r="E14" s="82">
        <v>3.5</v>
      </c>
      <c r="F14" s="82">
        <v>4.4000000000000004</v>
      </c>
      <c r="G14" s="82">
        <v>3.6</v>
      </c>
      <c r="H14" s="82">
        <v>6.3</v>
      </c>
      <c r="I14" s="129" t="s">
        <v>622</v>
      </c>
      <c r="J14" s="130">
        <f>+'1-2.수량산출'!M7</f>
        <v>173018.78261300002</v>
      </c>
    </row>
    <row r="15" spans="1:11" ht="19.5" customHeight="1">
      <c r="A15" s="1551"/>
      <c r="B15" s="131" t="s">
        <v>708</v>
      </c>
      <c r="C15" s="82">
        <v>0.5</v>
      </c>
      <c r="D15" s="82">
        <v>0.7</v>
      </c>
      <c r="E15" s="82">
        <v>2.5</v>
      </c>
      <c r="F15" s="82">
        <v>3.4</v>
      </c>
      <c r="G15" s="82">
        <v>3.6</v>
      </c>
      <c r="H15" s="82">
        <v>6.3</v>
      </c>
      <c r="I15" s="129" t="s">
        <v>624</v>
      </c>
      <c r="J15" s="130">
        <f>+'1-2.수량산출'!M8</f>
        <v>134480.52881399999</v>
      </c>
    </row>
    <row r="16" spans="1:11" ht="19.5" customHeight="1">
      <c r="A16" s="1551"/>
      <c r="B16" s="131" t="s">
        <v>709</v>
      </c>
      <c r="C16" s="82">
        <v>0.5</v>
      </c>
      <c r="D16" s="82">
        <v>0.8</v>
      </c>
      <c r="E16" s="82">
        <v>2.5</v>
      </c>
      <c r="F16" s="82">
        <v>3.4</v>
      </c>
      <c r="G16" s="82">
        <v>3.6</v>
      </c>
      <c r="H16" s="82">
        <v>6.3</v>
      </c>
      <c r="I16" s="129" t="s">
        <v>626</v>
      </c>
      <c r="J16" s="130">
        <f>+'1-2.수량산출'!M9</f>
        <v>155643.29721300001</v>
      </c>
    </row>
    <row r="17" spans="1:23" ht="19.5" customHeight="1">
      <c r="A17" s="1551"/>
      <c r="B17" s="131" t="s">
        <v>710</v>
      </c>
      <c r="C17" s="82">
        <v>1</v>
      </c>
      <c r="D17" s="82">
        <v>1</v>
      </c>
      <c r="E17" s="82">
        <v>3.5</v>
      </c>
      <c r="F17" s="82">
        <v>4.4000000000000004</v>
      </c>
      <c r="G17" s="82">
        <v>5.6</v>
      </c>
      <c r="H17" s="82">
        <v>6.3</v>
      </c>
      <c r="I17" s="129" t="s">
        <v>581</v>
      </c>
      <c r="J17" s="130">
        <f>+'1-2.수량산출'!M10</f>
        <v>135345.48429600001</v>
      </c>
    </row>
    <row r="18" spans="1:23" ht="19.5" customHeight="1">
      <c r="A18" s="1551"/>
      <c r="B18" s="131" t="s">
        <v>704</v>
      </c>
      <c r="C18" s="82">
        <f t="shared" ref="C18:H18" si="2">SUM(C14:C17)</f>
        <v>2.5</v>
      </c>
      <c r="D18" s="82">
        <f t="shared" si="2"/>
        <v>3.2</v>
      </c>
      <c r="E18" s="82">
        <f t="shared" si="2"/>
        <v>12</v>
      </c>
      <c r="F18" s="82">
        <f t="shared" si="2"/>
        <v>15.600000000000001</v>
      </c>
      <c r="G18" s="82">
        <f t="shared" si="2"/>
        <v>16.399999999999999</v>
      </c>
      <c r="H18" s="82">
        <f t="shared" si="2"/>
        <v>25.2</v>
      </c>
      <c r="I18" s="129" t="s">
        <v>629</v>
      </c>
      <c r="J18" s="130">
        <f>+'1-2.수량산출'!M11</f>
        <v>117469.737668</v>
      </c>
    </row>
    <row r="19" spans="1:23" ht="19.5" customHeight="1">
      <c r="A19" s="1547"/>
      <c r="B19" s="132" t="s">
        <v>705</v>
      </c>
      <c r="C19" s="133">
        <f t="shared" ref="C19:H19" si="3">ROUNDDOWN(C18*0.6,2)</f>
        <v>1.5</v>
      </c>
      <c r="D19" s="133">
        <f t="shared" si="3"/>
        <v>1.92</v>
      </c>
      <c r="E19" s="133">
        <f t="shared" si="3"/>
        <v>7.2</v>
      </c>
      <c r="F19" s="133">
        <f t="shared" si="3"/>
        <v>9.36</v>
      </c>
      <c r="G19" s="133">
        <f t="shared" si="3"/>
        <v>9.84</v>
      </c>
      <c r="H19" s="133">
        <f t="shared" si="3"/>
        <v>15.12</v>
      </c>
    </row>
    <row r="20" spans="1:23" ht="19.5" customHeight="1">
      <c r="A20" s="1546" t="s">
        <v>711</v>
      </c>
      <c r="B20" s="131" t="s">
        <v>712</v>
      </c>
      <c r="C20" s="82">
        <v>0.1</v>
      </c>
      <c r="D20" s="82">
        <v>0.1</v>
      </c>
      <c r="E20" s="82">
        <v>0.5</v>
      </c>
      <c r="F20" s="82">
        <v>1</v>
      </c>
      <c r="G20" s="82">
        <v>1.2</v>
      </c>
      <c r="H20" s="82">
        <v>2.5</v>
      </c>
    </row>
    <row r="21" spans="1:23" ht="19.5" customHeight="1">
      <c r="A21" s="1547"/>
      <c r="B21" s="132" t="s">
        <v>705</v>
      </c>
      <c r="C21" s="133">
        <f t="shared" ref="C21:H21" si="4">ROUNDDOWN(C20*0.6,2)</f>
        <v>0.06</v>
      </c>
      <c r="D21" s="133">
        <f t="shared" si="4"/>
        <v>0.06</v>
      </c>
      <c r="E21" s="133">
        <f t="shared" si="4"/>
        <v>0.3</v>
      </c>
      <c r="F21" s="133">
        <f t="shared" si="4"/>
        <v>0.6</v>
      </c>
      <c r="G21" s="133">
        <f t="shared" si="4"/>
        <v>0.72</v>
      </c>
      <c r="H21" s="133">
        <f t="shared" si="4"/>
        <v>1.5</v>
      </c>
    </row>
    <row r="22" spans="1:23" ht="19.5" customHeight="1">
      <c r="A22" s="131" t="s">
        <v>713</v>
      </c>
      <c r="B22" s="131" t="s">
        <v>714</v>
      </c>
      <c r="C22" s="141">
        <f>ROUNDDOWN((B8/50/10000)^0.6,3)</f>
        <v>0.39300000000000002</v>
      </c>
      <c r="D22" s="82"/>
      <c r="E22" s="82"/>
      <c r="F22" s="82"/>
      <c r="G22" s="82"/>
      <c r="H22" s="82"/>
    </row>
    <row r="23" spans="1:23" ht="19.5" customHeight="1"/>
    <row r="24" spans="1:23" ht="19.5" customHeight="1">
      <c r="A24" s="25" t="s">
        <v>715</v>
      </c>
      <c r="B24" s="368"/>
      <c r="C24" s="368"/>
      <c r="D24" s="368"/>
      <c r="E24" s="368"/>
      <c r="F24" s="30"/>
      <c r="G24" s="30"/>
      <c r="H24" s="70" t="s">
        <v>668</v>
      </c>
    </row>
    <row r="25" spans="1:23" ht="19.5" customHeight="1">
      <c r="A25" s="406" t="s">
        <v>716</v>
      </c>
      <c r="B25" s="407"/>
      <c r="C25" s="362" t="s">
        <v>670</v>
      </c>
      <c r="D25" s="557" t="s">
        <v>671</v>
      </c>
      <c r="E25" s="1525" t="s">
        <v>672</v>
      </c>
      <c r="F25" s="1526"/>
      <c r="G25" s="1527">
        <f>SUM(G26:H28)</f>
        <v>808485.15445000003</v>
      </c>
      <c r="H25" s="1528"/>
      <c r="I25" s="30" t="s">
        <v>666</v>
      </c>
      <c r="J25" s="30"/>
      <c r="K25" s="30"/>
      <c r="L25" s="30"/>
      <c r="M25" s="30"/>
      <c r="N25" s="30"/>
      <c r="O25" s="30"/>
      <c r="P25" s="30"/>
      <c r="Q25" s="30"/>
      <c r="R25" s="30"/>
      <c r="S25" s="30"/>
      <c r="T25" s="30"/>
      <c r="U25" s="30"/>
      <c r="V25" s="30"/>
      <c r="W25" s="30"/>
    </row>
    <row r="26" spans="1:23" ht="19.5" customHeight="1">
      <c r="A26" s="408" t="s">
        <v>717</v>
      </c>
      <c r="B26" s="409"/>
      <c r="C26" s="410">
        <v>10</v>
      </c>
      <c r="D26" s="412">
        <v>100</v>
      </c>
      <c r="E26" s="1541">
        <f>(12150-5150)*용역비총괄표!O9</f>
        <v>6682.8789999999999</v>
      </c>
      <c r="F26" s="1542"/>
      <c r="G26" s="1541">
        <f>D26*E26</f>
        <v>668287.9</v>
      </c>
      <c r="H26" s="1542"/>
      <c r="I26" s="30"/>
      <c r="J26" s="30" t="s">
        <v>57</v>
      </c>
      <c r="K26" s="30"/>
      <c r="O26" s="30" t="s">
        <v>58</v>
      </c>
      <c r="Q26" s="50"/>
      <c r="S26" s="30"/>
      <c r="T26" s="30"/>
      <c r="U26" s="30"/>
      <c r="V26" s="30"/>
      <c r="W26" s="30"/>
    </row>
    <row r="27" spans="1:23" ht="19.5" customHeight="1">
      <c r="A27" s="413" t="s">
        <v>718</v>
      </c>
      <c r="B27" s="414"/>
      <c r="C27" s="37">
        <v>10</v>
      </c>
      <c r="D27" s="415">
        <v>1</v>
      </c>
      <c r="E27" s="1529">
        <f>(15370*5)*용역비총괄표!O9</f>
        <v>73368.464449999999</v>
      </c>
      <c r="F27" s="1530"/>
      <c r="G27" s="1529">
        <f>D27*E27</f>
        <v>73368.464449999999</v>
      </c>
      <c r="H27" s="1530"/>
      <c r="I27" s="30"/>
      <c r="J27" s="30" t="s">
        <v>59</v>
      </c>
      <c r="K27" s="30"/>
      <c r="M27" s="70" t="s">
        <v>60</v>
      </c>
      <c r="Q27" s="50"/>
      <c r="S27" s="30"/>
      <c r="T27" s="30"/>
      <c r="U27" s="30"/>
      <c r="V27" s="30"/>
      <c r="W27" s="30"/>
    </row>
    <row r="28" spans="1:23" ht="19.5" customHeight="1">
      <c r="A28" s="416" t="s">
        <v>719</v>
      </c>
      <c r="B28" s="417"/>
      <c r="C28" s="418">
        <v>10</v>
      </c>
      <c r="D28" s="419">
        <v>10</v>
      </c>
      <c r="E28" s="1539">
        <f>(12150-5150)*용역비총괄표!O9</f>
        <v>6682.8789999999999</v>
      </c>
      <c r="F28" s="1540"/>
      <c r="G28" s="1555">
        <f>D28*E28</f>
        <v>66828.789999999994</v>
      </c>
      <c r="H28" s="1556"/>
      <c r="I28" s="30"/>
      <c r="J28" s="561" t="s">
        <v>61</v>
      </c>
      <c r="K28" s="561" t="s">
        <v>62</v>
      </c>
      <c r="L28" s="561" t="s">
        <v>63</v>
      </c>
      <c r="M28" s="561" t="s">
        <v>64</v>
      </c>
      <c r="N28" s="120"/>
      <c r="O28" s="561" t="s">
        <v>30</v>
      </c>
      <c r="P28" s="121" t="s">
        <v>65</v>
      </c>
      <c r="Q28" s="121" t="s">
        <v>66</v>
      </c>
      <c r="R28" s="121" t="s">
        <v>67</v>
      </c>
      <c r="S28" s="30"/>
      <c r="T28" s="30"/>
      <c r="U28" s="30"/>
      <c r="V28" s="30"/>
      <c r="W28" s="30"/>
    </row>
    <row r="29" spans="1:23">
      <c r="I29" s="30"/>
      <c r="J29" s="1557" t="s">
        <v>68</v>
      </c>
      <c r="K29" s="561" t="s">
        <v>69</v>
      </c>
      <c r="L29" s="119">
        <v>15080</v>
      </c>
      <c r="M29" s="119">
        <v>132</v>
      </c>
      <c r="O29" s="561" t="s">
        <v>68</v>
      </c>
      <c r="P29" s="122">
        <v>8560</v>
      </c>
      <c r="Q29" s="122">
        <v>6690</v>
      </c>
      <c r="R29" s="122">
        <v>4420</v>
      </c>
      <c r="S29" s="30"/>
      <c r="T29" s="30"/>
      <c r="U29" s="30"/>
      <c r="V29" s="30"/>
      <c r="W29" s="30"/>
    </row>
    <row r="30" spans="1:23">
      <c r="I30" s="30"/>
      <c r="J30" s="1557"/>
      <c r="K30" s="561" t="s">
        <v>70</v>
      </c>
      <c r="L30" s="119">
        <v>15270</v>
      </c>
      <c r="M30" s="119">
        <v>157</v>
      </c>
      <c r="O30" s="561" t="s">
        <v>71</v>
      </c>
      <c r="P30" s="122">
        <v>6780</v>
      </c>
      <c r="Q30" s="122">
        <v>5150</v>
      </c>
      <c r="R30" s="122">
        <v>3500</v>
      </c>
      <c r="S30" s="30"/>
      <c r="T30" s="30"/>
      <c r="U30" s="30"/>
      <c r="V30" s="30"/>
      <c r="W30" s="30"/>
    </row>
    <row r="31" spans="1:23">
      <c r="I31" s="30"/>
      <c r="J31" s="1557"/>
      <c r="K31" s="561" t="s">
        <v>72</v>
      </c>
      <c r="L31" s="119">
        <v>15370</v>
      </c>
      <c r="M31" s="119">
        <v>183</v>
      </c>
      <c r="O31" s="561" t="s">
        <v>73</v>
      </c>
      <c r="P31" s="122">
        <v>4620</v>
      </c>
      <c r="Q31" s="122">
        <v>3470</v>
      </c>
      <c r="R31" s="122">
        <v>2380</v>
      </c>
      <c r="S31" s="30"/>
      <c r="T31" s="30"/>
      <c r="U31" s="30"/>
      <c r="V31" s="30"/>
      <c r="W31" s="30"/>
    </row>
    <row r="32" spans="1:23">
      <c r="I32" s="30"/>
      <c r="J32" s="1557" t="s">
        <v>71</v>
      </c>
      <c r="K32" s="561" t="s">
        <v>69</v>
      </c>
      <c r="L32" s="119">
        <v>11960</v>
      </c>
      <c r="M32" s="119">
        <v>122</v>
      </c>
      <c r="O32" s="561" t="s">
        <v>74</v>
      </c>
      <c r="P32" s="122">
        <v>2950</v>
      </c>
      <c r="Q32" s="122">
        <v>2320</v>
      </c>
      <c r="R32" s="122">
        <v>1530</v>
      </c>
      <c r="S32" s="30"/>
      <c r="T32" s="30"/>
      <c r="U32" s="30"/>
      <c r="V32" s="30"/>
      <c r="W32" s="30"/>
    </row>
    <row r="33" spans="9:23">
      <c r="I33" s="30"/>
      <c r="J33" s="1557"/>
      <c r="K33" s="561" t="s">
        <v>70</v>
      </c>
      <c r="L33" s="119">
        <v>12040</v>
      </c>
      <c r="M33" s="119">
        <v>140</v>
      </c>
      <c r="O33" s="561" t="s">
        <v>75</v>
      </c>
      <c r="P33" s="122">
        <v>2390</v>
      </c>
      <c r="Q33" s="122">
        <v>1500</v>
      </c>
      <c r="R33" s="122">
        <v>1240</v>
      </c>
      <c r="S33" s="30"/>
      <c r="T33" s="30"/>
      <c r="U33" s="30"/>
      <c r="V33" s="30"/>
      <c r="W33" s="30"/>
    </row>
    <row r="34" spans="9:23">
      <c r="I34" s="30"/>
      <c r="J34" s="1557"/>
      <c r="K34" s="561" t="s">
        <v>72</v>
      </c>
      <c r="L34" s="119">
        <v>12150</v>
      </c>
      <c r="M34" s="119">
        <v>157</v>
      </c>
      <c r="O34" s="30" t="s">
        <v>76</v>
      </c>
      <c r="Q34" s="50"/>
      <c r="R34" s="30"/>
      <c r="S34" s="30"/>
      <c r="T34" s="30"/>
      <c r="U34" s="30"/>
      <c r="V34" s="30"/>
      <c r="W34" s="30"/>
    </row>
    <row r="35" spans="9:23">
      <c r="I35" s="30"/>
      <c r="J35" s="1557" t="s">
        <v>73</v>
      </c>
      <c r="K35" s="561" t="s">
        <v>69</v>
      </c>
      <c r="L35" s="119">
        <v>8070</v>
      </c>
      <c r="M35" s="119">
        <v>81</v>
      </c>
      <c r="O35" s="30" t="s">
        <v>77</v>
      </c>
      <c r="Q35" s="50"/>
      <c r="R35" s="30"/>
      <c r="S35" s="30"/>
      <c r="T35" s="30"/>
      <c r="U35" s="30"/>
      <c r="V35" s="30"/>
      <c r="W35" s="30"/>
    </row>
    <row r="36" spans="9:23">
      <c r="I36" s="30"/>
      <c r="J36" s="1557"/>
      <c r="K36" s="561" t="s">
        <v>70</v>
      </c>
      <c r="L36" s="119">
        <v>8120</v>
      </c>
      <c r="M36" s="119">
        <v>91</v>
      </c>
      <c r="O36" s="30" t="s">
        <v>78</v>
      </c>
      <c r="Q36" s="50"/>
      <c r="R36" s="30"/>
      <c r="S36" s="30"/>
      <c r="T36" s="30"/>
      <c r="U36" s="30"/>
      <c r="V36" s="30"/>
      <c r="W36" s="30"/>
    </row>
    <row r="37" spans="9:23">
      <c r="I37" s="30"/>
      <c r="J37" s="1557"/>
      <c r="K37" s="561" t="s">
        <v>72</v>
      </c>
      <c r="L37" s="119">
        <v>8180</v>
      </c>
      <c r="M37" s="119">
        <v>101</v>
      </c>
      <c r="Q37" s="50"/>
      <c r="R37" s="30"/>
      <c r="S37" s="30"/>
      <c r="T37" s="30"/>
      <c r="U37" s="30"/>
      <c r="V37" s="30"/>
      <c r="W37" s="30"/>
    </row>
    <row r="38" spans="9:23">
      <c r="I38" s="30"/>
      <c r="J38" s="1557" t="s">
        <v>74</v>
      </c>
      <c r="K38" s="561" t="s">
        <v>69</v>
      </c>
      <c r="L38" s="119">
        <v>5510</v>
      </c>
      <c r="M38" s="119">
        <v>72</v>
      </c>
      <c r="Q38" s="50"/>
      <c r="R38" s="30"/>
      <c r="S38" s="30"/>
      <c r="T38" s="30"/>
      <c r="U38" s="30"/>
      <c r="V38" s="30"/>
      <c r="W38" s="30"/>
    </row>
    <row r="39" spans="9:23">
      <c r="I39" s="30"/>
      <c r="J39" s="1557"/>
      <c r="K39" s="561" t="s">
        <v>70</v>
      </c>
      <c r="L39" s="119">
        <v>5540</v>
      </c>
      <c r="M39" s="119">
        <v>74</v>
      </c>
      <c r="Q39" s="50"/>
      <c r="R39" s="30"/>
      <c r="S39" s="30"/>
      <c r="T39" s="30"/>
      <c r="U39" s="30"/>
      <c r="V39" s="30"/>
      <c r="W39" s="30"/>
    </row>
    <row r="40" spans="9:23">
      <c r="I40" s="30"/>
      <c r="J40" s="1557"/>
      <c r="K40" s="561" t="s">
        <v>72</v>
      </c>
      <c r="L40" s="119">
        <v>5580</v>
      </c>
      <c r="M40" s="119">
        <v>80</v>
      </c>
      <c r="Q40" s="50"/>
      <c r="R40" s="30"/>
      <c r="S40" s="30"/>
      <c r="T40" s="30"/>
      <c r="U40" s="30"/>
      <c r="V40" s="30"/>
      <c r="W40" s="30"/>
    </row>
    <row r="41" spans="9:23">
      <c r="I41" s="30"/>
      <c r="J41" s="1557" t="s">
        <v>75</v>
      </c>
      <c r="K41" s="561" t="s">
        <v>69</v>
      </c>
      <c r="L41" s="119">
        <v>4150</v>
      </c>
      <c r="M41" s="119">
        <v>47</v>
      </c>
      <c r="Q41" s="50"/>
      <c r="R41" s="30"/>
      <c r="S41" s="30"/>
      <c r="T41" s="30"/>
      <c r="U41" s="30"/>
      <c r="V41" s="30"/>
      <c r="W41" s="30"/>
    </row>
    <row r="42" spans="9:23">
      <c r="I42" s="30"/>
      <c r="J42" s="1557"/>
      <c r="K42" s="561" t="s">
        <v>70</v>
      </c>
      <c r="L42" s="119">
        <v>4160</v>
      </c>
      <c r="M42" s="119">
        <v>50</v>
      </c>
      <c r="Q42" s="50"/>
      <c r="R42" s="30"/>
      <c r="S42" s="30"/>
      <c r="T42" s="30"/>
      <c r="U42" s="30"/>
      <c r="V42" s="30"/>
      <c r="W42" s="30"/>
    </row>
    <row r="43" spans="9:23">
      <c r="I43" s="30"/>
      <c r="J43" s="1557"/>
      <c r="K43" s="561" t="s">
        <v>72</v>
      </c>
      <c r="L43" s="119">
        <v>4190</v>
      </c>
      <c r="M43" s="119">
        <v>55</v>
      </c>
      <c r="Q43" s="50"/>
      <c r="R43" s="30"/>
      <c r="S43" s="30"/>
      <c r="T43" s="30"/>
      <c r="U43" s="30"/>
      <c r="V43" s="30"/>
      <c r="W43" s="30"/>
    </row>
  </sheetData>
  <mergeCells count="18">
    <mergeCell ref="J29:J31"/>
    <mergeCell ref="J32:J34"/>
    <mergeCell ref="J35:J37"/>
    <mergeCell ref="J38:J40"/>
    <mergeCell ref="J41:J43"/>
    <mergeCell ref="E25:F25"/>
    <mergeCell ref="E26:F26"/>
    <mergeCell ref="E27:F27"/>
    <mergeCell ref="E28:F28"/>
    <mergeCell ref="G25:H25"/>
    <mergeCell ref="G26:H26"/>
    <mergeCell ref="G27:H27"/>
    <mergeCell ref="G28:H28"/>
    <mergeCell ref="A20:A21"/>
    <mergeCell ref="A1:H1"/>
    <mergeCell ref="A9:B9"/>
    <mergeCell ref="A14:A19"/>
    <mergeCell ref="A10:A13"/>
  </mergeCells>
  <phoneticPr fontId="4" type="noConversion"/>
  <printOptions horizontalCentered="1"/>
  <pageMargins left="0.70866141732283472" right="0.70866141732283472" top="0.74803149606299213" bottom="0.74803149606299213" header="0.31496062992125984" footer="0.31496062992125984"/>
  <pageSetup paperSize="9" scale="85"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02"/>
  <sheetViews>
    <sheetView view="pageBreakPreview" zoomScale="85" zoomScaleNormal="85" zoomScaleSheetLayoutView="85" workbookViewId="0">
      <selection activeCell="I8" sqref="I8:K8"/>
    </sheetView>
  </sheetViews>
  <sheetFormatPr defaultRowHeight="13.5"/>
  <cols>
    <col min="1" max="1" width="35.75" style="142" customWidth="1"/>
    <col min="2" max="3" width="6" style="142" customWidth="1"/>
    <col min="4" max="4" width="6" style="143" customWidth="1"/>
    <col min="5" max="5" width="14.125" style="142" customWidth="1"/>
    <col min="6" max="6" width="10" style="142" customWidth="1"/>
    <col min="7" max="7" width="11.125" style="142" customWidth="1"/>
    <col min="8" max="8" width="10.625" style="142" customWidth="1"/>
    <col min="9" max="9" width="12.625" style="142" customWidth="1"/>
    <col min="10" max="10" width="10.125" style="142" customWidth="1"/>
    <col min="11" max="11" width="10.75" style="142" customWidth="1"/>
    <col min="12" max="12" width="11" style="144" customWidth="1"/>
    <col min="13" max="256" width="9" style="142"/>
    <col min="257" max="257" width="46.625" style="142" bestFit="1" customWidth="1"/>
    <col min="258" max="260" width="9.875" style="142" customWidth="1"/>
    <col min="261" max="267" width="16.625" style="142" customWidth="1"/>
    <col min="268" max="268" width="11" style="142" customWidth="1"/>
    <col min="269" max="512" width="9" style="142"/>
    <col min="513" max="513" width="46.625" style="142" bestFit="1" customWidth="1"/>
    <col min="514" max="516" width="9.875" style="142" customWidth="1"/>
    <col min="517" max="523" width="16.625" style="142" customWidth="1"/>
    <col min="524" max="524" width="11" style="142" customWidth="1"/>
    <col min="525" max="768" width="9" style="142"/>
    <col min="769" max="769" width="46.625" style="142" bestFit="1" customWidth="1"/>
    <col min="770" max="772" width="9.875" style="142" customWidth="1"/>
    <col min="773" max="779" width="16.625" style="142" customWidth="1"/>
    <col min="780" max="780" width="11" style="142" customWidth="1"/>
    <col min="781" max="1024" width="9" style="142"/>
    <col min="1025" max="1025" width="46.625" style="142" bestFit="1" customWidth="1"/>
    <col min="1026" max="1028" width="9.875" style="142" customWidth="1"/>
    <col min="1029" max="1035" width="16.625" style="142" customWidth="1"/>
    <col min="1036" max="1036" width="11" style="142" customWidth="1"/>
    <col min="1037" max="1280" width="9" style="142"/>
    <col min="1281" max="1281" width="46.625" style="142" bestFit="1" customWidth="1"/>
    <col min="1282" max="1284" width="9.875" style="142" customWidth="1"/>
    <col min="1285" max="1291" width="16.625" style="142" customWidth="1"/>
    <col min="1292" max="1292" width="11" style="142" customWidth="1"/>
    <col min="1293" max="1536" width="9" style="142"/>
    <col min="1537" max="1537" width="46.625" style="142" bestFit="1" customWidth="1"/>
    <col min="1538" max="1540" width="9.875" style="142" customWidth="1"/>
    <col min="1541" max="1547" width="16.625" style="142" customWidth="1"/>
    <col min="1548" max="1548" width="11" style="142" customWidth="1"/>
    <col min="1549" max="1792" width="9" style="142"/>
    <col min="1793" max="1793" width="46.625" style="142" bestFit="1" customWidth="1"/>
    <col min="1794" max="1796" width="9.875" style="142" customWidth="1"/>
    <col min="1797" max="1803" width="16.625" style="142" customWidth="1"/>
    <col min="1804" max="1804" width="11" style="142" customWidth="1"/>
    <col min="1805" max="2048" width="9" style="142"/>
    <col min="2049" max="2049" width="46.625" style="142" bestFit="1" customWidth="1"/>
    <col min="2050" max="2052" width="9.875" style="142" customWidth="1"/>
    <col min="2053" max="2059" width="16.625" style="142" customWidth="1"/>
    <col min="2060" max="2060" width="11" style="142" customWidth="1"/>
    <col min="2061" max="2304" width="9" style="142"/>
    <col min="2305" max="2305" width="46.625" style="142" bestFit="1" customWidth="1"/>
    <col min="2306" max="2308" width="9.875" style="142" customWidth="1"/>
    <col min="2309" max="2315" width="16.625" style="142" customWidth="1"/>
    <col min="2316" max="2316" width="11" style="142" customWidth="1"/>
    <col min="2317" max="2560" width="9" style="142"/>
    <col min="2561" max="2561" width="46.625" style="142" bestFit="1" customWidth="1"/>
    <col min="2562" max="2564" width="9.875" style="142" customWidth="1"/>
    <col min="2565" max="2571" width="16.625" style="142" customWidth="1"/>
    <col min="2572" max="2572" width="11" style="142" customWidth="1"/>
    <col min="2573" max="2816" width="9" style="142"/>
    <col min="2817" max="2817" width="46.625" style="142" bestFit="1" customWidth="1"/>
    <col min="2818" max="2820" width="9.875" style="142" customWidth="1"/>
    <col min="2821" max="2827" width="16.625" style="142" customWidth="1"/>
    <col min="2828" max="2828" width="11" style="142" customWidth="1"/>
    <col min="2829" max="3072" width="9" style="142"/>
    <col min="3073" max="3073" width="46.625" style="142" bestFit="1" customWidth="1"/>
    <col min="3074" max="3076" width="9.875" style="142" customWidth="1"/>
    <col min="3077" max="3083" width="16.625" style="142" customWidth="1"/>
    <col min="3084" max="3084" width="11" style="142" customWidth="1"/>
    <col min="3085" max="3328" width="9" style="142"/>
    <col min="3329" max="3329" width="46.625" style="142" bestFit="1" customWidth="1"/>
    <col min="3330" max="3332" width="9.875" style="142" customWidth="1"/>
    <col min="3333" max="3339" width="16.625" style="142" customWidth="1"/>
    <col min="3340" max="3340" width="11" style="142" customWidth="1"/>
    <col min="3341" max="3584" width="9" style="142"/>
    <col min="3585" max="3585" width="46.625" style="142" bestFit="1" customWidth="1"/>
    <col min="3586" max="3588" width="9.875" style="142" customWidth="1"/>
    <col min="3589" max="3595" width="16.625" style="142" customWidth="1"/>
    <col min="3596" max="3596" width="11" style="142" customWidth="1"/>
    <col min="3597" max="3840" width="9" style="142"/>
    <col min="3841" max="3841" width="46.625" style="142" bestFit="1" customWidth="1"/>
    <col min="3842" max="3844" width="9.875" style="142" customWidth="1"/>
    <col min="3845" max="3851" width="16.625" style="142" customWidth="1"/>
    <col min="3852" max="3852" width="11" style="142" customWidth="1"/>
    <col min="3853" max="4096" width="9" style="142"/>
    <col min="4097" max="4097" width="46.625" style="142" bestFit="1" customWidth="1"/>
    <col min="4098" max="4100" width="9.875" style="142" customWidth="1"/>
    <col min="4101" max="4107" width="16.625" style="142" customWidth="1"/>
    <col min="4108" max="4108" width="11" style="142" customWidth="1"/>
    <col min="4109" max="4352" width="9" style="142"/>
    <col min="4353" max="4353" width="46.625" style="142" bestFit="1" customWidth="1"/>
    <col min="4354" max="4356" width="9.875" style="142" customWidth="1"/>
    <col min="4357" max="4363" width="16.625" style="142" customWidth="1"/>
    <col min="4364" max="4364" width="11" style="142" customWidth="1"/>
    <col min="4365" max="4608" width="9" style="142"/>
    <col min="4609" max="4609" width="46.625" style="142" bestFit="1" customWidth="1"/>
    <col min="4610" max="4612" width="9.875" style="142" customWidth="1"/>
    <col min="4613" max="4619" width="16.625" style="142" customWidth="1"/>
    <col min="4620" max="4620" width="11" style="142" customWidth="1"/>
    <col min="4621" max="4864" width="9" style="142"/>
    <col min="4865" max="4865" width="46.625" style="142" bestFit="1" customWidth="1"/>
    <col min="4866" max="4868" width="9.875" style="142" customWidth="1"/>
    <col min="4869" max="4875" width="16.625" style="142" customWidth="1"/>
    <col min="4876" max="4876" width="11" style="142" customWidth="1"/>
    <col min="4877" max="5120" width="9" style="142"/>
    <col min="5121" max="5121" width="46.625" style="142" bestFit="1" customWidth="1"/>
    <col min="5122" max="5124" width="9.875" style="142" customWidth="1"/>
    <col min="5125" max="5131" width="16.625" style="142" customWidth="1"/>
    <col min="5132" max="5132" width="11" style="142" customWidth="1"/>
    <col min="5133" max="5376" width="9" style="142"/>
    <col min="5377" max="5377" width="46.625" style="142" bestFit="1" customWidth="1"/>
    <col min="5378" max="5380" width="9.875" style="142" customWidth="1"/>
    <col min="5381" max="5387" width="16.625" style="142" customWidth="1"/>
    <col min="5388" max="5388" width="11" style="142" customWidth="1"/>
    <col min="5389" max="5632" width="9" style="142"/>
    <col min="5633" max="5633" width="46.625" style="142" bestFit="1" customWidth="1"/>
    <col min="5634" max="5636" width="9.875" style="142" customWidth="1"/>
    <col min="5637" max="5643" width="16.625" style="142" customWidth="1"/>
    <col min="5644" max="5644" width="11" style="142" customWidth="1"/>
    <col min="5645" max="5888" width="9" style="142"/>
    <col min="5889" max="5889" width="46.625" style="142" bestFit="1" customWidth="1"/>
    <col min="5890" max="5892" width="9.875" style="142" customWidth="1"/>
    <col min="5893" max="5899" width="16.625" style="142" customWidth="1"/>
    <col min="5900" max="5900" width="11" style="142" customWidth="1"/>
    <col min="5901" max="6144" width="9" style="142"/>
    <col min="6145" max="6145" width="46.625" style="142" bestFit="1" customWidth="1"/>
    <col min="6146" max="6148" width="9.875" style="142" customWidth="1"/>
    <col min="6149" max="6155" width="16.625" style="142" customWidth="1"/>
    <col min="6156" max="6156" width="11" style="142" customWidth="1"/>
    <col min="6157" max="6400" width="9" style="142"/>
    <col min="6401" max="6401" width="46.625" style="142" bestFit="1" customWidth="1"/>
    <col min="6402" max="6404" width="9.875" style="142" customWidth="1"/>
    <col min="6405" max="6411" width="16.625" style="142" customWidth="1"/>
    <col min="6412" max="6412" width="11" style="142" customWidth="1"/>
    <col min="6413" max="6656" width="9" style="142"/>
    <col min="6657" max="6657" width="46.625" style="142" bestFit="1" customWidth="1"/>
    <col min="6658" max="6660" width="9.875" style="142" customWidth="1"/>
    <col min="6661" max="6667" width="16.625" style="142" customWidth="1"/>
    <col min="6668" max="6668" width="11" style="142" customWidth="1"/>
    <col min="6669" max="6912" width="9" style="142"/>
    <col min="6913" max="6913" width="46.625" style="142" bestFit="1" customWidth="1"/>
    <col min="6914" max="6916" width="9.875" style="142" customWidth="1"/>
    <col min="6917" max="6923" width="16.625" style="142" customWidth="1"/>
    <col min="6924" max="6924" width="11" style="142" customWidth="1"/>
    <col min="6925" max="7168" width="9" style="142"/>
    <col min="7169" max="7169" width="46.625" style="142" bestFit="1" customWidth="1"/>
    <col min="7170" max="7172" width="9.875" style="142" customWidth="1"/>
    <col min="7173" max="7179" width="16.625" style="142" customWidth="1"/>
    <col min="7180" max="7180" width="11" style="142" customWidth="1"/>
    <col min="7181" max="7424" width="9" style="142"/>
    <col min="7425" max="7425" width="46.625" style="142" bestFit="1" customWidth="1"/>
    <col min="7426" max="7428" width="9.875" style="142" customWidth="1"/>
    <col min="7429" max="7435" width="16.625" style="142" customWidth="1"/>
    <col min="7436" max="7436" width="11" style="142" customWidth="1"/>
    <col min="7437" max="7680" width="9" style="142"/>
    <col min="7681" max="7681" width="46.625" style="142" bestFit="1" customWidth="1"/>
    <col min="7682" max="7684" width="9.875" style="142" customWidth="1"/>
    <col min="7685" max="7691" width="16.625" style="142" customWidth="1"/>
    <col min="7692" max="7692" width="11" style="142" customWidth="1"/>
    <col min="7693" max="7936" width="9" style="142"/>
    <col min="7937" max="7937" width="46.625" style="142" bestFit="1" customWidth="1"/>
    <col min="7938" max="7940" width="9.875" style="142" customWidth="1"/>
    <col min="7941" max="7947" width="16.625" style="142" customWidth="1"/>
    <col min="7948" max="7948" width="11" style="142" customWidth="1"/>
    <col min="7949" max="8192" width="9" style="142"/>
    <col min="8193" max="8193" width="46.625" style="142" bestFit="1" customWidth="1"/>
    <col min="8194" max="8196" width="9.875" style="142" customWidth="1"/>
    <col min="8197" max="8203" width="16.625" style="142" customWidth="1"/>
    <col min="8204" max="8204" width="11" style="142" customWidth="1"/>
    <col min="8205" max="8448" width="9" style="142"/>
    <col min="8449" max="8449" width="46.625" style="142" bestFit="1" customWidth="1"/>
    <col min="8450" max="8452" width="9.875" style="142" customWidth="1"/>
    <col min="8453" max="8459" width="16.625" style="142" customWidth="1"/>
    <col min="8460" max="8460" width="11" style="142" customWidth="1"/>
    <col min="8461" max="8704" width="9" style="142"/>
    <col min="8705" max="8705" width="46.625" style="142" bestFit="1" customWidth="1"/>
    <col min="8706" max="8708" width="9.875" style="142" customWidth="1"/>
    <col min="8709" max="8715" width="16.625" style="142" customWidth="1"/>
    <col min="8716" max="8716" width="11" style="142" customWidth="1"/>
    <col min="8717" max="8960" width="9" style="142"/>
    <col min="8961" max="8961" width="46.625" style="142" bestFit="1" customWidth="1"/>
    <col min="8962" max="8964" width="9.875" style="142" customWidth="1"/>
    <col min="8965" max="8971" width="16.625" style="142" customWidth="1"/>
    <col min="8972" max="8972" width="11" style="142" customWidth="1"/>
    <col min="8973" max="9216" width="9" style="142"/>
    <col min="9217" max="9217" width="46.625" style="142" bestFit="1" customWidth="1"/>
    <col min="9218" max="9220" width="9.875" style="142" customWidth="1"/>
    <col min="9221" max="9227" width="16.625" style="142" customWidth="1"/>
    <col min="9228" max="9228" width="11" style="142" customWidth="1"/>
    <col min="9229" max="9472" width="9" style="142"/>
    <col min="9473" max="9473" width="46.625" style="142" bestFit="1" customWidth="1"/>
    <col min="9474" max="9476" width="9.875" style="142" customWidth="1"/>
    <col min="9477" max="9483" width="16.625" style="142" customWidth="1"/>
    <col min="9484" max="9484" width="11" style="142" customWidth="1"/>
    <col min="9485" max="9728" width="9" style="142"/>
    <col min="9729" max="9729" width="46.625" style="142" bestFit="1" customWidth="1"/>
    <col min="9730" max="9732" width="9.875" style="142" customWidth="1"/>
    <col min="9733" max="9739" width="16.625" style="142" customWidth="1"/>
    <col min="9740" max="9740" width="11" style="142" customWidth="1"/>
    <col min="9741" max="9984" width="9" style="142"/>
    <col min="9985" max="9985" width="46.625" style="142" bestFit="1" customWidth="1"/>
    <col min="9986" max="9988" width="9.875" style="142" customWidth="1"/>
    <col min="9989" max="9995" width="16.625" style="142" customWidth="1"/>
    <col min="9996" max="9996" width="11" style="142" customWidth="1"/>
    <col min="9997" max="10240" width="9" style="142"/>
    <col min="10241" max="10241" width="46.625" style="142" bestFit="1" customWidth="1"/>
    <col min="10242" max="10244" width="9.875" style="142" customWidth="1"/>
    <col min="10245" max="10251" width="16.625" style="142" customWidth="1"/>
    <col min="10252" max="10252" width="11" style="142" customWidth="1"/>
    <col min="10253" max="10496" width="9" style="142"/>
    <col min="10497" max="10497" width="46.625" style="142" bestFit="1" customWidth="1"/>
    <col min="10498" max="10500" width="9.875" style="142" customWidth="1"/>
    <col min="10501" max="10507" width="16.625" style="142" customWidth="1"/>
    <col min="10508" max="10508" width="11" style="142" customWidth="1"/>
    <col min="10509" max="10752" width="9" style="142"/>
    <col min="10753" max="10753" width="46.625" style="142" bestFit="1" customWidth="1"/>
    <col min="10754" max="10756" width="9.875" style="142" customWidth="1"/>
    <col min="10757" max="10763" width="16.625" style="142" customWidth="1"/>
    <col min="10764" max="10764" width="11" style="142" customWidth="1"/>
    <col min="10765" max="11008" width="9" style="142"/>
    <col min="11009" max="11009" width="46.625" style="142" bestFit="1" customWidth="1"/>
    <col min="11010" max="11012" width="9.875" style="142" customWidth="1"/>
    <col min="11013" max="11019" width="16.625" style="142" customWidth="1"/>
    <col min="11020" max="11020" width="11" style="142" customWidth="1"/>
    <col min="11021" max="11264" width="9" style="142"/>
    <col min="11265" max="11265" width="46.625" style="142" bestFit="1" customWidth="1"/>
    <col min="11266" max="11268" width="9.875" style="142" customWidth="1"/>
    <col min="11269" max="11275" width="16.625" style="142" customWidth="1"/>
    <col min="11276" max="11276" width="11" style="142" customWidth="1"/>
    <col min="11277" max="11520" width="9" style="142"/>
    <col min="11521" max="11521" width="46.625" style="142" bestFit="1" customWidth="1"/>
    <col min="11522" max="11524" width="9.875" style="142" customWidth="1"/>
    <col min="11525" max="11531" width="16.625" style="142" customWidth="1"/>
    <col min="11532" max="11532" width="11" style="142" customWidth="1"/>
    <col min="11533" max="11776" width="9" style="142"/>
    <col min="11777" max="11777" width="46.625" style="142" bestFit="1" customWidth="1"/>
    <col min="11778" max="11780" width="9.875" style="142" customWidth="1"/>
    <col min="11781" max="11787" width="16.625" style="142" customWidth="1"/>
    <col min="11788" max="11788" width="11" style="142" customWidth="1"/>
    <col min="11789" max="12032" width="9" style="142"/>
    <col min="12033" max="12033" width="46.625" style="142" bestFit="1" customWidth="1"/>
    <col min="12034" max="12036" width="9.875" style="142" customWidth="1"/>
    <col min="12037" max="12043" width="16.625" style="142" customWidth="1"/>
    <col min="12044" max="12044" width="11" style="142" customWidth="1"/>
    <col min="12045" max="12288" width="9" style="142"/>
    <col min="12289" max="12289" width="46.625" style="142" bestFit="1" customWidth="1"/>
    <col min="12290" max="12292" width="9.875" style="142" customWidth="1"/>
    <col min="12293" max="12299" width="16.625" style="142" customWidth="1"/>
    <col min="12300" max="12300" width="11" style="142" customWidth="1"/>
    <col min="12301" max="12544" width="9" style="142"/>
    <col min="12545" max="12545" width="46.625" style="142" bestFit="1" customWidth="1"/>
    <col min="12546" max="12548" width="9.875" style="142" customWidth="1"/>
    <col min="12549" max="12555" width="16.625" style="142" customWidth="1"/>
    <col min="12556" max="12556" width="11" style="142" customWidth="1"/>
    <col min="12557" max="12800" width="9" style="142"/>
    <col min="12801" max="12801" width="46.625" style="142" bestFit="1" customWidth="1"/>
    <col min="12802" max="12804" width="9.875" style="142" customWidth="1"/>
    <col min="12805" max="12811" width="16.625" style="142" customWidth="1"/>
    <col min="12812" max="12812" width="11" style="142" customWidth="1"/>
    <col min="12813" max="13056" width="9" style="142"/>
    <col min="13057" max="13057" width="46.625" style="142" bestFit="1" customWidth="1"/>
    <col min="13058" max="13060" width="9.875" style="142" customWidth="1"/>
    <col min="13061" max="13067" width="16.625" style="142" customWidth="1"/>
    <col min="13068" max="13068" width="11" style="142" customWidth="1"/>
    <col min="13069" max="13312" width="9" style="142"/>
    <col min="13313" max="13313" width="46.625" style="142" bestFit="1" customWidth="1"/>
    <col min="13314" max="13316" width="9.875" style="142" customWidth="1"/>
    <col min="13317" max="13323" width="16.625" style="142" customWidth="1"/>
    <col min="13324" max="13324" width="11" style="142" customWidth="1"/>
    <col min="13325" max="13568" width="9" style="142"/>
    <col min="13569" max="13569" width="46.625" style="142" bestFit="1" customWidth="1"/>
    <col min="13570" max="13572" width="9.875" style="142" customWidth="1"/>
    <col min="13573" max="13579" width="16.625" style="142" customWidth="1"/>
    <col min="13580" max="13580" width="11" style="142" customWidth="1"/>
    <col min="13581" max="13824" width="9" style="142"/>
    <col min="13825" max="13825" width="46.625" style="142" bestFit="1" customWidth="1"/>
    <col min="13826" max="13828" width="9.875" style="142" customWidth="1"/>
    <col min="13829" max="13835" width="16.625" style="142" customWidth="1"/>
    <col min="13836" max="13836" width="11" style="142" customWidth="1"/>
    <col min="13837" max="14080" width="9" style="142"/>
    <col min="14081" max="14081" width="46.625" style="142" bestFit="1" customWidth="1"/>
    <col min="14082" max="14084" width="9.875" style="142" customWidth="1"/>
    <col min="14085" max="14091" width="16.625" style="142" customWidth="1"/>
    <col min="14092" max="14092" width="11" style="142" customWidth="1"/>
    <col min="14093" max="14336" width="9" style="142"/>
    <col min="14337" max="14337" width="46.625" style="142" bestFit="1" customWidth="1"/>
    <col min="14338" max="14340" width="9.875" style="142" customWidth="1"/>
    <col min="14341" max="14347" width="16.625" style="142" customWidth="1"/>
    <col min="14348" max="14348" width="11" style="142" customWidth="1"/>
    <col min="14349" max="14592" width="9" style="142"/>
    <col min="14593" max="14593" width="46.625" style="142" bestFit="1" customWidth="1"/>
    <col min="14594" max="14596" width="9.875" style="142" customWidth="1"/>
    <col min="14597" max="14603" width="16.625" style="142" customWidth="1"/>
    <col min="14604" max="14604" width="11" style="142" customWidth="1"/>
    <col min="14605" max="14848" width="9" style="142"/>
    <col min="14849" max="14849" width="46.625" style="142" bestFit="1" customWidth="1"/>
    <col min="14850" max="14852" width="9.875" style="142" customWidth="1"/>
    <col min="14853" max="14859" width="16.625" style="142" customWidth="1"/>
    <col min="14860" max="14860" width="11" style="142" customWidth="1"/>
    <col min="14861" max="15104" width="9" style="142"/>
    <col min="15105" max="15105" width="46.625" style="142" bestFit="1" customWidth="1"/>
    <col min="15106" max="15108" width="9.875" style="142" customWidth="1"/>
    <col min="15109" max="15115" width="16.625" style="142" customWidth="1"/>
    <col min="15116" max="15116" width="11" style="142" customWidth="1"/>
    <col min="15117" max="15360" width="9" style="142"/>
    <col min="15361" max="15361" width="46.625" style="142" bestFit="1" customWidth="1"/>
    <col min="15362" max="15364" width="9.875" style="142" customWidth="1"/>
    <col min="15365" max="15371" width="16.625" style="142" customWidth="1"/>
    <col min="15372" max="15372" width="11" style="142" customWidth="1"/>
    <col min="15373" max="15616" width="9" style="142"/>
    <col min="15617" max="15617" width="46.625" style="142" bestFit="1" customWidth="1"/>
    <col min="15618" max="15620" width="9.875" style="142" customWidth="1"/>
    <col min="15621" max="15627" width="16.625" style="142" customWidth="1"/>
    <col min="15628" max="15628" width="11" style="142" customWidth="1"/>
    <col min="15629" max="15872" width="9" style="142"/>
    <col min="15873" max="15873" width="46.625" style="142" bestFit="1" customWidth="1"/>
    <col min="15874" max="15876" width="9.875" style="142" customWidth="1"/>
    <col min="15877" max="15883" width="16.625" style="142" customWidth="1"/>
    <col min="15884" max="15884" width="11" style="142" customWidth="1"/>
    <col min="15885" max="16128" width="9" style="142"/>
    <col min="16129" max="16129" width="46.625" style="142" bestFit="1" customWidth="1"/>
    <col min="16130" max="16132" width="9.875" style="142" customWidth="1"/>
    <col min="16133" max="16139" width="16.625" style="142" customWidth="1"/>
    <col min="16140" max="16140" width="11" style="142" customWidth="1"/>
    <col min="16141" max="16384" width="9" style="142"/>
  </cols>
  <sheetData>
    <row r="1" spans="1:12" ht="26.25" customHeight="1">
      <c r="A1" s="1558" t="s">
        <v>101</v>
      </c>
      <c r="B1" s="1558"/>
      <c r="C1" s="1558"/>
      <c r="D1" s="1558"/>
      <c r="E1" s="1558"/>
      <c r="F1" s="1558"/>
      <c r="G1" s="1558"/>
      <c r="H1" s="1558"/>
      <c r="I1" s="1558"/>
      <c r="J1" s="1558"/>
      <c r="K1" s="1558"/>
      <c r="L1" s="1558"/>
    </row>
    <row r="2" spans="1:12" s="147" customFormat="1" ht="21.75" customHeight="1">
      <c r="D2" s="148"/>
      <c r="L2" s="149"/>
    </row>
    <row r="3" spans="1:12" s="147" customFormat="1" ht="21.75" customHeight="1">
      <c r="A3" s="1559" t="s">
        <v>102</v>
      </c>
      <c r="B3" s="1559" t="s">
        <v>103</v>
      </c>
      <c r="C3" s="1559" t="s">
        <v>104</v>
      </c>
      <c r="D3" s="1559" t="s">
        <v>105</v>
      </c>
      <c r="E3" s="1559" t="s">
        <v>106</v>
      </c>
      <c r="F3" s="1559" t="s">
        <v>107</v>
      </c>
      <c r="G3" s="1559"/>
      <c r="H3" s="1559" t="s">
        <v>108</v>
      </c>
      <c r="I3" s="1559"/>
      <c r="J3" s="1559" t="s">
        <v>109</v>
      </c>
      <c r="K3" s="1559"/>
      <c r="L3" s="1559" t="s">
        <v>110</v>
      </c>
    </row>
    <row r="4" spans="1:12" s="147" customFormat="1" ht="21.75" customHeight="1">
      <c r="A4" s="1559"/>
      <c r="B4" s="1559"/>
      <c r="C4" s="1559"/>
      <c r="D4" s="1559"/>
      <c r="E4" s="1559"/>
      <c r="F4" s="150" t="s">
        <v>111</v>
      </c>
      <c r="G4" s="150" t="s">
        <v>112</v>
      </c>
      <c r="H4" s="150" t="s">
        <v>111</v>
      </c>
      <c r="I4" s="150" t="s">
        <v>112</v>
      </c>
      <c r="J4" s="150" t="s">
        <v>111</v>
      </c>
      <c r="K4" s="150" t="s">
        <v>112</v>
      </c>
      <c r="L4" s="1559"/>
    </row>
    <row r="5" spans="1:12" s="153" customFormat="1" ht="21.75" customHeight="1">
      <c r="A5" s="151" t="s">
        <v>113</v>
      </c>
      <c r="B5" s="152"/>
      <c r="C5" s="152"/>
      <c r="D5" s="152"/>
      <c r="E5" s="152"/>
      <c r="F5" s="152"/>
      <c r="G5" s="152"/>
      <c r="H5" s="152"/>
      <c r="I5" s="152"/>
      <c r="J5" s="152"/>
      <c r="K5" s="152"/>
      <c r="L5" s="152"/>
    </row>
    <row r="6" spans="1:12" s="191" customFormat="1" ht="21.75" customHeight="1">
      <c r="A6" s="188" t="s">
        <v>114</v>
      </c>
      <c r="B6" s="188"/>
      <c r="C6" s="188"/>
      <c r="D6" s="188"/>
      <c r="E6" s="189">
        <f>SUM(E7:E9)</f>
        <v>1135929</v>
      </c>
      <c r="F6" s="189"/>
      <c r="G6" s="189"/>
      <c r="H6" s="189"/>
      <c r="I6" s="189"/>
      <c r="J6" s="189"/>
      <c r="K6" s="189"/>
      <c r="L6" s="190"/>
    </row>
    <row r="7" spans="1:12" s="153" customFormat="1" ht="21.75" customHeight="1">
      <c r="A7" s="158" t="s">
        <v>115</v>
      </c>
      <c r="B7" s="159"/>
      <c r="C7" s="160">
        <v>1</v>
      </c>
      <c r="D7" s="160" t="s">
        <v>116</v>
      </c>
      <c r="E7" s="161">
        <f>G7+I7+K7</f>
        <v>135441</v>
      </c>
      <c r="F7" s="161"/>
      <c r="G7" s="161"/>
      <c r="H7" s="161"/>
      <c r="I7" s="161">
        <f>'3-1.일위대가'!I15</f>
        <v>135441</v>
      </c>
      <c r="J7" s="161"/>
      <c r="K7" s="161"/>
      <c r="L7" s="162" t="s">
        <v>117</v>
      </c>
    </row>
    <row r="8" spans="1:12" s="153" customFormat="1" ht="21.75" customHeight="1">
      <c r="A8" s="158" t="s">
        <v>118</v>
      </c>
      <c r="B8" s="159"/>
      <c r="C8" s="160">
        <v>1</v>
      </c>
      <c r="D8" s="160" t="s">
        <v>116</v>
      </c>
      <c r="E8" s="161">
        <f>G8+I8+K8</f>
        <v>357911</v>
      </c>
      <c r="F8" s="161"/>
      <c r="G8" s="161"/>
      <c r="H8" s="161"/>
      <c r="I8" s="161">
        <f>'3-1.일위대가'!I27</f>
        <v>357911</v>
      </c>
      <c r="J8" s="161"/>
      <c r="K8" s="161"/>
      <c r="L8" s="162" t="s">
        <v>119</v>
      </c>
    </row>
    <row r="9" spans="1:12" s="153" customFormat="1" ht="21.75" customHeight="1">
      <c r="A9" s="158" t="s">
        <v>129</v>
      </c>
      <c r="B9" s="158"/>
      <c r="C9" s="160">
        <v>1</v>
      </c>
      <c r="D9" s="160" t="s">
        <v>116</v>
      </c>
      <c r="E9" s="161">
        <f>G9+I9+K9</f>
        <v>642577</v>
      </c>
      <c r="F9" s="161"/>
      <c r="G9" s="161"/>
      <c r="H9" s="161"/>
      <c r="I9" s="161">
        <f>'3-1.일위대가'!I39</f>
        <v>642577</v>
      </c>
      <c r="J9" s="161"/>
      <c r="K9" s="161"/>
      <c r="L9" s="162" t="s">
        <v>130</v>
      </c>
    </row>
    <row r="10" spans="1:12" s="153" customFormat="1" ht="21.75" customHeight="1">
      <c r="A10" s="158"/>
      <c r="B10" s="158"/>
      <c r="C10" s="160"/>
      <c r="D10" s="160"/>
      <c r="E10" s="161"/>
      <c r="F10" s="161"/>
      <c r="G10" s="161"/>
      <c r="H10" s="161"/>
      <c r="I10" s="161"/>
      <c r="J10" s="161"/>
      <c r="K10" s="161"/>
      <c r="L10" s="162"/>
    </row>
    <row r="11" spans="1:12" s="191" customFormat="1" ht="21.75" customHeight="1">
      <c r="A11" s="188" t="s">
        <v>131</v>
      </c>
      <c r="B11" s="188"/>
      <c r="C11" s="188"/>
      <c r="D11" s="188"/>
      <c r="E11" s="189">
        <f>E6*(110/100)</f>
        <v>1249521.9000000001</v>
      </c>
      <c r="F11" s="189"/>
      <c r="G11" s="189"/>
      <c r="H11" s="189"/>
      <c r="I11" s="189"/>
      <c r="J11" s="189"/>
      <c r="K11" s="189"/>
      <c r="L11" s="190"/>
    </row>
    <row r="12" spans="1:12" s="157" customFormat="1" ht="21.75" customHeight="1">
      <c r="A12" s="154"/>
      <c r="B12" s="154"/>
      <c r="C12" s="154"/>
      <c r="D12" s="154"/>
      <c r="E12" s="155"/>
      <c r="F12" s="155"/>
      <c r="G12" s="155"/>
      <c r="H12" s="155"/>
      <c r="I12" s="155"/>
      <c r="J12" s="155"/>
      <c r="K12" s="155"/>
      <c r="L12" s="156"/>
    </row>
    <row r="13" spans="1:12" s="191" customFormat="1" ht="21.75" customHeight="1">
      <c r="A13" s="188" t="s">
        <v>132</v>
      </c>
      <c r="B13" s="188"/>
      <c r="C13" s="188"/>
      <c r="D13" s="188"/>
      <c r="E13" s="189">
        <f>((E6+E11)*(20/100))-723</f>
        <v>476367.18000000011</v>
      </c>
      <c r="F13" s="189"/>
      <c r="G13" s="189"/>
      <c r="H13" s="189"/>
      <c r="I13" s="189"/>
      <c r="J13" s="189"/>
      <c r="K13" s="189"/>
      <c r="L13" s="190"/>
    </row>
    <row r="14" spans="1:12" s="157" customFormat="1" ht="21.75" customHeight="1">
      <c r="A14" s="154"/>
      <c r="B14" s="154"/>
      <c r="C14" s="154"/>
      <c r="D14" s="154"/>
      <c r="E14" s="155"/>
      <c r="F14" s="155"/>
      <c r="G14" s="155"/>
      <c r="H14" s="155"/>
      <c r="I14" s="155"/>
      <c r="J14" s="155"/>
      <c r="K14" s="155"/>
      <c r="L14" s="156"/>
    </row>
    <row r="15" spans="1:12" s="157" customFormat="1" ht="21.75" customHeight="1">
      <c r="A15" s="152" t="s">
        <v>84</v>
      </c>
      <c r="B15" s="154"/>
      <c r="C15" s="154"/>
      <c r="D15" s="154"/>
      <c r="E15" s="155">
        <f>E6+E11+E13</f>
        <v>2861818.0800000005</v>
      </c>
      <c r="F15" s="187"/>
      <c r="G15" s="155"/>
      <c r="H15" s="155"/>
      <c r="I15" s="155"/>
      <c r="J15" s="155"/>
      <c r="K15" s="155"/>
      <c r="L15" s="156"/>
    </row>
    <row r="16" spans="1:12" s="153" customFormat="1" ht="21.75" customHeight="1">
      <c r="A16" s="160"/>
      <c r="B16" s="158"/>
      <c r="C16" s="158"/>
      <c r="D16" s="158"/>
      <c r="E16" s="107"/>
      <c r="F16" s="161"/>
      <c r="G16" s="161"/>
      <c r="H16" s="161"/>
      <c r="I16" s="161"/>
      <c r="J16" s="161"/>
      <c r="K16" s="161"/>
      <c r="L16" s="162"/>
    </row>
    <row r="17" spans="1:12" s="191" customFormat="1" ht="21.75" customHeight="1">
      <c r="A17" s="192" t="s">
        <v>133</v>
      </c>
      <c r="B17" s="188"/>
      <c r="C17" s="188"/>
      <c r="D17" s="188"/>
      <c r="E17" s="189">
        <f>E15*0.1</f>
        <v>286181.80800000008</v>
      </c>
      <c r="F17" s="189"/>
      <c r="G17" s="189"/>
      <c r="H17" s="189"/>
      <c r="I17" s="189"/>
      <c r="J17" s="189"/>
      <c r="K17" s="189"/>
      <c r="L17" s="190"/>
    </row>
    <row r="18" spans="1:12" s="157" customFormat="1" ht="21.75" customHeight="1">
      <c r="A18" s="151"/>
      <c r="B18" s="154"/>
      <c r="C18" s="154"/>
      <c r="D18" s="154"/>
      <c r="E18" s="155"/>
      <c r="F18" s="155"/>
      <c r="G18" s="155"/>
      <c r="H18" s="155"/>
      <c r="I18" s="155"/>
      <c r="J18" s="155"/>
      <c r="K18" s="155"/>
      <c r="L18" s="156"/>
    </row>
    <row r="19" spans="1:12" s="186" customFormat="1" ht="21.75" customHeight="1">
      <c r="A19" s="181" t="s">
        <v>98</v>
      </c>
      <c r="B19" s="182"/>
      <c r="C19" s="182"/>
      <c r="D19" s="182"/>
      <c r="E19" s="183">
        <f>E15+E17</f>
        <v>3147999.8880000007</v>
      </c>
      <c r="F19" s="184"/>
      <c r="G19" s="184"/>
      <c r="H19" s="184"/>
      <c r="I19" s="184"/>
      <c r="J19" s="184"/>
      <c r="K19" s="184"/>
      <c r="L19" s="185"/>
    </row>
    <row r="20" spans="1:12" ht="21" customHeight="1">
      <c r="E20" s="145"/>
      <c r="F20" s="145"/>
      <c r="G20" s="145"/>
      <c r="H20" s="145"/>
      <c r="I20" s="145"/>
      <c r="J20" s="145"/>
      <c r="K20" s="145"/>
      <c r="L20" s="146"/>
    </row>
    <row r="21" spans="1:12" ht="21" customHeight="1">
      <c r="E21" s="145"/>
      <c r="F21" s="145"/>
      <c r="G21" s="145"/>
      <c r="H21" s="145"/>
      <c r="I21" s="145"/>
      <c r="J21" s="145"/>
      <c r="K21" s="145"/>
      <c r="L21" s="146"/>
    </row>
    <row r="22" spans="1:12" ht="21" customHeight="1">
      <c r="E22" s="145"/>
      <c r="F22" s="145"/>
      <c r="G22" s="145"/>
      <c r="H22" s="145"/>
      <c r="I22" s="145"/>
      <c r="J22" s="145"/>
      <c r="K22" s="145"/>
      <c r="L22" s="146"/>
    </row>
    <row r="23" spans="1:12" ht="21" customHeight="1">
      <c r="E23" s="145"/>
      <c r="F23" s="145"/>
      <c r="G23" s="145"/>
      <c r="H23" s="145"/>
      <c r="I23" s="145"/>
      <c r="J23" s="145"/>
      <c r="K23" s="145"/>
      <c r="L23" s="146"/>
    </row>
    <row r="24" spans="1:12" ht="21" customHeight="1">
      <c r="E24" s="145"/>
      <c r="F24" s="145"/>
      <c r="G24" s="145"/>
      <c r="H24" s="145"/>
      <c r="I24" s="145"/>
      <c r="J24" s="145"/>
      <c r="K24" s="145"/>
      <c r="L24" s="146"/>
    </row>
    <row r="25" spans="1:12" ht="21" customHeight="1">
      <c r="E25" s="145"/>
      <c r="F25" s="145"/>
      <c r="G25" s="145"/>
      <c r="H25" s="145"/>
      <c r="I25" s="145"/>
      <c r="J25" s="145"/>
      <c r="K25" s="145"/>
      <c r="L25" s="146"/>
    </row>
    <row r="26" spans="1:12" ht="21" customHeight="1">
      <c r="E26" s="145"/>
      <c r="F26" s="145"/>
      <c r="G26" s="145"/>
      <c r="H26" s="145"/>
      <c r="I26" s="145"/>
      <c r="J26" s="145"/>
      <c r="K26" s="145"/>
      <c r="L26" s="146"/>
    </row>
    <row r="27" spans="1:12" ht="21" customHeight="1">
      <c r="E27" s="145"/>
      <c r="F27" s="145"/>
      <c r="G27" s="145"/>
      <c r="H27" s="145"/>
      <c r="I27" s="145"/>
      <c r="J27" s="145"/>
      <c r="K27" s="145"/>
      <c r="L27" s="146"/>
    </row>
    <row r="28" spans="1:12" ht="21" customHeight="1">
      <c r="E28" s="145"/>
      <c r="F28" s="145"/>
      <c r="G28" s="145"/>
      <c r="H28" s="145"/>
      <c r="I28" s="145"/>
      <c r="J28" s="145"/>
      <c r="K28" s="145"/>
      <c r="L28" s="146"/>
    </row>
    <row r="29" spans="1:12" ht="21" customHeight="1">
      <c r="E29" s="145"/>
      <c r="F29" s="145"/>
      <c r="G29" s="145"/>
      <c r="H29" s="145"/>
      <c r="I29" s="145"/>
      <c r="J29" s="145"/>
      <c r="K29" s="145"/>
      <c r="L29" s="146"/>
    </row>
    <row r="30" spans="1:12" ht="21" customHeight="1">
      <c r="E30" s="145"/>
      <c r="F30" s="145"/>
      <c r="G30" s="145"/>
      <c r="H30" s="145"/>
      <c r="I30" s="145"/>
      <c r="J30" s="145"/>
      <c r="K30" s="145"/>
      <c r="L30" s="146"/>
    </row>
    <row r="31" spans="1:12" ht="21" customHeight="1">
      <c r="E31" s="145"/>
      <c r="F31" s="145"/>
      <c r="G31" s="145"/>
      <c r="H31" s="145"/>
      <c r="I31" s="145"/>
      <c r="J31" s="145"/>
      <c r="K31" s="145"/>
      <c r="L31" s="146"/>
    </row>
    <row r="32" spans="1:12" ht="21" customHeight="1">
      <c r="E32" s="145"/>
      <c r="F32" s="145"/>
      <c r="G32" s="145"/>
      <c r="H32" s="145"/>
      <c r="I32" s="145"/>
      <c r="J32" s="145"/>
      <c r="K32" s="145"/>
      <c r="L32" s="146"/>
    </row>
    <row r="33" spans="5:12" ht="21" customHeight="1">
      <c r="E33" s="145"/>
      <c r="F33" s="145"/>
      <c r="G33" s="145"/>
      <c r="H33" s="145"/>
      <c r="I33" s="145"/>
      <c r="J33" s="145"/>
      <c r="K33" s="145"/>
      <c r="L33" s="146"/>
    </row>
    <row r="34" spans="5:12" ht="21" customHeight="1">
      <c r="E34" s="145"/>
      <c r="F34" s="145"/>
      <c r="G34" s="145"/>
      <c r="H34" s="145"/>
      <c r="I34" s="145"/>
      <c r="J34" s="145"/>
      <c r="K34" s="145"/>
      <c r="L34" s="146"/>
    </row>
    <row r="35" spans="5:12" ht="21" customHeight="1">
      <c r="E35" s="145"/>
      <c r="F35" s="145"/>
      <c r="G35" s="145"/>
      <c r="H35" s="145"/>
      <c r="I35" s="145"/>
      <c r="J35" s="145"/>
      <c r="K35" s="145"/>
      <c r="L35" s="146"/>
    </row>
    <row r="36" spans="5:12" ht="21" customHeight="1">
      <c r="E36" s="145"/>
      <c r="F36" s="145"/>
      <c r="G36" s="145"/>
      <c r="H36" s="145"/>
      <c r="I36" s="145"/>
      <c r="J36" s="145"/>
      <c r="K36" s="145"/>
      <c r="L36" s="146"/>
    </row>
    <row r="37" spans="5:12" ht="21" customHeight="1">
      <c r="E37" s="145"/>
      <c r="F37" s="145"/>
      <c r="G37" s="145"/>
      <c r="H37" s="145"/>
      <c r="I37" s="145"/>
      <c r="J37" s="145"/>
      <c r="K37" s="145"/>
      <c r="L37" s="146"/>
    </row>
    <row r="38" spans="5:12" ht="21" customHeight="1">
      <c r="E38" s="145"/>
      <c r="F38" s="145"/>
      <c r="G38" s="145"/>
      <c r="H38" s="145"/>
      <c r="I38" s="145"/>
      <c r="J38" s="145"/>
      <c r="K38" s="145"/>
      <c r="L38" s="146"/>
    </row>
    <row r="39" spans="5:12" ht="21" customHeight="1">
      <c r="E39" s="145"/>
      <c r="F39" s="145"/>
      <c r="G39" s="145"/>
      <c r="H39" s="145"/>
      <c r="I39" s="145"/>
      <c r="J39" s="145"/>
      <c r="K39" s="145"/>
      <c r="L39" s="146"/>
    </row>
    <row r="40" spans="5:12" ht="21" customHeight="1">
      <c r="E40" s="145"/>
      <c r="F40" s="145"/>
      <c r="G40" s="145"/>
      <c r="H40" s="145"/>
      <c r="I40" s="145"/>
      <c r="J40" s="145"/>
      <c r="K40" s="145"/>
      <c r="L40" s="146"/>
    </row>
    <row r="41" spans="5:12" ht="21" customHeight="1">
      <c r="E41" s="145"/>
      <c r="F41" s="145"/>
      <c r="G41" s="145"/>
      <c r="H41" s="145"/>
      <c r="I41" s="145"/>
      <c r="J41" s="145"/>
      <c r="K41" s="145"/>
      <c r="L41" s="146"/>
    </row>
    <row r="42" spans="5:12" ht="21" customHeight="1">
      <c r="E42" s="145"/>
      <c r="F42" s="145"/>
      <c r="G42" s="145"/>
      <c r="H42" s="145"/>
      <c r="I42" s="145"/>
      <c r="J42" s="145"/>
      <c r="K42" s="145"/>
      <c r="L42" s="146"/>
    </row>
    <row r="43" spans="5:12" ht="21" customHeight="1">
      <c r="E43" s="145"/>
      <c r="F43" s="145"/>
      <c r="G43" s="145"/>
      <c r="H43" s="145"/>
      <c r="I43" s="145"/>
      <c r="J43" s="145"/>
      <c r="K43" s="145"/>
      <c r="L43" s="146"/>
    </row>
    <row r="44" spans="5:12" ht="21" customHeight="1">
      <c r="E44" s="145"/>
      <c r="F44" s="145"/>
      <c r="G44" s="145"/>
      <c r="H44" s="145"/>
      <c r="I44" s="145"/>
      <c r="J44" s="145"/>
      <c r="K44" s="145"/>
      <c r="L44" s="146"/>
    </row>
    <row r="45" spans="5:12" ht="21" customHeight="1">
      <c r="E45" s="145"/>
      <c r="F45" s="145"/>
      <c r="G45" s="145"/>
      <c r="H45" s="145"/>
      <c r="I45" s="145"/>
      <c r="J45" s="145"/>
      <c r="K45" s="145"/>
      <c r="L45" s="146"/>
    </row>
    <row r="46" spans="5:12" ht="21" customHeight="1">
      <c r="E46" s="145"/>
      <c r="F46" s="145"/>
      <c r="G46" s="145"/>
      <c r="H46" s="145"/>
      <c r="I46" s="145"/>
      <c r="J46" s="145"/>
      <c r="K46" s="145"/>
      <c r="L46" s="146"/>
    </row>
    <row r="47" spans="5:12" ht="21" customHeight="1">
      <c r="E47" s="145"/>
      <c r="F47" s="145"/>
      <c r="G47" s="145"/>
      <c r="H47" s="145"/>
      <c r="I47" s="145"/>
      <c r="J47" s="145"/>
      <c r="K47" s="145"/>
      <c r="L47" s="146"/>
    </row>
    <row r="48" spans="5:12" ht="21" customHeight="1">
      <c r="E48" s="145"/>
      <c r="F48" s="145"/>
      <c r="G48" s="145"/>
      <c r="H48" s="145"/>
      <c r="I48" s="145"/>
      <c r="J48" s="145"/>
      <c r="K48" s="145"/>
      <c r="L48" s="146"/>
    </row>
    <row r="49" spans="5:12" ht="21" customHeight="1">
      <c r="E49" s="145"/>
      <c r="F49" s="145"/>
      <c r="G49" s="145"/>
      <c r="H49" s="145"/>
      <c r="I49" s="145"/>
      <c r="J49" s="145"/>
      <c r="K49" s="145"/>
      <c r="L49" s="146"/>
    </row>
    <row r="50" spans="5:12" ht="21" customHeight="1">
      <c r="E50" s="145"/>
      <c r="F50" s="145"/>
      <c r="G50" s="145"/>
      <c r="H50" s="145"/>
      <c r="I50" s="145"/>
      <c r="J50" s="145"/>
      <c r="K50" s="145"/>
      <c r="L50" s="146"/>
    </row>
    <row r="51" spans="5:12" ht="21" customHeight="1">
      <c r="E51" s="145"/>
      <c r="F51" s="145"/>
      <c r="G51" s="145"/>
      <c r="H51" s="145"/>
      <c r="I51" s="145"/>
      <c r="J51" s="145"/>
      <c r="K51" s="145"/>
      <c r="L51" s="146"/>
    </row>
    <row r="52" spans="5:12" ht="21" customHeight="1">
      <c r="E52" s="145"/>
      <c r="F52" s="145"/>
      <c r="G52" s="145"/>
      <c r="H52" s="145"/>
      <c r="I52" s="145"/>
      <c r="J52" s="145"/>
      <c r="K52" s="145"/>
      <c r="L52" s="146"/>
    </row>
    <row r="53" spans="5:12" ht="21" customHeight="1">
      <c r="E53" s="145"/>
      <c r="F53" s="145"/>
      <c r="G53" s="145"/>
      <c r="H53" s="145"/>
      <c r="I53" s="145"/>
      <c r="J53" s="145"/>
      <c r="K53" s="145"/>
      <c r="L53" s="146"/>
    </row>
    <row r="54" spans="5:12" ht="21" customHeight="1">
      <c r="E54" s="145"/>
      <c r="F54" s="145"/>
      <c r="G54" s="145"/>
      <c r="H54" s="145"/>
      <c r="I54" s="145"/>
      <c r="J54" s="145"/>
      <c r="K54" s="145"/>
      <c r="L54" s="146"/>
    </row>
    <row r="55" spans="5:12" ht="21" customHeight="1">
      <c r="E55" s="145"/>
      <c r="F55" s="145"/>
      <c r="G55" s="145"/>
      <c r="H55" s="145"/>
      <c r="I55" s="145"/>
      <c r="J55" s="145"/>
      <c r="K55" s="145"/>
      <c r="L55" s="146"/>
    </row>
    <row r="56" spans="5:12" ht="21" customHeight="1">
      <c r="E56" s="145"/>
      <c r="F56" s="145"/>
      <c r="G56" s="145"/>
      <c r="H56" s="145"/>
      <c r="I56" s="145"/>
      <c r="J56" s="145"/>
      <c r="K56" s="145"/>
      <c r="L56" s="146"/>
    </row>
    <row r="57" spans="5:12" ht="21" customHeight="1">
      <c r="E57" s="145"/>
      <c r="F57" s="145"/>
      <c r="G57" s="145"/>
      <c r="H57" s="145"/>
      <c r="I57" s="145"/>
      <c r="J57" s="145"/>
      <c r="K57" s="145"/>
      <c r="L57" s="146"/>
    </row>
    <row r="58" spans="5:12" ht="21" customHeight="1">
      <c r="E58" s="145"/>
      <c r="F58" s="145"/>
      <c r="G58" s="145"/>
      <c r="H58" s="145"/>
      <c r="I58" s="145"/>
      <c r="J58" s="145"/>
      <c r="K58" s="145"/>
      <c r="L58" s="146"/>
    </row>
    <row r="59" spans="5:12" ht="21" customHeight="1">
      <c r="E59" s="145"/>
      <c r="F59" s="145"/>
      <c r="G59" s="145"/>
      <c r="H59" s="145"/>
      <c r="I59" s="145"/>
      <c r="J59" s="145"/>
      <c r="K59" s="145"/>
      <c r="L59" s="146"/>
    </row>
    <row r="60" spans="5:12" ht="21" customHeight="1">
      <c r="E60" s="145"/>
      <c r="F60" s="145"/>
      <c r="G60" s="145"/>
      <c r="H60" s="145"/>
      <c r="I60" s="145"/>
      <c r="J60" s="145"/>
      <c r="K60" s="145"/>
      <c r="L60" s="146"/>
    </row>
    <row r="61" spans="5:12" ht="21" customHeight="1">
      <c r="E61" s="145"/>
      <c r="F61" s="145"/>
      <c r="G61" s="145"/>
      <c r="H61" s="145"/>
      <c r="I61" s="145"/>
      <c r="J61" s="145"/>
      <c r="K61" s="145"/>
      <c r="L61" s="146"/>
    </row>
    <row r="62" spans="5:12" ht="21" customHeight="1">
      <c r="E62" s="145"/>
      <c r="F62" s="145"/>
      <c r="G62" s="145"/>
      <c r="H62" s="145"/>
      <c r="I62" s="145"/>
      <c r="J62" s="145"/>
      <c r="K62" s="145"/>
      <c r="L62" s="146"/>
    </row>
    <row r="63" spans="5:12" ht="21" customHeight="1">
      <c r="E63" s="145"/>
      <c r="F63" s="145"/>
      <c r="G63" s="145"/>
      <c r="H63" s="145"/>
      <c r="I63" s="145"/>
      <c r="J63" s="145"/>
      <c r="K63" s="145"/>
      <c r="L63" s="146"/>
    </row>
    <row r="64" spans="5:12" ht="21" customHeight="1">
      <c r="E64" s="145"/>
      <c r="F64" s="145"/>
      <c r="G64" s="145"/>
      <c r="H64" s="145"/>
      <c r="I64" s="145"/>
      <c r="J64" s="145"/>
      <c r="K64" s="145"/>
      <c r="L64" s="146"/>
    </row>
    <row r="65" spans="5:12" ht="21" customHeight="1">
      <c r="E65" s="145"/>
      <c r="F65" s="145"/>
      <c r="G65" s="145"/>
      <c r="H65" s="145"/>
      <c r="I65" s="145"/>
      <c r="J65" s="145"/>
      <c r="K65" s="145"/>
      <c r="L65" s="146"/>
    </row>
    <row r="66" spans="5:12" ht="21" customHeight="1">
      <c r="E66" s="145"/>
      <c r="F66" s="145"/>
      <c r="G66" s="145"/>
      <c r="H66" s="145"/>
      <c r="I66" s="145"/>
      <c r="J66" s="145"/>
      <c r="K66" s="145"/>
      <c r="L66" s="146"/>
    </row>
    <row r="67" spans="5:12" ht="21" customHeight="1">
      <c r="E67" s="145"/>
      <c r="F67" s="145"/>
      <c r="G67" s="145"/>
      <c r="H67" s="145"/>
      <c r="I67" s="145"/>
      <c r="J67" s="145"/>
      <c r="K67" s="145"/>
      <c r="L67" s="146"/>
    </row>
    <row r="68" spans="5:12" ht="21" customHeight="1">
      <c r="E68" s="145"/>
      <c r="F68" s="145"/>
      <c r="G68" s="145"/>
      <c r="H68" s="145"/>
      <c r="I68" s="145"/>
      <c r="J68" s="145"/>
      <c r="K68" s="145"/>
      <c r="L68" s="146"/>
    </row>
    <row r="69" spans="5:12" ht="21" customHeight="1">
      <c r="E69" s="145"/>
      <c r="F69" s="145"/>
      <c r="G69" s="145"/>
      <c r="H69" s="145"/>
      <c r="I69" s="145"/>
      <c r="J69" s="145"/>
      <c r="K69" s="145"/>
      <c r="L69" s="146"/>
    </row>
    <row r="70" spans="5:12" ht="21" customHeight="1">
      <c r="E70" s="145"/>
      <c r="F70" s="145"/>
      <c r="G70" s="145"/>
      <c r="H70" s="145"/>
      <c r="I70" s="145"/>
      <c r="J70" s="145"/>
      <c r="K70" s="145"/>
      <c r="L70" s="146"/>
    </row>
    <row r="71" spans="5:12" ht="21" customHeight="1">
      <c r="E71" s="145"/>
      <c r="F71" s="145"/>
      <c r="G71" s="145"/>
      <c r="H71" s="145"/>
      <c r="I71" s="145"/>
      <c r="J71" s="145"/>
      <c r="K71" s="145"/>
      <c r="L71" s="146"/>
    </row>
    <row r="72" spans="5:12" ht="21" customHeight="1">
      <c r="E72" s="145"/>
      <c r="F72" s="145"/>
      <c r="G72" s="145"/>
      <c r="H72" s="145"/>
      <c r="I72" s="145"/>
      <c r="J72" s="145"/>
      <c r="K72" s="145"/>
      <c r="L72" s="146"/>
    </row>
    <row r="73" spans="5:12" ht="21" customHeight="1">
      <c r="E73" s="145"/>
      <c r="F73" s="145"/>
      <c r="G73" s="145"/>
      <c r="H73" s="145"/>
      <c r="I73" s="145"/>
      <c r="J73" s="145"/>
      <c r="K73" s="145"/>
      <c r="L73" s="146"/>
    </row>
    <row r="74" spans="5:12" ht="21" customHeight="1">
      <c r="E74" s="145"/>
      <c r="F74" s="145"/>
      <c r="G74" s="145"/>
      <c r="H74" s="145"/>
      <c r="I74" s="145"/>
      <c r="J74" s="145"/>
      <c r="K74" s="145"/>
      <c r="L74" s="146"/>
    </row>
    <row r="75" spans="5:12" ht="21" customHeight="1">
      <c r="E75" s="145"/>
      <c r="F75" s="145"/>
      <c r="G75" s="145"/>
      <c r="H75" s="145"/>
      <c r="I75" s="145"/>
      <c r="J75" s="145"/>
      <c r="K75" s="145"/>
      <c r="L75" s="146"/>
    </row>
    <row r="76" spans="5:12" ht="21" customHeight="1">
      <c r="E76" s="145"/>
      <c r="F76" s="145"/>
      <c r="G76" s="145"/>
      <c r="H76" s="145"/>
      <c r="I76" s="145"/>
      <c r="J76" s="145"/>
      <c r="K76" s="145"/>
      <c r="L76" s="146"/>
    </row>
    <row r="77" spans="5:12" ht="21" customHeight="1">
      <c r="E77" s="145"/>
      <c r="F77" s="145"/>
      <c r="G77" s="145"/>
      <c r="H77" s="145"/>
      <c r="I77" s="145"/>
      <c r="J77" s="145"/>
      <c r="K77" s="145"/>
      <c r="L77" s="146"/>
    </row>
    <row r="78" spans="5:12" ht="21" customHeight="1">
      <c r="E78" s="145"/>
      <c r="F78" s="145"/>
      <c r="G78" s="145"/>
      <c r="H78" s="145"/>
      <c r="I78" s="145"/>
      <c r="J78" s="145"/>
      <c r="K78" s="145"/>
      <c r="L78" s="146"/>
    </row>
    <row r="79" spans="5:12" ht="21" customHeight="1">
      <c r="E79" s="145"/>
      <c r="F79" s="145"/>
      <c r="G79" s="145"/>
      <c r="H79" s="145"/>
      <c r="I79" s="145"/>
      <c r="J79" s="145"/>
      <c r="K79" s="145"/>
      <c r="L79" s="146"/>
    </row>
    <row r="80" spans="5:12" ht="21" customHeight="1">
      <c r="E80" s="145"/>
      <c r="F80" s="145"/>
      <c r="G80" s="145"/>
      <c r="H80" s="145"/>
      <c r="I80" s="145"/>
      <c r="J80" s="145"/>
      <c r="K80" s="145"/>
      <c r="L80" s="146"/>
    </row>
    <row r="81" spans="5:12" ht="21" customHeight="1">
      <c r="E81" s="145"/>
      <c r="F81" s="145"/>
      <c r="G81" s="145"/>
      <c r="H81" s="145"/>
      <c r="I81" s="145"/>
      <c r="J81" s="145"/>
      <c r="K81" s="145"/>
      <c r="L81" s="146"/>
    </row>
    <row r="82" spans="5:12" ht="21" customHeight="1">
      <c r="E82" s="145"/>
      <c r="F82" s="145"/>
      <c r="G82" s="145"/>
      <c r="H82" s="145"/>
      <c r="I82" s="145"/>
      <c r="J82" s="145"/>
      <c r="K82" s="145"/>
      <c r="L82" s="146"/>
    </row>
    <row r="83" spans="5:12" ht="21" customHeight="1">
      <c r="E83" s="145"/>
      <c r="F83" s="145"/>
      <c r="G83" s="145"/>
      <c r="H83" s="145"/>
      <c r="I83" s="145"/>
      <c r="J83" s="145"/>
      <c r="K83" s="145"/>
      <c r="L83" s="146"/>
    </row>
    <row r="84" spans="5:12" ht="21" customHeight="1">
      <c r="E84" s="145"/>
      <c r="F84" s="145"/>
      <c r="G84" s="145"/>
      <c r="H84" s="145"/>
      <c r="I84" s="145"/>
      <c r="J84" s="145"/>
      <c r="K84" s="145"/>
      <c r="L84" s="146"/>
    </row>
    <row r="85" spans="5:12" ht="21" customHeight="1">
      <c r="E85" s="145"/>
      <c r="F85" s="145"/>
      <c r="G85" s="145"/>
      <c r="H85" s="145"/>
      <c r="I85" s="145"/>
      <c r="J85" s="145"/>
      <c r="K85" s="145"/>
      <c r="L85" s="146"/>
    </row>
    <row r="86" spans="5:12" ht="21" customHeight="1">
      <c r="E86" s="145"/>
      <c r="F86" s="145"/>
      <c r="G86" s="145"/>
      <c r="H86" s="145"/>
      <c r="I86" s="145"/>
      <c r="J86" s="145"/>
      <c r="K86" s="145"/>
      <c r="L86" s="146"/>
    </row>
    <row r="87" spans="5:12" ht="21" customHeight="1">
      <c r="E87" s="145"/>
      <c r="F87" s="145"/>
      <c r="G87" s="145"/>
      <c r="H87" s="145"/>
      <c r="I87" s="145"/>
      <c r="J87" s="145"/>
      <c r="K87" s="145"/>
      <c r="L87" s="146"/>
    </row>
    <row r="88" spans="5:12" ht="21" customHeight="1">
      <c r="E88" s="145"/>
      <c r="F88" s="145"/>
      <c r="G88" s="145"/>
      <c r="H88" s="145"/>
      <c r="I88" s="145"/>
      <c r="J88" s="145"/>
      <c r="K88" s="145"/>
      <c r="L88" s="146"/>
    </row>
    <row r="89" spans="5:12" ht="21" customHeight="1">
      <c r="E89" s="145"/>
      <c r="F89" s="145"/>
      <c r="G89" s="145"/>
      <c r="H89" s="145"/>
      <c r="I89" s="145"/>
      <c r="J89" s="145"/>
      <c r="K89" s="145"/>
      <c r="L89" s="146"/>
    </row>
    <row r="90" spans="5:12" ht="21" customHeight="1">
      <c r="E90" s="145"/>
      <c r="F90" s="145"/>
      <c r="G90" s="145"/>
      <c r="H90" s="145"/>
      <c r="I90" s="145"/>
      <c r="J90" s="145"/>
      <c r="K90" s="145"/>
      <c r="L90" s="146"/>
    </row>
    <row r="91" spans="5:12" ht="21" customHeight="1">
      <c r="E91" s="145"/>
      <c r="F91" s="145"/>
      <c r="G91" s="145"/>
      <c r="H91" s="145"/>
      <c r="I91" s="145"/>
      <c r="J91" s="145"/>
      <c r="K91" s="145"/>
      <c r="L91" s="146"/>
    </row>
    <row r="92" spans="5:12" ht="21" customHeight="1">
      <c r="E92" s="145"/>
      <c r="F92" s="145"/>
      <c r="G92" s="145"/>
      <c r="H92" s="145"/>
      <c r="I92" s="145"/>
      <c r="J92" s="145"/>
      <c r="K92" s="145"/>
      <c r="L92" s="146"/>
    </row>
    <row r="93" spans="5:12" ht="21" customHeight="1">
      <c r="E93" s="145"/>
      <c r="F93" s="145"/>
      <c r="G93" s="145"/>
      <c r="H93" s="145"/>
      <c r="I93" s="145"/>
      <c r="J93" s="145"/>
      <c r="K93" s="145"/>
      <c r="L93" s="146"/>
    </row>
    <row r="94" spans="5:12" ht="21" customHeight="1">
      <c r="E94" s="145"/>
      <c r="F94" s="145"/>
      <c r="G94" s="145"/>
      <c r="H94" s="145"/>
      <c r="I94" s="145"/>
      <c r="J94" s="145"/>
      <c r="K94" s="145"/>
      <c r="L94" s="146"/>
    </row>
    <row r="95" spans="5:12" ht="21" customHeight="1">
      <c r="E95" s="145"/>
      <c r="F95" s="145"/>
      <c r="G95" s="145"/>
      <c r="H95" s="145"/>
      <c r="I95" s="145"/>
      <c r="J95" s="145"/>
      <c r="K95" s="145"/>
      <c r="L95" s="146"/>
    </row>
    <row r="96" spans="5:12" ht="21" customHeight="1">
      <c r="E96" s="145"/>
      <c r="F96" s="145"/>
      <c r="G96" s="145"/>
      <c r="H96" s="145"/>
      <c r="I96" s="145"/>
      <c r="J96" s="145"/>
      <c r="K96" s="145"/>
      <c r="L96" s="146"/>
    </row>
    <row r="97" spans="5:12" ht="21" customHeight="1">
      <c r="E97" s="145"/>
      <c r="F97" s="145"/>
      <c r="G97" s="145"/>
      <c r="H97" s="145"/>
      <c r="I97" s="145"/>
      <c r="J97" s="145"/>
      <c r="K97" s="145"/>
      <c r="L97" s="146"/>
    </row>
    <row r="98" spans="5:12" ht="21" customHeight="1">
      <c r="E98" s="145"/>
      <c r="F98" s="145"/>
      <c r="G98" s="145"/>
      <c r="H98" s="145"/>
      <c r="I98" s="145"/>
      <c r="J98" s="145"/>
      <c r="K98" s="145"/>
      <c r="L98" s="146"/>
    </row>
    <row r="99" spans="5:12" ht="21" customHeight="1">
      <c r="E99" s="145"/>
      <c r="F99" s="145"/>
      <c r="G99" s="145"/>
      <c r="H99" s="145"/>
      <c r="I99" s="145"/>
      <c r="J99" s="145"/>
      <c r="K99" s="145"/>
      <c r="L99" s="146"/>
    </row>
    <row r="100" spans="5:12" ht="21" customHeight="1">
      <c r="E100" s="145"/>
      <c r="F100" s="145"/>
      <c r="G100" s="145"/>
      <c r="H100" s="145"/>
      <c r="I100" s="145"/>
      <c r="J100" s="145"/>
      <c r="K100" s="145"/>
      <c r="L100" s="146"/>
    </row>
    <row r="101" spans="5:12" ht="21" customHeight="1">
      <c r="E101" s="145"/>
      <c r="F101" s="145"/>
      <c r="G101" s="145"/>
      <c r="H101" s="145"/>
      <c r="I101" s="145"/>
      <c r="J101" s="145"/>
      <c r="K101" s="145"/>
      <c r="L101" s="146"/>
    </row>
    <row r="102" spans="5:12" ht="21" customHeight="1">
      <c r="E102" s="145"/>
      <c r="F102" s="145"/>
      <c r="G102" s="145"/>
      <c r="H102" s="145"/>
      <c r="I102" s="145"/>
      <c r="J102" s="145"/>
      <c r="K102" s="145"/>
      <c r="L102" s="146"/>
    </row>
    <row r="103" spans="5:12" ht="21" customHeight="1">
      <c r="E103" s="145"/>
      <c r="F103" s="145"/>
      <c r="G103" s="145"/>
      <c r="H103" s="145"/>
      <c r="I103" s="145"/>
      <c r="J103" s="145"/>
      <c r="K103" s="145"/>
      <c r="L103" s="146"/>
    </row>
    <row r="104" spans="5:12" ht="21" customHeight="1">
      <c r="E104" s="145"/>
      <c r="F104" s="145"/>
      <c r="G104" s="145"/>
      <c r="H104" s="145"/>
      <c r="I104" s="145"/>
      <c r="J104" s="145"/>
      <c r="K104" s="145"/>
      <c r="L104" s="146"/>
    </row>
    <row r="105" spans="5:12" ht="21" customHeight="1">
      <c r="E105" s="145"/>
      <c r="F105" s="145"/>
      <c r="G105" s="145"/>
      <c r="H105" s="145"/>
      <c r="I105" s="145"/>
      <c r="J105" s="145"/>
      <c r="K105" s="145"/>
      <c r="L105" s="146"/>
    </row>
    <row r="106" spans="5:12" ht="21" customHeight="1">
      <c r="E106" s="145"/>
      <c r="F106" s="145"/>
      <c r="G106" s="145"/>
      <c r="H106" s="145"/>
      <c r="I106" s="145"/>
      <c r="J106" s="145"/>
      <c r="K106" s="145"/>
      <c r="L106" s="146"/>
    </row>
    <row r="107" spans="5:12" ht="21" customHeight="1">
      <c r="E107" s="145"/>
      <c r="F107" s="145"/>
      <c r="G107" s="145"/>
      <c r="H107" s="145"/>
      <c r="I107" s="145"/>
      <c r="J107" s="145"/>
      <c r="K107" s="145"/>
      <c r="L107" s="146"/>
    </row>
    <row r="108" spans="5:12" ht="21" customHeight="1">
      <c r="E108" s="145"/>
      <c r="F108" s="145"/>
      <c r="G108" s="145"/>
      <c r="H108" s="145"/>
      <c r="I108" s="145"/>
      <c r="J108" s="145"/>
      <c r="K108" s="145"/>
      <c r="L108" s="146"/>
    </row>
    <row r="109" spans="5:12" ht="21" customHeight="1">
      <c r="E109" s="145"/>
      <c r="F109" s="145"/>
      <c r="G109" s="145"/>
      <c r="H109" s="145"/>
      <c r="I109" s="145"/>
      <c r="J109" s="145"/>
      <c r="K109" s="145"/>
      <c r="L109" s="146"/>
    </row>
    <row r="110" spans="5:12" ht="21" customHeight="1">
      <c r="E110" s="145"/>
      <c r="F110" s="145"/>
      <c r="G110" s="145"/>
      <c r="H110" s="145"/>
      <c r="I110" s="145"/>
      <c r="J110" s="145"/>
      <c r="K110" s="145"/>
      <c r="L110" s="146"/>
    </row>
    <row r="111" spans="5:12" ht="21" customHeight="1">
      <c r="E111" s="145"/>
      <c r="F111" s="145"/>
      <c r="G111" s="145"/>
      <c r="H111" s="145"/>
      <c r="I111" s="145"/>
      <c r="J111" s="145"/>
      <c r="K111" s="145"/>
      <c r="L111" s="146"/>
    </row>
    <row r="112" spans="5:12" ht="21" customHeight="1">
      <c r="E112" s="145"/>
      <c r="F112" s="145"/>
      <c r="G112" s="145"/>
      <c r="H112" s="145"/>
      <c r="I112" s="145"/>
      <c r="J112" s="145"/>
      <c r="K112" s="145"/>
      <c r="L112" s="146"/>
    </row>
    <row r="113" spans="5:12" ht="21" customHeight="1">
      <c r="E113" s="145"/>
      <c r="F113" s="145"/>
      <c r="G113" s="145"/>
      <c r="H113" s="145"/>
      <c r="I113" s="145"/>
      <c r="J113" s="145"/>
      <c r="K113" s="145"/>
      <c r="L113" s="146"/>
    </row>
    <row r="114" spans="5:12" ht="21" customHeight="1">
      <c r="E114" s="145"/>
      <c r="F114" s="145"/>
      <c r="G114" s="145"/>
      <c r="H114" s="145"/>
      <c r="I114" s="145"/>
      <c r="J114" s="145"/>
      <c r="K114" s="145"/>
      <c r="L114" s="146"/>
    </row>
    <row r="115" spans="5:12" ht="21" customHeight="1">
      <c r="E115" s="145"/>
      <c r="F115" s="145"/>
      <c r="G115" s="145"/>
      <c r="H115" s="145"/>
      <c r="I115" s="145"/>
      <c r="J115" s="145"/>
      <c r="K115" s="145"/>
      <c r="L115" s="146"/>
    </row>
    <row r="116" spans="5:12" ht="21" customHeight="1">
      <c r="E116" s="145"/>
      <c r="F116" s="145"/>
      <c r="G116" s="145"/>
      <c r="H116" s="145"/>
      <c r="I116" s="145"/>
      <c r="J116" s="145"/>
      <c r="K116" s="145"/>
      <c r="L116" s="146"/>
    </row>
    <row r="117" spans="5:12" ht="21" customHeight="1">
      <c r="E117" s="145"/>
      <c r="F117" s="145"/>
      <c r="G117" s="145"/>
      <c r="H117" s="145"/>
      <c r="I117" s="145"/>
      <c r="J117" s="145"/>
      <c r="K117" s="145"/>
      <c r="L117" s="146"/>
    </row>
    <row r="118" spans="5:12" ht="21" customHeight="1">
      <c r="E118" s="145"/>
      <c r="F118" s="145"/>
      <c r="G118" s="145"/>
      <c r="H118" s="145"/>
      <c r="I118" s="145"/>
      <c r="J118" s="145"/>
      <c r="K118" s="145"/>
      <c r="L118" s="146"/>
    </row>
    <row r="119" spans="5:12" ht="21" customHeight="1">
      <c r="E119" s="145"/>
      <c r="F119" s="145"/>
      <c r="G119" s="145"/>
      <c r="H119" s="145"/>
      <c r="I119" s="145"/>
      <c r="J119" s="145"/>
      <c r="K119" s="145"/>
      <c r="L119" s="146"/>
    </row>
    <row r="120" spans="5:12" ht="21" customHeight="1">
      <c r="E120" s="145"/>
      <c r="F120" s="145"/>
      <c r="G120" s="145"/>
      <c r="H120" s="145"/>
      <c r="I120" s="145"/>
      <c r="J120" s="145"/>
      <c r="K120" s="145"/>
      <c r="L120" s="146"/>
    </row>
    <row r="121" spans="5:12" ht="21" customHeight="1">
      <c r="E121" s="145"/>
      <c r="F121" s="145"/>
      <c r="G121" s="145"/>
      <c r="H121" s="145"/>
      <c r="I121" s="145"/>
      <c r="J121" s="145"/>
      <c r="K121" s="145"/>
      <c r="L121" s="146"/>
    </row>
    <row r="122" spans="5:12" ht="21" customHeight="1">
      <c r="E122" s="145"/>
      <c r="F122" s="145"/>
      <c r="G122" s="145"/>
      <c r="H122" s="145"/>
      <c r="I122" s="145"/>
      <c r="J122" s="145"/>
      <c r="K122" s="145"/>
      <c r="L122" s="146"/>
    </row>
    <row r="123" spans="5:12" ht="21" customHeight="1">
      <c r="E123" s="145"/>
      <c r="F123" s="145"/>
      <c r="G123" s="145"/>
      <c r="H123" s="145"/>
      <c r="I123" s="145"/>
      <c r="J123" s="145"/>
      <c r="K123" s="145"/>
      <c r="L123" s="146"/>
    </row>
    <row r="124" spans="5:12" ht="21" customHeight="1">
      <c r="E124" s="145"/>
      <c r="F124" s="145"/>
      <c r="G124" s="145"/>
      <c r="H124" s="145"/>
      <c r="I124" s="145"/>
      <c r="J124" s="145"/>
      <c r="K124" s="145"/>
      <c r="L124" s="146"/>
    </row>
    <row r="125" spans="5:12" ht="21" customHeight="1">
      <c r="E125" s="145"/>
      <c r="F125" s="145"/>
      <c r="G125" s="145"/>
      <c r="H125" s="145"/>
      <c r="I125" s="145"/>
      <c r="J125" s="145"/>
      <c r="K125" s="145"/>
      <c r="L125" s="146"/>
    </row>
    <row r="126" spans="5:12" ht="21" customHeight="1">
      <c r="E126" s="145"/>
      <c r="F126" s="145"/>
      <c r="G126" s="145"/>
      <c r="H126" s="145"/>
      <c r="I126" s="145"/>
      <c r="J126" s="145"/>
      <c r="K126" s="145"/>
      <c r="L126" s="146"/>
    </row>
    <row r="127" spans="5:12" ht="21" customHeight="1">
      <c r="E127" s="145"/>
      <c r="F127" s="145"/>
      <c r="G127" s="145"/>
      <c r="H127" s="145"/>
      <c r="I127" s="145"/>
      <c r="J127" s="145"/>
      <c r="K127" s="145"/>
      <c r="L127" s="146"/>
    </row>
    <row r="128" spans="5:12" ht="21" customHeight="1">
      <c r="E128" s="145"/>
      <c r="F128" s="145"/>
      <c r="G128" s="145"/>
      <c r="H128" s="145"/>
      <c r="I128" s="145"/>
      <c r="J128" s="145"/>
      <c r="K128" s="145"/>
      <c r="L128" s="146"/>
    </row>
    <row r="129" spans="5:12" ht="21" customHeight="1">
      <c r="E129" s="145"/>
      <c r="F129" s="145"/>
      <c r="G129" s="145"/>
      <c r="H129" s="145"/>
      <c r="I129" s="145"/>
      <c r="J129" s="145"/>
      <c r="K129" s="145"/>
      <c r="L129" s="146"/>
    </row>
    <row r="130" spans="5:12" ht="21" customHeight="1">
      <c r="E130" s="145"/>
      <c r="F130" s="145"/>
      <c r="G130" s="145"/>
      <c r="H130" s="145"/>
      <c r="I130" s="145"/>
      <c r="J130" s="145"/>
      <c r="K130" s="145"/>
      <c r="L130" s="146"/>
    </row>
    <row r="131" spans="5:12" ht="21" customHeight="1">
      <c r="E131" s="145"/>
      <c r="F131" s="145"/>
      <c r="G131" s="145"/>
      <c r="H131" s="145"/>
      <c r="I131" s="145"/>
      <c r="J131" s="145"/>
      <c r="K131" s="145"/>
      <c r="L131" s="146"/>
    </row>
    <row r="132" spans="5:12" ht="21" customHeight="1">
      <c r="E132" s="145"/>
      <c r="F132" s="145"/>
      <c r="G132" s="145"/>
      <c r="H132" s="145"/>
      <c r="I132" s="145"/>
      <c r="J132" s="145"/>
      <c r="K132" s="145"/>
      <c r="L132" s="146"/>
    </row>
    <row r="133" spans="5:12" ht="21" customHeight="1">
      <c r="E133" s="145"/>
      <c r="F133" s="145"/>
      <c r="G133" s="145"/>
      <c r="H133" s="145"/>
      <c r="I133" s="145"/>
      <c r="J133" s="145"/>
      <c r="K133" s="145"/>
      <c r="L133" s="146"/>
    </row>
    <row r="134" spans="5:12" ht="21" customHeight="1">
      <c r="E134" s="145"/>
      <c r="F134" s="145"/>
      <c r="G134" s="145"/>
      <c r="H134" s="145"/>
      <c r="I134" s="145"/>
      <c r="J134" s="145"/>
      <c r="K134" s="145"/>
      <c r="L134" s="146"/>
    </row>
    <row r="135" spans="5:12" ht="21" customHeight="1">
      <c r="E135" s="145"/>
      <c r="F135" s="145"/>
      <c r="G135" s="145"/>
      <c r="H135" s="145"/>
      <c r="I135" s="145"/>
      <c r="J135" s="145"/>
      <c r="K135" s="145"/>
      <c r="L135" s="146"/>
    </row>
    <row r="136" spans="5:12" ht="21" customHeight="1">
      <c r="E136" s="145"/>
      <c r="F136" s="145"/>
      <c r="G136" s="145"/>
      <c r="H136" s="145"/>
      <c r="I136" s="145"/>
      <c r="J136" s="145"/>
      <c r="K136" s="145"/>
      <c r="L136" s="146"/>
    </row>
    <row r="137" spans="5:12" ht="21" customHeight="1">
      <c r="E137" s="145"/>
      <c r="F137" s="145"/>
      <c r="G137" s="145"/>
      <c r="H137" s="145"/>
      <c r="I137" s="145"/>
      <c r="J137" s="145"/>
      <c r="K137" s="145"/>
      <c r="L137" s="146"/>
    </row>
    <row r="138" spans="5:12" ht="21" customHeight="1">
      <c r="E138" s="145"/>
      <c r="F138" s="145"/>
      <c r="G138" s="145"/>
      <c r="H138" s="145"/>
      <c r="I138" s="145"/>
      <c r="J138" s="145"/>
      <c r="K138" s="145"/>
      <c r="L138" s="146"/>
    </row>
    <row r="139" spans="5:12" ht="21" customHeight="1">
      <c r="E139" s="145"/>
      <c r="F139" s="145"/>
      <c r="G139" s="145"/>
      <c r="H139" s="145"/>
      <c r="I139" s="145"/>
      <c r="J139" s="145"/>
      <c r="K139" s="145"/>
      <c r="L139" s="146"/>
    </row>
    <row r="140" spans="5:12" ht="21" customHeight="1">
      <c r="E140" s="145"/>
      <c r="F140" s="145"/>
      <c r="G140" s="145"/>
      <c r="H140" s="145"/>
      <c r="I140" s="145"/>
      <c r="J140" s="145"/>
      <c r="K140" s="145"/>
      <c r="L140" s="146"/>
    </row>
    <row r="141" spans="5:12" ht="21" customHeight="1">
      <c r="E141" s="145"/>
      <c r="F141" s="145"/>
      <c r="G141" s="145"/>
      <c r="H141" s="145"/>
      <c r="I141" s="145"/>
      <c r="J141" s="145"/>
      <c r="K141" s="145"/>
      <c r="L141" s="146"/>
    </row>
    <row r="142" spans="5:12" ht="21" customHeight="1">
      <c r="E142" s="145"/>
      <c r="F142" s="145"/>
      <c r="G142" s="145"/>
      <c r="H142" s="145"/>
      <c r="I142" s="145"/>
      <c r="J142" s="145"/>
      <c r="K142" s="145"/>
      <c r="L142" s="146"/>
    </row>
    <row r="143" spans="5:12" ht="21" customHeight="1">
      <c r="E143" s="145"/>
      <c r="F143" s="145"/>
      <c r="G143" s="145"/>
      <c r="H143" s="145"/>
      <c r="I143" s="145"/>
      <c r="J143" s="145"/>
      <c r="K143" s="145"/>
      <c r="L143" s="146"/>
    </row>
    <row r="144" spans="5:12" ht="21" customHeight="1">
      <c r="E144" s="145"/>
      <c r="F144" s="145"/>
      <c r="G144" s="145"/>
      <c r="H144" s="145"/>
      <c r="I144" s="145"/>
      <c r="J144" s="145"/>
      <c r="K144" s="145"/>
      <c r="L144" s="146"/>
    </row>
    <row r="145" spans="5:12" ht="21" customHeight="1">
      <c r="E145" s="145"/>
      <c r="F145" s="145"/>
      <c r="G145" s="145"/>
      <c r="H145" s="145"/>
      <c r="I145" s="145"/>
      <c r="J145" s="145"/>
      <c r="K145" s="145"/>
      <c r="L145" s="146"/>
    </row>
    <row r="146" spans="5:12" ht="21" customHeight="1">
      <c r="E146" s="145"/>
      <c r="F146" s="145"/>
      <c r="G146" s="145"/>
      <c r="H146" s="145"/>
      <c r="I146" s="145"/>
      <c r="J146" s="145"/>
      <c r="K146" s="145"/>
      <c r="L146" s="146"/>
    </row>
    <row r="147" spans="5:12" ht="21" customHeight="1">
      <c r="E147" s="145"/>
      <c r="F147" s="145"/>
      <c r="G147" s="145"/>
      <c r="H147" s="145"/>
      <c r="I147" s="145"/>
      <c r="J147" s="145"/>
      <c r="K147" s="145"/>
      <c r="L147" s="146"/>
    </row>
    <row r="148" spans="5:12" ht="21" customHeight="1">
      <c r="E148" s="145"/>
      <c r="F148" s="145"/>
      <c r="G148" s="145"/>
      <c r="H148" s="145"/>
      <c r="I148" s="145"/>
      <c r="J148" s="145"/>
      <c r="K148" s="145"/>
      <c r="L148" s="146"/>
    </row>
    <row r="149" spans="5:12" ht="21" customHeight="1">
      <c r="E149" s="145"/>
      <c r="F149" s="145"/>
      <c r="G149" s="145"/>
      <c r="H149" s="145"/>
      <c r="I149" s="145"/>
      <c r="J149" s="145"/>
      <c r="K149" s="145"/>
      <c r="L149" s="146"/>
    </row>
    <row r="150" spans="5:12" ht="21" customHeight="1">
      <c r="E150" s="145"/>
      <c r="F150" s="145"/>
      <c r="G150" s="145"/>
      <c r="H150" s="145"/>
      <c r="I150" s="145"/>
      <c r="J150" s="145"/>
      <c r="K150" s="145"/>
      <c r="L150" s="146"/>
    </row>
    <row r="151" spans="5:12" ht="21" customHeight="1">
      <c r="E151" s="145"/>
      <c r="F151" s="145"/>
      <c r="G151" s="145"/>
      <c r="H151" s="145"/>
      <c r="I151" s="145"/>
      <c r="J151" s="145"/>
      <c r="K151" s="145"/>
      <c r="L151" s="146"/>
    </row>
    <row r="152" spans="5:12" ht="21" customHeight="1">
      <c r="E152" s="145"/>
      <c r="F152" s="145"/>
      <c r="G152" s="145"/>
      <c r="H152" s="145"/>
      <c r="I152" s="145"/>
      <c r="J152" s="145"/>
      <c r="K152" s="145"/>
      <c r="L152" s="146"/>
    </row>
    <row r="153" spans="5:12" ht="21" customHeight="1">
      <c r="E153" s="145"/>
      <c r="F153" s="145"/>
      <c r="G153" s="145"/>
      <c r="H153" s="145"/>
      <c r="I153" s="145"/>
      <c r="J153" s="145"/>
      <c r="K153" s="145"/>
      <c r="L153" s="146"/>
    </row>
    <row r="154" spans="5:12" ht="21" customHeight="1">
      <c r="E154" s="145"/>
      <c r="F154" s="145"/>
      <c r="G154" s="145"/>
      <c r="H154" s="145"/>
      <c r="I154" s="145"/>
      <c r="J154" s="145"/>
      <c r="K154" s="145"/>
      <c r="L154" s="146"/>
    </row>
    <row r="155" spans="5:12" ht="21" customHeight="1">
      <c r="E155" s="145"/>
      <c r="F155" s="145"/>
      <c r="G155" s="145"/>
      <c r="H155" s="145"/>
      <c r="I155" s="145"/>
      <c r="J155" s="145"/>
      <c r="K155" s="145"/>
      <c r="L155" s="146"/>
    </row>
    <row r="156" spans="5:12" ht="21" customHeight="1">
      <c r="E156" s="145"/>
      <c r="F156" s="145"/>
      <c r="G156" s="145"/>
      <c r="H156" s="145"/>
      <c r="I156" s="145"/>
      <c r="J156" s="145"/>
      <c r="K156" s="145"/>
      <c r="L156" s="146"/>
    </row>
    <row r="157" spans="5:12" ht="21" customHeight="1">
      <c r="E157" s="145"/>
      <c r="F157" s="145"/>
      <c r="G157" s="145"/>
      <c r="H157" s="145"/>
      <c r="I157" s="145"/>
      <c r="J157" s="145"/>
      <c r="K157" s="145"/>
      <c r="L157" s="146"/>
    </row>
    <row r="158" spans="5:12" ht="21" customHeight="1">
      <c r="E158" s="145"/>
      <c r="F158" s="145"/>
      <c r="G158" s="145"/>
      <c r="H158" s="145"/>
      <c r="I158" s="145"/>
      <c r="J158" s="145"/>
      <c r="K158" s="145"/>
      <c r="L158" s="146"/>
    </row>
    <row r="159" spans="5:12" ht="21" customHeight="1">
      <c r="E159" s="145"/>
      <c r="F159" s="145"/>
      <c r="G159" s="145"/>
      <c r="H159" s="145"/>
      <c r="I159" s="145"/>
      <c r="J159" s="145"/>
      <c r="K159" s="145"/>
      <c r="L159" s="146"/>
    </row>
    <row r="160" spans="5:12" ht="21" customHeight="1">
      <c r="E160" s="145"/>
      <c r="F160" s="145"/>
      <c r="G160" s="145"/>
      <c r="H160" s="145"/>
      <c r="I160" s="145"/>
      <c r="J160" s="145"/>
      <c r="K160" s="145"/>
      <c r="L160" s="146"/>
    </row>
    <row r="161" spans="5:12" ht="21" customHeight="1">
      <c r="E161" s="145"/>
      <c r="F161" s="145"/>
      <c r="G161" s="145"/>
      <c r="H161" s="145"/>
      <c r="I161" s="145"/>
      <c r="J161" s="145"/>
      <c r="K161" s="145"/>
      <c r="L161" s="146"/>
    </row>
    <row r="162" spans="5:12" ht="21" customHeight="1">
      <c r="E162" s="145"/>
      <c r="F162" s="145"/>
      <c r="G162" s="145"/>
      <c r="H162" s="145"/>
      <c r="I162" s="145"/>
      <c r="J162" s="145"/>
      <c r="K162" s="145"/>
      <c r="L162" s="146"/>
    </row>
    <row r="163" spans="5:12" ht="21" customHeight="1">
      <c r="E163" s="145"/>
      <c r="F163" s="145"/>
      <c r="G163" s="145"/>
      <c r="H163" s="145"/>
      <c r="I163" s="145"/>
      <c r="J163" s="145"/>
      <c r="K163" s="145"/>
      <c r="L163" s="146"/>
    </row>
    <row r="164" spans="5:12" ht="21" customHeight="1">
      <c r="E164" s="145"/>
      <c r="F164" s="145"/>
      <c r="G164" s="145"/>
      <c r="H164" s="145"/>
      <c r="I164" s="145"/>
      <c r="J164" s="145"/>
      <c r="K164" s="145"/>
      <c r="L164" s="146"/>
    </row>
    <row r="165" spans="5:12" ht="21" customHeight="1">
      <c r="E165" s="145"/>
      <c r="F165" s="145"/>
      <c r="G165" s="145"/>
      <c r="H165" s="145"/>
      <c r="I165" s="145"/>
      <c r="J165" s="145"/>
      <c r="K165" s="145"/>
      <c r="L165" s="146"/>
    </row>
    <row r="166" spans="5:12" ht="21" customHeight="1">
      <c r="E166" s="145"/>
      <c r="F166" s="145"/>
      <c r="G166" s="145"/>
      <c r="H166" s="145"/>
      <c r="I166" s="145"/>
      <c r="J166" s="145"/>
      <c r="K166" s="145"/>
      <c r="L166" s="146"/>
    </row>
    <row r="167" spans="5:12" ht="21" customHeight="1">
      <c r="E167" s="145"/>
      <c r="F167" s="145"/>
      <c r="G167" s="145"/>
      <c r="H167" s="145"/>
      <c r="I167" s="145"/>
      <c r="J167" s="145"/>
      <c r="K167" s="145"/>
      <c r="L167" s="146"/>
    </row>
    <row r="168" spans="5:12" ht="21" customHeight="1">
      <c r="E168" s="145"/>
      <c r="F168" s="145"/>
      <c r="G168" s="145"/>
      <c r="H168" s="145"/>
      <c r="I168" s="145"/>
      <c r="J168" s="145"/>
      <c r="K168" s="145"/>
      <c r="L168" s="146"/>
    </row>
    <row r="169" spans="5:12" ht="21" customHeight="1">
      <c r="E169" s="145"/>
      <c r="F169" s="145"/>
      <c r="G169" s="145"/>
      <c r="H169" s="145"/>
      <c r="I169" s="145"/>
      <c r="J169" s="145"/>
      <c r="K169" s="145"/>
      <c r="L169" s="146"/>
    </row>
    <row r="170" spans="5:12" ht="21" customHeight="1">
      <c r="E170" s="145"/>
      <c r="F170" s="145"/>
      <c r="G170" s="145"/>
      <c r="H170" s="145"/>
      <c r="I170" s="145"/>
      <c r="J170" s="145"/>
      <c r="K170" s="145"/>
      <c r="L170" s="146"/>
    </row>
    <row r="171" spans="5:12" ht="21" customHeight="1">
      <c r="E171" s="145"/>
      <c r="F171" s="145"/>
      <c r="G171" s="145"/>
      <c r="H171" s="145"/>
      <c r="I171" s="145"/>
      <c r="J171" s="145"/>
      <c r="K171" s="145"/>
      <c r="L171" s="146"/>
    </row>
    <row r="172" spans="5:12" ht="21" customHeight="1">
      <c r="E172" s="145"/>
      <c r="F172" s="145"/>
      <c r="G172" s="145"/>
      <c r="H172" s="145"/>
      <c r="I172" s="145"/>
      <c r="J172" s="145"/>
      <c r="K172" s="145"/>
      <c r="L172" s="146"/>
    </row>
    <row r="173" spans="5:12" ht="21" customHeight="1">
      <c r="E173" s="145"/>
      <c r="F173" s="145"/>
      <c r="G173" s="145"/>
      <c r="H173" s="145"/>
      <c r="I173" s="145"/>
      <c r="J173" s="145"/>
      <c r="K173" s="145"/>
      <c r="L173" s="146"/>
    </row>
    <row r="174" spans="5:12" ht="21" customHeight="1">
      <c r="E174" s="145"/>
      <c r="F174" s="145"/>
      <c r="G174" s="145"/>
      <c r="H174" s="145"/>
      <c r="I174" s="145"/>
      <c r="J174" s="145"/>
      <c r="K174" s="145"/>
      <c r="L174" s="146"/>
    </row>
    <row r="175" spans="5:12" ht="21" customHeight="1">
      <c r="E175" s="145"/>
      <c r="F175" s="145"/>
      <c r="G175" s="145"/>
      <c r="H175" s="145"/>
      <c r="I175" s="145"/>
      <c r="J175" s="145"/>
      <c r="K175" s="145"/>
      <c r="L175" s="146"/>
    </row>
    <row r="176" spans="5:12" ht="21" customHeight="1">
      <c r="E176" s="145"/>
      <c r="F176" s="145"/>
      <c r="G176" s="145"/>
      <c r="H176" s="145"/>
      <c r="I176" s="145"/>
      <c r="J176" s="145"/>
      <c r="K176" s="145"/>
      <c r="L176" s="146"/>
    </row>
    <row r="177" spans="5:12" ht="21" customHeight="1">
      <c r="E177" s="145"/>
      <c r="F177" s="145"/>
      <c r="G177" s="145"/>
      <c r="H177" s="145"/>
      <c r="I177" s="145"/>
      <c r="J177" s="145"/>
      <c r="K177" s="145"/>
      <c r="L177" s="146"/>
    </row>
    <row r="178" spans="5:12" ht="21" customHeight="1">
      <c r="E178" s="145"/>
      <c r="F178" s="145"/>
      <c r="G178" s="145"/>
      <c r="H178" s="145"/>
      <c r="I178" s="145"/>
      <c r="J178" s="145"/>
      <c r="K178" s="145"/>
      <c r="L178" s="146"/>
    </row>
    <row r="179" spans="5:12" ht="21" customHeight="1">
      <c r="E179" s="145"/>
      <c r="F179" s="145"/>
      <c r="G179" s="145"/>
      <c r="H179" s="145"/>
      <c r="I179" s="145"/>
      <c r="J179" s="145"/>
      <c r="K179" s="145"/>
      <c r="L179" s="146"/>
    </row>
    <row r="180" spans="5:12" ht="21" customHeight="1">
      <c r="E180" s="145"/>
      <c r="F180" s="145"/>
      <c r="G180" s="145"/>
      <c r="H180" s="145"/>
      <c r="I180" s="145"/>
      <c r="J180" s="145"/>
      <c r="K180" s="145"/>
      <c r="L180" s="146"/>
    </row>
    <row r="181" spans="5:12" ht="21" customHeight="1">
      <c r="E181" s="145"/>
      <c r="F181" s="145"/>
      <c r="G181" s="145"/>
      <c r="H181" s="145"/>
      <c r="I181" s="145"/>
      <c r="J181" s="145"/>
      <c r="K181" s="145"/>
      <c r="L181" s="146"/>
    </row>
    <row r="182" spans="5:12" ht="21" customHeight="1">
      <c r="E182" s="145"/>
      <c r="F182" s="145"/>
      <c r="G182" s="145"/>
      <c r="H182" s="145"/>
      <c r="I182" s="145"/>
      <c r="J182" s="145"/>
      <c r="K182" s="145"/>
      <c r="L182" s="146"/>
    </row>
    <row r="183" spans="5:12" ht="21" customHeight="1">
      <c r="E183" s="145"/>
      <c r="F183" s="145"/>
      <c r="G183" s="145"/>
      <c r="H183" s="145"/>
      <c r="I183" s="145"/>
      <c r="J183" s="145"/>
      <c r="K183" s="145"/>
      <c r="L183" s="146"/>
    </row>
    <row r="184" spans="5:12" ht="21" customHeight="1">
      <c r="E184" s="145"/>
      <c r="F184" s="145"/>
      <c r="G184" s="145"/>
      <c r="H184" s="145"/>
      <c r="I184" s="145"/>
      <c r="J184" s="145"/>
      <c r="K184" s="145"/>
      <c r="L184" s="146"/>
    </row>
    <row r="185" spans="5:12" ht="21" customHeight="1">
      <c r="E185" s="145"/>
      <c r="F185" s="145"/>
      <c r="G185" s="145"/>
      <c r="H185" s="145"/>
      <c r="I185" s="145"/>
      <c r="J185" s="145"/>
      <c r="K185" s="145"/>
      <c r="L185" s="146"/>
    </row>
    <row r="186" spans="5:12" ht="21" customHeight="1">
      <c r="E186" s="145"/>
      <c r="F186" s="145"/>
      <c r="G186" s="145"/>
      <c r="H186" s="145"/>
      <c r="I186" s="145"/>
      <c r="J186" s="145"/>
      <c r="K186" s="145"/>
      <c r="L186" s="146"/>
    </row>
    <row r="187" spans="5:12" ht="21" customHeight="1">
      <c r="E187" s="145"/>
      <c r="F187" s="145"/>
      <c r="G187" s="145"/>
      <c r="H187" s="145"/>
      <c r="I187" s="145"/>
      <c r="J187" s="145"/>
      <c r="K187" s="145"/>
      <c r="L187" s="146"/>
    </row>
    <row r="188" spans="5:12" ht="21" customHeight="1">
      <c r="E188" s="145"/>
      <c r="F188" s="145"/>
      <c r="G188" s="145"/>
      <c r="H188" s="145"/>
      <c r="I188" s="145"/>
      <c r="J188" s="145"/>
      <c r="K188" s="145"/>
      <c r="L188" s="146"/>
    </row>
    <row r="189" spans="5:12" ht="21" customHeight="1">
      <c r="E189" s="145"/>
      <c r="F189" s="145"/>
      <c r="G189" s="145"/>
      <c r="H189" s="145"/>
      <c r="I189" s="145"/>
      <c r="J189" s="145"/>
      <c r="K189" s="145"/>
      <c r="L189" s="146"/>
    </row>
    <row r="190" spans="5:12" ht="21" customHeight="1">
      <c r="E190" s="145"/>
      <c r="F190" s="145"/>
      <c r="G190" s="145"/>
      <c r="H190" s="145"/>
      <c r="I190" s="145"/>
      <c r="J190" s="145"/>
      <c r="K190" s="145"/>
      <c r="L190" s="146"/>
    </row>
    <row r="191" spans="5:12" ht="21" customHeight="1">
      <c r="E191" s="145"/>
      <c r="F191" s="145"/>
      <c r="G191" s="145"/>
      <c r="H191" s="145"/>
      <c r="I191" s="145"/>
      <c r="J191" s="145"/>
      <c r="K191" s="145"/>
      <c r="L191" s="146"/>
    </row>
    <row r="192" spans="5:12" ht="21" customHeight="1">
      <c r="E192" s="145"/>
      <c r="F192" s="145"/>
      <c r="G192" s="145"/>
      <c r="H192" s="145"/>
      <c r="I192" s="145"/>
      <c r="J192" s="145"/>
      <c r="K192" s="145"/>
      <c r="L192" s="146"/>
    </row>
    <row r="193" spans="5:12" ht="21" customHeight="1">
      <c r="E193" s="145"/>
      <c r="F193" s="145"/>
      <c r="G193" s="145"/>
      <c r="H193" s="145"/>
      <c r="I193" s="145"/>
      <c r="J193" s="145"/>
      <c r="K193" s="145"/>
      <c r="L193" s="146"/>
    </row>
    <row r="194" spans="5:12" ht="21" customHeight="1">
      <c r="E194" s="145"/>
      <c r="F194" s="145"/>
      <c r="G194" s="145"/>
      <c r="H194" s="145"/>
      <c r="I194" s="145"/>
      <c r="J194" s="145"/>
      <c r="K194" s="145"/>
      <c r="L194" s="146"/>
    </row>
    <row r="195" spans="5:12" ht="21" customHeight="1">
      <c r="E195" s="145"/>
      <c r="F195" s="145"/>
      <c r="G195" s="145"/>
      <c r="H195" s="145"/>
      <c r="I195" s="145"/>
      <c r="J195" s="145"/>
      <c r="K195" s="145"/>
      <c r="L195" s="146"/>
    </row>
    <row r="196" spans="5:12" ht="21" customHeight="1">
      <c r="E196" s="145"/>
      <c r="F196" s="145"/>
      <c r="G196" s="145"/>
      <c r="H196" s="145"/>
      <c r="I196" s="145"/>
      <c r="J196" s="145"/>
      <c r="K196" s="145"/>
      <c r="L196" s="146"/>
    </row>
    <row r="197" spans="5:12" ht="21" customHeight="1">
      <c r="E197" s="145"/>
      <c r="F197" s="145"/>
      <c r="G197" s="145"/>
      <c r="H197" s="145"/>
      <c r="I197" s="145"/>
      <c r="J197" s="145"/>
      <c r="K197" s="145"/>
      <c r="L197" s="146"/>
    </row>
    <row r="198" spans="5:12" ht="21" customHeight="1">
      <c r="E198" s="145"/>
      <c r="F198" s="145"/>
      <c r="G198" s="145"/>
      <c r="H198" s="145"/>
      <c r="I198" s="145"/>
      <c r="J198" s="145"/>
      <c r="K198" s="145"/>
      <c r="L198" s="146"/>
    </row>
    <row r="199" spans="5:12" ht="21" customHeight="1">
      <c r="E199" s="145"/>
      <c r="F199" s="145"/>
      <c r="G199" s="145"/>
      <c r="H199" s="145"/>
      <c r="I199" s="145"/>
      <c r="J199" s="145"/>
      <c r="K199" s="145"/>
      <c r="L199" s="146"/>
    </row>
    <row r="200" spans="5:12" ht="21" customHeight="1">
      <c r="E200" s="145"/>
      <c r="F200" s="145"/>
      <c r="G200" s="145"/>
      <c r="H200" s="145"/>
      <c r="I200" s="145"/>
      <c r="J200" s="145"/>
      <c r="K200" s="145"/>
      <c r="L200" s="146"/>
    </row>
    <row r="201" spans="5:12" ht="21" customHeight="1">
      <c r="E201" s="145"/>
      <c r="F201" s="145"/>
      <c r="G201" s="145"/>
      <c r="H201" s="145"/>
      <c r="I201" s="145"/>
      <c r="J201" s="145"/>
      <c r="K201" s="145"/>
      <c r="L201" s="146"/>
    </row>
    <row r="202" spans="5:12" ht="21" customHeight="1">
      <c r="E202" s="145"/>
      <c r="F202" s="145"/>
      <c r="G202" s="145"/>
      <c r="H202" s="145"/>
      <c r="I202" s="145"/>
      <c r="J202" s="145"/>
      <c r="K202" s="145"/>
      <c r="L202" s="146"/>
    </row>
    <row r="203" spans="5:12" ht="21" customHeight="1">
      <c r="E203" s="145"/>
      <c r="F203" s="145"/>
      <c r="G203" s="145"/>
      <c r="H203" s="145"/>
      <c r="I203" s="145"/>
      <c r="J203" s="145"/>
      <c r="K203" s="145"/>
      <c r="L203" s="146"/>
    </row>
    <row r="204" spans="5:12" ht="21" customHeight="1">
      <c r="E204" s="145"/>
      <c r="F204" s="145"/>
      <c r="G204" s="145"/>
      <c r="H204" s="145"/>
      <c r="I204" s="145"/>
      <c r="J204" s="145"/>
      <c r="K204" s="145"/>
      <c r="L204" s="146"/>
    </row>
    <row r="205" spans="5:12" ht="21" customHeight="1">
      <c r="E205" s="145"/>
      <c r="F205" s="145"/>
      <c r="G205" s="145"/>
      <c r="H205" s="145"/>
      <c r="I205" s="145"/>
      <c r="J205" s="145"/>
      <c r="K205" s="145"/>
      <c r="L205" s="146"/>
    </row>
    <row r="206" spans="5:12" ht="21" customHeight="1">
      <c r="E206" s="145"/>
      <c r="F206" s="145"/>
      <c r="G206" s="145"/>
      <c r="H206" s="145"/>
      <c r="I206" s="145"/>
      <c r="J206" s="145"/>
      <c r="K206" s="145"/>
      <c r="L206" s="146"/>
    </row>
    <row r="207" spans="5:12" ht="21" customHeight="1">
      <c r="E207" s="145"/>
      <c r="F207" s="145"/>
      <c r="G207" s="145"/>
      <c r="H207" s="145"/>
      <c r="I207" s="145"/>
      <c r="J207" s="145"/>
      <c r="K207" s="145"/>
      <c r="L207" s="146"/>
    </row>
    <row r="208" spans="5:12" ht="21" customHeight="1">
      <c r="E208" s="145"/>
      <c r="F208" s="145"/>
      <c r="G208" s="145"/>
      <c r="H208" s="145"/>
      <c r="I208" s="145"/>
      <c r="J208" s="145"/>
      <c r="K208" s="145"/>
      <c r="L208" s="146"/>
    </row>
    <row r="209" spans="5:12" ht="21" customHeight="1">
      <c r="E209" s="145"/>
      <c r="F209" s="145"/>
      <c r="G209" s="145"/>
      <c r="H209" s="145"/>
      <c r="I209" s="145"/>
      <c r="J209" s="145"/>
      <c r="K209" s="145"/>
      <c r="L209" s="146"/>
    </row>
    <row r="210" spans="5:12" ht="21" customHeight="1">
      <c r="E210" s="145"/>
      <c r="F210" s="145"/>
      <c r="G210" s="145"/>
      <c r="H210" s="145"/>
      <c r="I210" s="145"/>
      <c r="J210" s="145"/>
      <c r="K210" s="145"/>
      <c r="L210" s="146"/>
    </row>
    <row r="211" spans="5:12" ht="21" customHeight="1">
      <c r="E211" s="145"/>
      <c r="F211" s="145"/>
      <c r="G211" s="145"/>
      <c r="H211" s="145"/>
      <c r="I211" s="145"/>
      <c r="J211" s="145"/>
      <c r="K211" s="145"/>
      <c r="L211" s="146"/>
    </row>
    <row r="212" spans="5:12" ht="21" customHeight="1">
      <c r="E212" s="145"/>
      <c r="F212" s="145"/>
      <c r="G212" s="145"/>
      <c r="H212" s="145"/>
      <c r="I212" s="145"/>
      <c r="J212" s="145"/>
      <c r="K212" s="145"/>
      <c r="L212" s="146"/>
    </row>
    <row r="213" spans="5:12" ht="21" customHeight="1">
      <c r="E213" s="145"/>
      <c r="F213" s="145"/>
      <c r="G213" s="145"/>
      <c r="H213" s="145"/>
      <c r="I213" s="145"/>
      <c r="J213" s="145"/>
      <c r="K213" s="145"/>
      <c r="L213" s="146"/>
    </row>
    <row r="214" spans="5:12" ht="21" customHeight="1">
      <c r="E214" s="145"/>
      <c r="F214" s="145"/>
      <c r="G214" s="145"/>
      <c r="H214" s="145"/>
      <c r="I214" s="145"/>
      <c r="J214" s="145"/>
      <c r="K214" s="145"/>
      <c r="L214" s="146"/>
    </row>
    <row r="215" spans="5:12" ht="21" customHeight="1">
      <c r="E215" s="145"/>
      <c r="F215" s="145"/>
      <c r="G215" s="145"/>
      <c r="H215" s="145"/>
      <c r="I215" s="145"/>
      <c r="J215" s="145"/>
      <c r="K215" s="145"/>
      <c r="L215" s="146"/>
    </row>
    <row r="216" spans="5:12" ht="21" customHeight="1">
      <c r="E216" s="145"/>
      <c r="F216" s="145"/>
      <c r="G216" s="145"/>
      <c r="H216" s="145"/>
      <c r="I216" s="145"/>
      <c r="J216" s="145"/>
      <c r="K216" s="145"/>
      <c r="L216" s="146"/>
    </row>
    <row r="217" spans="5:12" ht="21" customHeight="1">
      <c r="E217" s="145"/>
      <c r="F217" s="145"/>
      <c r="G217" s="145"/>
      <c r="H217" s="145"/>
      <c r="I217" s="145"/>
      <c r="J217" s="145"/>
      <c r="K217" s="145"/>
      <c r="L217" s="146"/>
    </row>
    <row r="218" spans="5:12" ht="21" customHeight="1">
      <c r="E218" s="145"/>
      <c r="F218" s="145"/>
      <c r="G218" s="145"/>
      <c r="H218" s="145"/>
      <c r="I218" s="145"/>
      <c r="J218" s="145"/>
      <c r="K218" s="145"/>
      <c r="L218" s="146"/>
    </row>
    <row r="219" spans="5:12" ht="21" customHeight="1">
      <c r="E219" s="145"/>
      <c r="F219" s="145"/>
      <c r="G219" s="145"/>
      <c r="H219" s="145"/>
      <c r="I219" s="145"/>
      <c r="J219" s="145"/>
      <c r="K219" s="145"/>
      <c r="L219" s="146"/>
    </row>
    <row r="220" spans="5:12" ht="21" customHeight="1">
      <c r="E220" s="145"/>
      <c r="F220" s="145"/>
      <c r="G220" s="145"/>
      <c r="H220" s="145"/>
      <c r="I220" s="145"/>
      <c r="J220" s="145"/>
      <c r="K220" s="145"/>
      <c r="L220" s="146"/>
    </row>
    <row r="221" spans="5:12" ht="21" customHeight="1">
      <c r="E221" s="145"/>
      <c r="F221" s="145"/>
      <c r="G221" s="145"/>
      <c r="H221" s="145"/>
      <c r="I221" s="145"/>
      <c r="J221" s="145"/>
      <c r="K221" s="145"/>
      <c r="L221" s="146"/>
    </row>
    <row r="222" spans="5:12" ht="21" customHeight="1">
      <c r="E222" s="145"/>
      <c r="F222" s="145"/>
      <c r="G222" s="145"/>
      <c r="H222" s="145"/>
      <c r="I222" s="145"/>
      <c r="J222" s="145"/>
      <c r="K222" s="145"/>
      <c r="L222" s="146"/>
    </row>
    <row r="223" spans="5:12" ht="21" customHeight="1">
      <c r="E223" s="145"/>
      <c r="F223" s="145"/>
      <c r="G223" s="145"/>
      <c r="H223" s="145"/>
      <c r="I223" s="145"/>
      <c r="J223" s="145"/>
      <c r="K223" s="145"/>
      <c r="L223" s="146"/>
    </row>
    <row r="224" spans="5:12" ht="21" customHeight="1">
      <c r="E224" s="145"/>
      <c r="F224" s="145"/>
      <c r="G224" s="145"/>
      <c r="H224" s="145"/>
      <c r="I224" s="145"/>
      <c r="J224" s="145"/>
      <c r="K224" s="145"/>
      <c r="L224" s="146"/>
    </row>
    <row r="225" spans="5:12" ht="21" customHeight="1">
      <c r="E225" s="145"/>
      <c r="F225" s="145"/>
      <c r="G225" s="145"/>
      <c r="H225" s="145"/>
      <c r="I225" s="145"/>
      <c r="J225" s="145"/>
      <c r="K225" s="145"/>
      <c r="L225" s="146"/>
    </row>
    <row r="226" spans="5:12" ht="21" customHeight="1">
      <c r="E226" s="145"/>
      <c r="F226" s="145"/>
      <c r="G226" s="145"/>
      <c r="H226" s="145"/>
      <c r="I226" s="145"/>
      <c r="J226" s="145"/>
      <c r="K226" s="145"/>
      <c r="L226" s="146"/>
    </row>
    <row r="227" spans="5:12" ht="21" customHeight="1">
      <c r="E227" s="145"/>
      <c r="F227" s="145"/>
      <c r="G227" s="145"/>
      <c r="H227" s="145"/>
      <c r="I227" s="145"/>
      <c r="J227" s="145"/>
      <c r="K227" s="145"/>
      <c r="L227" s="146"/>
    </row>
    <row r="228" spans="5:12" ht="21" customHeight="1">
      <c r="E228" s="145"/>
      <c r="F228" s="145"/>
      <c r="G228" s="145"/>
      <c r="H228" s="145"/>
      <c r="I228" s="145"/>
      <c r="J228" s="145"/>
      <c r="K228" s="145"/>
      <c r="L228" s="146"/>
    </row>
    <row r="229" spans="5:12" ht="21" customHeight="1">
      <c r="E229" s="145"/>
      <c r="F229" s="145"/>
      <c r="G229" s="145"/>
      <c r="H229" s="145"/>
      <c r="I229" s="145"/>
      <c r="J229" s="145"/>
      <c r="K229" s="145"/>
      <c r="L229" s="146"/>
    </row>
    <row r="230" spans="5:12" ht="21" customHeight="1">
      <c r="E230" s="145"/>
      <c r="F230" s="145"/>
      <c r="G230" s="145"/>
      <c r="H230" s="145"/>
      <c r="I230" s="145"/>
      <c r="J230" s="145"/>
      <c r="K230" s="145"/>
      <c r="L230" s="146"/>
    </row>
    <row r="231" spans="5:12" ht="21" customHeight="1">
      <c r="E231" s="145"/>
      <c r="F231" s="145"/>
      <c r="G231" s="145"/>
      <c r="H231" s="145"/>
      <c r="I231" s="145"/>
      <c r="J231" s="145"/>
      <c r="K231" s="145"/>
      <c r="L231" s="146"/>
    </row>
    <row r="232" spans="5:12" ht="21" customHeight="1">
      <c r="E232" s="145"/>
      <c r="F232" s="145"/>
      <c r="G232" s="145"/>
      <c r="H232" s="145"/>
      <c r="I232" s="145"/>
      <c r="J232" s="145"/>
      <c r="K232" s="145"/>
      <c r="L232" s="146"/>
    </row>
    <row r="233" spans="5:12" ht="21" customHeight="1">
      <c r="E233" s="145"/>
      <c r="F233" s="145"/>
      <c r="G233" s="145"/>
      <c r="H233" s="145"/>
      <c r="I233" s="145"/>
      <c r="J233" s="145"/>
      <c r="K233" s="145"/>
      <c r="L233" s="146"/>
    </row>
    <row r="234" spans="5:12" ht="21" customHeight="1">
      <c r="E234" s="145"/>
      <c r="F234" s="145"/>
      <c r="G234" s="145"/>
      <c r="H234" s="145"/>
      <c r="I234" s="145"/>
      <c r="J234" s="145"/>
      <c r="K234" s="145"/>
      <c r="L234" s="146"/>
    </row>
    <row r="235" spans="5:12" ht="21" customHeight="1">
      <c r="E235" s="145"/>
      <c r="F235" s="145"/>
      <c r="G235" s="145"/>
      <c r="H235" s="145"/>
      <c r="I235" s="145"/>
      <c r="J235" s="145"/>
      <c r="K235" s="145"/>
      <c r="L235" s="146"/>
    </row>
    <row r="236" spans="5:12" ht="21" customHeight="1">
      <c r="E236" s="145"/>
      <c r="F236" s="145"/>
      <c r="G236" s="145"/>
      <c r="H236" s="145"/>
      <c r="I236" s="145"/>
      <c r="J236" s="145"/>
      <c r="K236" s="145"/>
      <c r="L236" s="146"/>
    </row>
    <row r="237" spans="5:12" ht="21" customHeight="1">
      <c r="E237" s="145"/>
      <c r="F237" s="145"/>
      <c r="G237" s="145"/>
      <c r="H237" s="145"/>
      <c r="I237" s="145"/>
      <c r="J237" s="145"/>
      <c r="K237" s="145"/>
      <c r="L237" s="146"/>
    </row>
    <row r="238" spans="5:12" ht="21" customHeight="1">
      <c r="E238" s="145"/>
      <c r="F238" s="145"/>
      <c r="G238" s="145"/>
      <c r="H238" s="145"/>
      <c r="I238" s="145"/>
      <c r="J238" s="145"/>
      <c r="K238" s="145"/>
      <c r="L238" s="146"/>
    </row>
    <row r="239" spans="5:12" ht="21" customHeight="1">
      <c r="E239" s="145"/>
      <c r="F239" s="145"/>
      <c r="G239" s="145"/>
      <c r="H239" s="145"/>
      <c r="I239" s="145"/>
      <c r="J239" s="145"/>
      <c r="K239" s="145"/>
      <c r="L239" s="146"/>
    </row>
    <row r="240" spans="5:12" ht="21" customHeight="1">
      <c r="E240" s="145"/>
      <c r="F240" s="145"/>
      <c r="G240" s="145"/>
      <c r="H240" s="145"/>
      <c r="I240" s="145"/>
      <c r="J240" s="145"/>
      <c r="K240" s="145"/>
      <c r="L240" s="146"/>
    </row>
    <row r="241" spans="5:12" ht="21" customHeight="1">
      <c r="E241" s="145"/>
      <c r="F241" s="145"/>
      <c r="G241" s="145"/>
      <c r="H241" s="145"/>
      <c r="I241" s="145"/>
      <c r="J241" s="145"/>
      <c r="K241" s="145"/>
      <c r="L241" s="146"/>
    </row>
    <row r="242" spans="5:12" ht="21" customHeight="1">
      <c r="E242" s="145"/>
      <c r="F242" s="145"/>
      <c r="G242" s="145"/>
      <c r="H242" s="145"/>
      <c r="I242" s="145"/>
      <c r="J242" s="145"/>
      <c r="K242" s="145"/>
      <c r="L242" s="146"/>
    </row>
    <row r="243" spans="5:12" ht="21" customHeight="1">
      <c r="E243" s="145"/>
      <c r="F243" s="145"/>
      <c r="G243" s="145"/>
      <c r="H243" s="145"/>
      <c r="I243" s="145"/>
      <c r="J243" s="145"/>
      <c r="K243" s="145"/>
      <c r="L243" s="146"/>
    </row>
    <row r="244" spans="5:12" ht="21" customHeight="1">
      <c r="E244" s="145"/>
      <c r="F244" s="145"/>
      <c r="G244" s="145"/>
      <c r="H244" s="145"/>
      <c r="I244" s="145"/>
      <c r="J244" s="145"/>
      <c r="K244" s="145"/>
      <c r="L244" s="146"/>
    </row>
    <row r="245" spans="5:12" ht="21" customHeight="1">
      <c r="E245" s="145"/>
      <c r="F245" s="145"/>
      <c r="G245" s="145"/>
      <c r="H245" s="145"/>
      <c r="I245" s="145"/>
      <c r="J245" s="145"/>
      <c r="K245" s="145"/>
      <c r="L245" s="146"/>
    </row>
    <row r="246" spans="5:12" ht="21" customHeight="1">
      <c r="E246" s="145"/>
      <c r="F246" s="145"/>
      <c r="G246" s="145"/>
      <c r="H246" s="145"/>
      <c r="I246" s="145"/>
      <c r="J246" s="145"/>
      <c r="K246" s="145"/>
      <c r="L246" s="146"/>
    </row>
    <row r="247" spans="5:12" ht="21" customHeight="1">
      <c r="E247" s="145"/>
      <c r="F247" s="145"/>
      <c r="G247" s="145"/>
      <c r="H247" s="145"/>
      <c r="I247" s="145"/>
      <c r="J247" s="145"/>
      <c r="K247" s="145"/>
      <c r="L247" s="146"/>
    </row>
    <row r="248" spans="5:12" ht="21" customHeight="1">
      <c r="E248" s="145"/>
      <c r="F248" s="145"/>
      <c r="G248" s="145"/>
      <c r="H248" s="145"/>
      <c r="I248" s="145"/>
      <c r="J248" s="145"/>
      <c r="K248" s="145"/>
      <c r="L248" s="146"/>
    </row>
    <row r="249" spans="5:12" ht="21" customHeight="1">
      <c r="E249" s="145"/>
      <c r="F249" s="145"/>
      <c r="G249" s="145"/>
      <c r="H249" s="145"/>
      <c r="I249" s="145"/>
      <c r="J249" s="145"/>
      <c r="K249" s="145"/>
      <c r="L249" s="146"/>
    </row>
    <row r="250" spans="5:12" ht="21" customHeight="1">
      <c r="E250" s="145"/>
      <c r="F250" s="145"/>
      <c r="G250" s="145"/>
      <c r="H250" s="145"/>
      <c r="I250" s="145"/>
      <c r="J250" s="145"/>
      <c r="K250" s="145"/>
      <c r="L250" s="146"/>
    </row>
    <row r="251" spans="5:12" ht="21" customHeight="1">
      <c r="E251" s="145"/>
      <c r="F251" s="145"/>
      <c r="G251" s="145"/>
      <c r="H251" s="145"/>
      <c r="I251" s="145"/>
      <c r="J251" s="145"/>
      <c r="K251" s="145"/>
      <c r="L251" s="146"/>
    </row>
    <row r="252" spans="5:12" ht="21" customHeight="1">
      <c r="E252" s="145"/>
      <c r="F252" s="145"/>
      <c r="G252" s="145"/>
      <c r="H252" s="145"/>
      <c r="I252" s="145"/>
      <c r="J252" s="145"/>
      <c r="K252" s="145"/>
      <c r="L252" s="146"/>
    </row>
    <row r="253" spans="5:12" ht="21" customHeight="1">
      <c r="E253" s="145"/>
      <c r="F253" s="145"/>
      <c r="G253" s="145"/>
      <c r="H253" s="145"/>
      <c r="I253" s="145"/>
      <c r="J253" s="145"/>
      <c r="K253" s="145"/>
      <c r="L253" s="146"/>
    </row>
    <row r="254" spans="5:12" ht="21" customHeight="1">
      <c r="E254" s="145"/>
      <c r="F254" s="145"/>
      <c r="G254" s="145"/>
      <c r="H254" s="145"/>
      <c r="I254" s="145"/>
      <c r="J254" s="145"/>
      <c r="K254" s="145"/>
      <c r="L254" s="146"/>
    </row>
    <row r="255" spans="5:12" ht="21" customHeight="1">
      <c r="E255" s="145"/>
      <c r="F255" s="145"/>
      <c r="G255" s="145"/>
      <c r="H255" s="145"/>
      <c r="I255" s="145"/>
      <c r="J255" s="145"/>
      <c r="K255" s="145"/>
      <c r="L255" s="146"/>
    </row>
    <row r="256" spans="5:12" ht="21" customHeight="1">
      <c r="E256" s="145"/>
      <c r="F256" s="145"/>
      <c r="G256" s="145"/>
      <c r="H256" s="145"/>
      <c r="I256" s="145"/>
      <c r="J256" s="145"/>
      <c r="K256" s="145"/>
      <c r="L256" s="146"/>
    </row>
    <row r="257" spans="5:12" ht="21" customHeight="1">
      <c r="E257" s="145"/>
      <c r="F257" s="145"/>
      <c r="G257" s="145"/>
      <c r="H257" s="145"/>
      <c r="I257" s="145"/>
      <c r="J257" s="145"/>
      <c r="K257" s="145"/>
      <c r="L257" s="146"/>
    </row>
    <row r="258" spans="5:12" ht="21" customHeight="1">
      <c r="E258" s="145"/>
      <c r="F258" s="145"/>
      <c r="G258" s="145"/>
      <c r="H258" s="145"/>
      <c r="I258" s="145"/>
      <c r="J258" s="145"/>
      <c r="K258" s="145"/>
      <c r="L258" s="146"/>
    </row>
    <row r="259" spans="5:12" ht="21" customHeight="1">
      <c r="E259" s="145"/>
      <c r="F259" s="145"/>
      <c r="G259" s="145"/>
      <c r="H259" s="145"/>
      <c r="I259" s="145"/>
      <c r="J259" s="145"/>
      <c r="K259" s="145"/>
      <c r="L259" s="146"/>
    </row>
    <row r="260" spans="5:12" ht="21" customHeight="1">
      <c r="E260" s="145"/>
      <c r="F260" s="145"/>
      <c r="G260" s="145"/>
      <c r="H260" s="145"/>
      <c r="I260" s="145"/>
      <c r="J260" s="145"/>
      <c r="K260" s="145"/>
      <c r="L260" s="146"/>
    </row>
    <row r="261" spans="5:12" ht="21" customHeight="1">
      <c r="E261" s="145"/>
      <c r="F261" s="145"/>
      <c r="G261" s="145"/>
      <c r="H261" s="145"/>
      <c r="I261" s="145"/>
      <c r="J261" s="145"/>
      <c r="K261" s="145"/>
      <c r="L261" s="146"/>
    </row>
    <row r="262" spans="5:12" ht="21" customHeight="1">
      <c r="E262" s="145"/>
      <c r="F262" s="145"/>
      <c r="G262" s="145"/>
      <c r="H262" s="145"/>
      <c r="I262" s="145"/>
      <c r="J262" s="145"/>
      <c r="K262" s="145"/>
      <c r="L262" s="146"/>
    </row>
    <row r="263" spans="5:12" ht="21" customHeight="1">
      <c r="E263" s="145"/>
      <c r="F263" s="145"/>
      <c r="G263" s="145"/>
      <c r="H263" s="145"/>
      <c r="I263" s="145"/>
      <c r="J263" s="145"/>
      <c r="K263" s="145"/>
      <c r="L263" s="146"/>
    </row>
    <row r="264" spans="5:12" ht="21" customHeight="1">
      <c r="E264" s="145"/>
      <c r="F264" s="145"/>
      <c r="G264" s="145"/>
      <c r="H264" s="145"/>
      <c r="I264" s="145"/>
      <c r="J264" s="145"/>
      <c r="K264" s="145"/>
      <c r="L264" s="146"/>
    </row>
    <row r="265" spans="5:12" ht="21" customHeight="1">
      <c r="E265" s="145"/>
      <c r="F265" s="145"/>
      <c r="G265" s="145"/>
      <c r="H265" s="145"/>
      <c r="I265" s="145"/>
      <c r="J265" s="145"/>
      <c r="K265" s="145"/>
      <c r="L265" s="146"/>
    </row>
    <row r="266" spans="5:12" ht="21" customHeight="1">
      <c r="E266" s="145"/>
      <c r="F266" s="145"/>
      <c r="G266" s="145"/>
      <c r="H266" s="145"/>
      <c r="I266" s="145"/>
      <c r="J266" s="145"/>
      <c r="K266" s="145"/>
      <c r="L266" s="146"/>
    </row>
    <row r="267" spans="5:12" ht="21" customHeight="1">
      <c r="E267" s="145"/>
      <c r="F267" s="145"/>
      <c r="G267" s="145"/>
      <c r="H267" s="145"/>
      <c r="I267" s="145"/>
      <c r="J267" s="145"/>
      <c r="K267" s="145"/>
      <c r="L267" s="146"/>
    </row>
    <row r="268" spans="5:12" ht="21" customHeight="1">
      <c r="E268" s="145"/>
      <c r="F268" s="145"/>
      <c r="G268" s="145"/>
      <c r="H268" s="145"/>
      <c r="I268" s="145"/>
      <c r="J268" s="145"/>
      <c r="K268" s="145"/>
      <c r="L268" s="146"/>
    </row>
    <row r="269" spans="5:12" ht="21" customHeight="1">
      <c r="E269" s="145"/>
      <c r="F269" s="145"/>
      <c r="G269" s="145"/>
      <c r="H269" s="145"/>
      <c r="I269" s="145"/>
      <c r="J269" s="145"/>
      <c r="K269" s="145"/>
      <c r="L269" s="146"/>
    </row>
    <row r="270" spans="5:12" ht="21" customHeight="1">
      <c r="E270" s="145"/>
      <c r="F270" s="145"/>
      <c r="G270" s="145"/>
      <c r="H270" s="145"/>
      <c r="I270" s="145"/>
      <c r="J270" s="145"/>
      <c r="K270" s="145"/>
      <c r="L270" s="146"/>
    </row>
    <row r="271" spans="5:12" ht="21" customHeight="1">
      <c r="E271" s="145"/>
      <c r="F271" s="145"/>
      <c r="G271" s="145"/>
      <c r="H271" s="145"/>
      <c r="I271" s="145"/>
      <c r="J271" s="145"/>
      <c r="K271" s="145"/>
      <c r="L271" s="146"/>
    </row>
    <row r="272" spans="5:12" ht="21" customHeight="1">
      <c r="E272" s="145"/>
      <c r="F272" s="145"/>
      <c r="G272" s="145"/>
      <c r="H272" s="145"/>
      <c r="I272" s="145"/>
      <c r="J272" s="145"/>
      <c r="K272" s="145"/>
      <c r="L272" s="146"/>
    </row>
    <row r="273" spans="5:12" ht="21" customHeight="1">
      <c r="E273" s="145"/>
      <c r="F273" s="145"/>
      <c r="G273" s="145"/>
      <c r="H273" s="145"/>
      <c r="I273" s="145"/>
      <c r="J273" s="145"/>
      <c r="K273" s="145"/>
      <c r="L273" s="146"/>
    </row>
    <row r="274" spans="5:12" ht="21" customHeight="1">
      <c r="E274" s="145"/>
      <c r="F274" s="145"/>
      <c r="G274" s="145"/>
      <c r="H274" s="145"/>
      <c r="I274" s="145"/>
      <c r="J274" s="145"/>
      <c r="K274" s="145"/>
      <c r="L274" s="146"/>
    </row>
    <row r="275" spans="5:12" ht="21" customHeight="1">
      <c r="E275" s="145"/>
      <c r="F275" s="145"/>
      <c r="G275" s="145"/>
      <c r="H275" s="145"/>
      <c r="I275" s="145"/>
      <c r="J275" s="145"/>
      <c r="K275" s="145"/>
      <c r="L275" s="146"/>
    </row>
    <row r="276" spans="5:12" ht="21" customHeight="1">
      <c r="E276" s="145"/>
      <c r="F276" s="145"/>
      <c r="G276" s="145"/>
      <c r="H276" s="145"/>
      <c r="I276" s="145"/>
      <c r="J276" s="145"/>
      <c r="K276" s="145"/>
      <c r="L276" s="146"/>
    </row>
    <row r="277" spans="5:12" ht="21" customHeight="1">
      <c r="E277" s="145"/>
      <c r="F277" s="145"/>
      <c r="G277" s="145"/>
      <c r="H277" s="145"/>
      <c r="I277" s="145"/>
      <c r="J277" s="145"/>
      <c r="K277" s="145"/>
      <c r="L277" s="146"/>
    </row>
    <row r="278" spans="5:12" ht="21" customHeight="1">
      <c r="E278" s="145"/>
      <c r="F278" s="145"/>
      <c r="G278" s="145"/>
      <c r="H278" s="145"/>
      <c r="I278" s="145"/>
      <c r="J278" s="145"/>
      <c r="K278" s="145"/>
      <c r="L278" s="146"/>
    </row>
    <row r="279" spans="5:12" ht="21" customHeight="1">
      <c r="E279" s="145"/>
      <c r="F279" s="145"/>
      <c r="G279" s="145"/>
      <c r="H279" s="145"/>
      <c r="I279" s="145"/>
      <c r="J279" s="145"/>
      <c r="K279" s="145"/>
      <c r="L279" s="146"/>
    </row>
    <row r="280" spans="5:12" ht="21" customHeight="1">
      <c r="E280" s="145"/>
      <c r="F280" s="145"/>
      <c r="G280" s="145"/>
      <c r="H280" s="145"/>
      <c r="I280" s="145"/>
      <c r="J280" s="145"/>
      <c r="K280" s="145"/>
      <c r="L280" s="146"/>
    </row>
    <row r="281" spans="5:12" ht="21" customHeight="1">
      <c r="E281" s="145"/>
      <c r="F281" s="145"/>
      <c r="G281" s="145"/>
      <c r="H281" s="145"/>
      <c r="I281" s="145"/>
      <c r="J281" s="145"/>
      <c r="K281" s="145"/>
      <c r="L281" s="146"/>
    </row>
    <row r="282" spans="5:12" ht="21" customHeight="1">
      <c r="E282" s="145"/>
      <c r="F282" s="145"/>
      <c r="G282" s="145"/>
      <c r="H282" s="145"/>
      <c r="I282" s="145"/>
      <c r="J282" s="145"/>
      <c r="K282" s="145"/>
      <c r="L282" s="146"/>
    </row>
    <row r="283" spans="5:12" ht="21" customHeight="1">
      <c r="E283" s="145"/>
      <c r="F283" s="145"/>
      <c r="G283" s="145"/>
      <c r="H283" s="145"/>
      <c r="I283" s="145"/>
      <c r="J283" s="145"/>
      <c r="K283" s="145"/>
      <c r="L283" s="146"/>
    </row>
    <row r="284" spans="5:12" ht="21" customHeight="1">
      <c r="E284" s="145"/>
      <c r="F284" s="145"/>
      <c r="G284" s="145"/>
      <c r="H284" s="145"/>
      <c r="I284" s="145"/>
      <c r="J284" s="145"/>
      <c r="K284" s="145"/>
      <c r="L284" s="146"/>
    </row>
    <row r="285" spans="5:12" ht="21" customHeight="1">
      <c r="E285" s="145"/>
      <c r="F285" s="145"/>
      <c r="G285" s="145"/>
      <c r="H285" s="145"/>
      <c r="I285" s="145"/>
      <c r="J285" s="145"/>
      <c r="K285" s="145"/>
      <c r="L285" s="146"/>
    </row>
    <row r="286" spans="5:12" ht="21" customHeight="1">
      <c r="E286" s="145"/>
      <c r="F286" s="145"/>
      <c r="G286" s="145"/>
      <c r="H286" s="145"/>
      <c r="I286" s="145"/>
      <c r="J286" s="145"/>
      <c r="K286" s="145"/>
      <c r="L286" s="146"/>
    </row>
    <row r="287" spans="5:12" ht="21" customHeight="1">
      <c r="E287" s="145"/>
      <c r="F287" s="145"/>
      <c r="G287" s="145"/>
      <c r="H287" s="145"/>
      <c r="I287" s="145"/>
      <c r="J287" s="145"/>
      <c r="K287" s="145"/>
      <c r="L287" s="146"/>
    </row>
    <row r="288" spans="5:12" ht="21" customHeight="1">
      <c r="E288" s="145"/>
      <c r="F288" s="145"/>
      <c r="G288" s="145"/>
      <c r="H288" s="145"/>
      <c r="I288" s="145"/>
      <c r="J288" s="145"/>
      <c r="K288" s="145"/>
      <c r="L288" s="146"/>
    </row>
    <row r="289" spans="5:12" ht="21" customHeight="1">
      <c r="E289" s="145"/>
      <c r="F289" s="145"/>
      <c r="G289" s="145"/>
      <c r="H289" s="145"/>
      <c r="I289" s="145"/>
      <c r="J289" s="145"/>
      <c r="K289" s="145"/>
      <c r="L289" s="146"/>
    </row>
    <row r="290" spans="5:12" ht="21" customHeight="1">
      <c r="E290" s="145"/>
      <c r="F290" s="145"/>
      <c r="G290" s="145"/>
      <c r="H290" s="145"/>
      <c r="I290" s="145"/>
      <c r="J290" s="145"/>
      <c r="K290" s="145"/>
      <c r="L290" s="146"/>
    </row>
    <row r="291" spans="5:12" ht="21" customHeight="1">
      <c r="E291" s="145"/>
      <c r="F291" s="145"/>
      <c r="G291" s="145"/>
      <c r="H291" s="145"/>
      <c r="I291" s="145"/>
      <c r="J291" s="145"/>
      <c r="K291" s="145"/>
      <c r="L291" s="146"/>
    </row>
    <row r="292" spans="5:12" ht="21" customHeight="1">
      <c r="E292" s="145"/>
      <c r="F292" s="145"/>
      <c r="G292" s="145"/>
      <c r="H292" s="145"/>
      <c r="I292" s="145"/>
      <c r="J292" s="145"/>
      <c r="K292" s="145"/>
      <c r="L292" s="146"/>
    </row>
    <row r="293" spans="5:12" ht="21" customHeight="1">
      <c r="E293" s="145"/>
      <c r="F293" s="145"/>
      <c r="G293" s="145"/>
      <c r="H293" s="145"/>
      <c r="I293" s="145"/>
      <c r="J293" s="145"/>
      <c r="K293" s="145"/>
      <c r="L293" s="146"/>
    </row>
    <row r="294" spans="5:12" ht="21" customHeight="1">
      <c r="E294" s="145"/>
      <c r="F294" s="145"/>
      <c r="G294" s="145"/>
      <c r="H294" s="145"/>
      <c r="I294" s="145"/>
      <c r="J294" s="145"/>
      <c r="K294" s="145"/>
      <c r="L294" s="146"/>
    </row>
    <row r="295" spans="5:12" ht="21" customHeight="1">
      <c r="E295" s="145"/>
      <c r="F295" s="145"/>
      <c r="G295" s="145"/>
      <c r="H295" s="145"/>
      <c r="I295" s="145"/>
      <c r="J295" s="145"/>
      <c r="K295" s="145"/>
      <c r="L295" s="146"/>
    </row>
    <row r="296" spans="5:12" ht="21" customHeight="1">
      <c r="E296" s="145"/>
      <c r="F296" s="145"/>
      <c r="G296" s="145"/>
      <c r="H296" s="145"/>
      <c r="I296" s="145"/>
      <c r="J296" s="145"/>
      <c r="K296" s="145"/>
      <c r="L296" s="146"/>
    </row>
    <row r="297" spans="5:12" ht="21" customHeight="1">
      <c r="E297" s="145"/>
      <c r="F297" s="145"/>
      <c r="G297" s="145"/>
      <c r="H297" s="145"/>
      <c r="I297" s="145"/>
      <c r="J297" s="145"/>
      <c r="K297" s="145"/>
      <c r="L297" s="146"/>
    </row>
    <row r="298" spans="5:12" ht="21" customHeight="1">
      <c r="E298" s="145"/>
      <c r="F298" s="145"/>
      <c r="G298" s="145"/>
      <c r="H298" s="145"/>
      <c r="I298" s="145"/>
      <c r="J298" s="145"/>
      <c r="K298" s="145"/>
      <c r="L298" s="146"/>
    </row>
    <row r="299" spans="5:12" ht="21" customHeight="1">
      <c r="E299" s="145"/>
      <c r="F299" s="145"/>
      <c r="G299" s="145"/>
      <c r="H299" s="145"/>
      <c r="I299" s="145"/>
      <c r="J299" s="145"/>
      <c r="K299" s="145"/>
      <c r="L299" s="146"/>
    </row>
    <row r="300" spans="5:12" ht="21" customHeight="1">
      <c r="E300" s="145"/>
      <c r="F300" s="145"/>
      <c r="G300" s="145"/>
      <c r="H300" s="145"/>
      <c r="I300" s="145"/>
      <c r="J300" s="145"/>
      <c r="K300" s="145"/>
      <c r="L300" s="146"/>
    </row>
    <row r="301" spans="5:12" ht="21" customHeight="1">
      <c r="E301" s="145"/>
      <c r="F301" s="145"/>
      <c r="G301" s="145"/>
      <c r="H301" s="145"/>
      <c r="I301" s="145"/>
      <c r="J301" s="145"/>
      <c r="K301" s="145"/>
      <c r="L301" s="146"/>
    </row>
    <row r="302" spans="5:12" ht="21" customHeight="1">
      <c r="E302" s="145"/>
      <c r="F302" s="145"/>
      <c r="G302" s="145"/>
      <c r="H302" s="145"/>
      <c r="I302" s="145"/>
      <c r="J302" s="145"/>
      <c r="K302" s="145"/>
      <c r="L302" s="146"/>
    </row>
    <row r="303" spans="5:12" ht="21" customHeight="1">
      <c r="E303" s="145"/>
      <c r="F303" s="145"/>
      <c r="G303" s="145"/>
      <c r="H303" s="145"/>
      <c r="I303" s="145"/>
      <c r="J303" s="145"/>
      <c r="K303" s="145"/>
      <c r="L303" s="146"/>
    </row>
    <row r="304" spans="5:12" ht="21" customHeight="1">
      <c r="E304" s="145"/>
      <c r="F304" s="145"/>
      <c r="G304" s="145"/>
      <c r="H304" s="145"/>
      <c r="I304" s="145"/>
      <c r="J304" s="145"/>
      <c r="K304" s="145"/>
      <c r="L304" s="146"/>
    </row>
    <row r="305" spans="5:12" ht="21" customHeight="1">
      <c r="E305" s="145"/>
      <c r="F305" s="145"/>
      <c r="G305" s="145"/>
      <c r="H305" s="145"/>
      <c r="I305" s="145"/>
      <c r="J305" s="145"/>
      <c r="K305" s="145"/>
      <c r="L305" s="146"/>
    </row>
    <row r="306" spans="5:12" ht="21" customHeight="1">
      <c r="E306" s="145"/>
      <c r="F306" s="145"/>
      <c r="G306" s="145"/>
      <c r="H306" s="145"/>
      <c r="I306" s="145"/>
      <c r="J306" s="145"/>
      <c r="K306" s="145"/>
      <c r="L306" s="146"/>
    </row>
    <row r="307" spans="5:12" ht="21" customHeight="1">
      <c r="E307" s="145"/>
      <c r="F307" s="145"/>
      <c r="G307" s="145"/>
      <c r="H307" s="145"/>
      <c r="I307" s="145"/>
      <c r="J307" s="145"/>
      <c r="K307" s="145"/>
      <c r="L307" s="146"/>
    </row>
    <row r="308" spans="5:12" ht="21" customHeight="1">
      <c r="E308" s="145"/>
      <c r="F308" s="145"/>
      <c r="G308" s="145"/>
      <c r="H308" s="145"/>
      <c r="I308" s="145"/>
      <c r="J308" s="145"/>
      <c r="K308" s="145"/>
      <c r="L308" s="146"/>
    </row>
    <row r="309" spans="5:12" ht="21" customHeight="1">
      <c r="E309" s="145"/>
      <c r="F309" s="145"/>
      <c r="G309" s="145"/>
      <c r="H309" s="145"/>
      <c r="I309" s="145"/>
      <c r="J309" s="145"/>
      <c r="K309" s="145"/>
      <c r="L309" s="146"/>
    </row>
    <row r="310" spans="5:12" ht="21" customHeight="1">
      <c r="E310" s="145"/>
      <c r="F310" s="145"/>
      <c r="G310" s="145"/>
      <c r="H310" s="145"/>
      <c r="I310" s="145"/>
      <c r="J310" s="145"/>
      <c r="K310" s="145"/>
      <c r="L310" s="146"/>
    </row>
    <row r="311" spans="5:12" ht="21" customHeight="1">
      <c r="E311" s="145"/>
      <c r="F311" s="145"/>
      <c r="G311" s="145"/>
      <c r="H311" s="145"/>
      <c r="I311" s="145"/>
      <c r="J311" s="145"/>
      <c r="K311" s="145"/>
      <c r="L311" s="146"/>
    </row>
    <row r="312" spans="5:12" ht="21" customHeight="1">
      <c r="E312" s="145"/>
      <c r="F312" s="145"/>
      <c r="G312" s="145"/>
      <c r="H312" s="145"/>
      <c r="I312" s="145"/>
      <c r="J312" s="145"/>
      <c r="K312" s="145"/>
      <c r="L312" s="146"/>
    </row>
    <row r="313" spans="5:12" ht="21" customHeight="1">
      <c r="E313" s="145"/>
      <c r="F313" s="145"/>
      <c r="G313" s="145"/>
      <c r="H313" s="145"/>
      <c r="I313" s="145"/>
      <c r="J313" s="145"/>
      <c r="K313" s="145"/>
      <c r="L313" s="146"/>
    </row>
    <row r="314" spans="5:12" ht="21" customHeight="1">
      <c r="E314" s="145"/>
      <c r="F314" s="145"/>
      <c r="G314" s="145"/>
      <c r="H314" s="145"/>
      <c r="I314" s="145"/>
      <c r="J314" s="145"/>
      <c r="K314" s="145"/>
      <c r="L314" s="146"/>
    </row>
    <row r="315" spans="5:12" ht="21" customHeight="1">
      <c r="E315" s="145"/>
      <c r="F315" s="145"/>
      <c r="G315" s="145"/>
      <c r="H315" s="145"/>
      <c r="I315" s="145"/>
      <c r="J315" s="145"/>
      <c r="K315" s="145"/>
      <c r="L315" s="146"/>
    </row>
    <row r="316" spans="5:12" ht="21" customHeight="1">
      <c r="E316" s="145"/>
      <c r="F316" s="145"/>
      <c r="G316" s="145"/>
      <c r="H316" s="145"/>
      <c r="I316" s="145"/>
      <c r="J316" s="145"/>
      <c r="K316" s="145"/>
      <c r="L316" s="146"/>
    </row>
    <row r="317" spans="5:12" ht="21" customHeight="1">
      <c r="E317" s="145"/>
      <c r="F317" s="145"/>
      <c r="G317" s="145"/>
      <c r="H317" s="145"/>
      <c r="I317" s="145"/>
      <c r="J317" s="145"/>
      <c r="K317" s="145"/>
      <c r="L317" s="146"/>
    </row>
    <row r="318" spans="5:12" ht="21" customHeight="1">
      <c r="E318" s="145"/>
      <c r="F318" s="145"/>
      <c r="G318" s="145"/>
      <c r="H318" s="145"/>
      <c r="I318" s="145"/>
      <c r="J318" s="145"/>
      <c r="K318" s="145"/>
      <c r="L318" s="146"/>
    </row>
    <row r="319" spans="5:12" ht="21" customHeight="1">
      <c r="E319" s="145"/>
      <c r="F319" s="145"/>
      <c r="G319" s="145"/>
      <c r="H319" s="145"/>
      <c r="I319" s="145"/>
      <c r="J319" s="145"/>
      <c r="K319" s="145"/>
      <c r="L319" s="146"/>
    </row>
    <row r="320" spans="5:12" ht="21" customHeight="1">
      <c r="E320" s="145"/>
      <c r="F320" s="145"/>
      <c r="G320" s="145"/>
      <c r="H320" s="145"/>
      <c r="I320" s="145"/>
      <c r="J320" s="145"/>
      <c r="K320" s="145"/>
      <c r="L320" s="146"/>
    </row>
    <row r="321" spans="5:12" ht="21" customHeight="1">
      <c r="E321" s="145"/>
      <c r="F321" s="145"/>
      <c r="G321" s="145"/>
      <c r="H321" s="145"/>
      <c r="I321" s="145"/>
      <c r="J321" s="145"/>
      <c r="K321" s="145"/>
      <c r="L321" s="146"/>
    </row>
    <row r="322" spans="5:12" ht="21" customHeight="1">
      <c r="E322" s="145"/>
      <c r="F322" s="145"/>
      <c r="G322" s="145"/>
      <c r="H322" s="145"/>
      <c r="I322" s="145"/>
      <c r="J322" s="145"/>
      <c r="K322" s="145"/>
      <c r="L322" s="146"/>
    </row>
    <row r="323" spans="5:12" ht="21" customHeight="1">
      <c r="E323" s="145"/>
      <c r="F323" s="145"/>
      <c r="G323" s="145"/>
      <c r="H323" s="145"/>
      <c r="I323" s="145"/>
      <c r="J323" s="145"/>
      <c r="K323" s="145"/>
      <c r="L323" s="146"/>
    </row>
    <row r="324" spans="5:12" ht="21" customHeight="1">
      <c r="E324" s="145"/>
      <c r="F324" s="145"/>
      <c r="G324" s="145"/>
      <c r="H324" s="145"/>
      <c r="I324" s="145"/>
      <c r="J324" s="145"/>
      <c r="K324" s="145"/>
      <c r="L324" s="146"/>
    </row>
    <row r="325" spans="5:12" ht="21" customHeight="1">
      <c r="E325" s="145"/>
      <c r="F325" s="145"/>
      <c r="G325" s="145"/>
      <c r="H325" s="145"/>
      <c r="I325" s="145"/>
      <c r="J325" s="145"/>
      <c r="K325" s="145"/>
      <c r="L325" s="146"/>
    </row>
    <row r="326" spans="5:12" ht="21" customHeight="1">
      <c r="E326" s="145"/>
      <c r="F326" s="145"/>
      <c r="G326" s="145"/>
      <c r="H326" s="145"/>
      <c r="I326" s="145"/>
      <c r="J326" s="145"/>
      <c r="K326" s="145"/>
      <c r="L326" s="146"/>
    </row>
    <row r="327" spans="5:12" ht="21" customHeight="1">
      <c r="E327" s="145"/>
      <c r="F327" s="145"/>
      <c r="G327" s="145"/>
      <c r="H327" s="145"/>
      <c r="I327" s="145"/>
      <c r="J327" s="145"/>
      <c r="K327" s="145"/>
      <c r="L327" s="146"/>
    </row>
    <row r="328" spans="5:12" ht="21" customHeight="1">
      <c r="E328" s="145"/>
      <c r="F328" s="145"/>
      <c r="G328" s="145"/>
      <c r="H328" s="145"/>
      <c r="I328" s="145"/>
      <c r="J328" s="145"/>
      <c r="K328" s="145"/>
      <c r="L328" s="146"/>
    </row>
    <row r="329" spans="5:12" ht="21" customHeight="1">
      <c r="E329" s="145"/>
      <c r="F329" s="145"/>
      <c r="G329" s="145"/>
      <c r="H329" s="145"/>
      <c r="I329" s="145"/>
      <c r="J329" s="145"/>
      <c r="K329" s="145"/>
      <c r="L329" s="146"/>
    </row>
    <row r="330" spans="5:12" ht="21" customHeight="1">
      <c r="E330" s="145"/>
      <c r="F330" s="145"/>
      <c r="G330" s="145"/>
      <c r="H330" s="145"/>
      <c r="I330" s="145"/>
      <c r="J330" s="145"/>
      <c r="K330" s="145"/>
      <c r="L330" s="146"/>
    </row>
    <row r="331" spans="5:12" ht="21" customHeight="1">
      <c r="E331" s="145"/>
      <c r="F331" s="145"/>
      <c r="G331" s="145"/>
      <c r="H331" s="145"/>
      <c r="I331" s="145"/>
      <c r="J331" s="145"/>
      <c r="K331" s="145"/>
      <c r="L331" s="146"/>
    </row>
    <row r="332" spans="5:12" ht="21" customHeight="1">
      <c r="E332" s="145"/>
      <c r="F332" s="145"/>
      <c r="G332" s="145"/>
      <c r="H332" s="145"/>
      <c r="I332" s="145"/>
      <c r="J332" s="145"/>
      <c r="K332" s="145"/>
      <c r="L332" s="146"/>
    </row>
    <row r="333" spans="5:12" ht="21" customHeight="1">
      <c r="E333" s="145"/>
      <c r="F333" s="145"/>
      <c r="G333" s="145"/>
      <c r="H333" s="145"/>
      <c r="I333" s="145"/>
      <c r="J333" s="145"/>
      <c r="K333" s="145"/>
      <c r="L333" s="146"/>
    </row>
    <row r="334" spans="5:12" ht="21" customHeight="1">
      <c r="E334" s="145"/>
      <c r="F334" s="145"/>
      <c r="G334" s="145"/>
      <c r="H334" s="145"/>
      <c r="I334" s="145"/>
      <c r="J334" s="145"/>
      <c r="K334" s="145"/>
      <c r="L334" s="146"/>
    </row>
    <row r="335" spans="5:12" ht="21" customHeight="1">
      <c r="E335" s="145"/>
      <c r="F335" s="145"/>
      <c r="G335" s="145"/>
      <c r="H335" s="145"/>
      <c r="I335" s="145"/>
      <c r="J335" s="145"/>
      <c r="K335" s="145"/>
      <c r="L335" s="146"/>
    </row>
    <row r="336" spans="5:12" ht="21" customHeight="1">
      <c r="E336" s="145"/>
      <c r="F336" s="145"/>
      <c r="G336" s="145"/>
      <c r="H336" s="145"/>
      <c r="I336" s="145"/>
      <c r="J336" s="145"/>
      <c r="K336" s="145"/>
      <c r="L336" s="146"/>
    </row>
    <row r="337" spans="5:12" ht="21" customHeight="1">
      <c r="E337" s="145"/>
      <c r="F337" s="145"/>
      <c r="G337" s="145"/>
      <c r="H337" s="145"/>
      <c r="I337" s="145"/>
      <c r="J337" s="145"/>
      <c r="K337" s="145"/>
      <c r="L337" s="146"/>
    </row>
    <row r="338" spans="5:12" ht="21" customHeight="1">
      <c r="E338" s="145"/>
      <c r="F338" s="145"/>
      <c r="G338" s="145"/>
      <c r="H338" s="145"/>
      <c r="I338" s="145"/>
      <c r="J338" s="145"/>
      <c r="K338" s="145"/>
      <c r="L338" s="146"/>
    </row>
    <row r="339" spans="5:12" ht="21" customHeight="1">
      <c r="E339" s="145"/>
      <c r="F339" s="145"/>
      <c r="G339" s="145"/>
      <c r="H339" s="145"/>
      <c r="I339" s="145"/>
      <c r="J339" s="145"/>
      <c r="K339" s="145"/>
      <c r="L339" s="146"/>
    </row>
    <row r="340" spans="5:12" ht="21" customHeight="1">
      <c r="E340" s="145"/>
      <c r="F340" s="145"/>
      <c r="G340" s="145"/>
      <c r="H340" s="145"/>
      <c r="I340" s="145"/>
      <c r="J340" s="145"/>
      <c r="K340" s="145"/>
      <c r="L340" s="146"/>
    </row>
    <row r="341" spans="5:12" ht="21" customHeight="1">
      <c r="E341" s="145"/>
      <c r="F341" s="145"/>
      <c r="G341" s="145"/>
      <c r="H341" s="145"/>
      <c r="I341" s="145"/>
      <c r="J341" s="145"/>
      <c r="K341" s="145"/>
      <c r="L341" s="146"/>
    </row>
    <row r="342" spans="5:12" ht="21" customHeight="1">
      <c r="E342" s="145"/>
      <c r="F342" s="145"/>
      <c r="G342" s="145"/>
      <c r="H342" s="145"/>
      <c r="I342" s="145"/>
      <c r="J342" s="145"/>
      <c r="K342" s="145"/>
      <c r="L342" s="146"/>
    </row>
    <row r="343" spans="5:12" ht="21" customHeight="1">
      <c r="E343" s="145"/>
      <c r="F343" s="145"/>
      <c r="G343" s="145"/>
      <c r="H343" s="145"/>
      <c r="I343" s="145"/>
      <c r="J343" s="145"/>
      <c r="K343" s="145"/>
      <c r="L343" s="146"/>
    </row>
    <row r="344" spans="5:12" ht="21" customHeight="1">
      <c r="E344" s="145"/>
      <c r="F344" s="145"/>
      <c r="G344" s="145"/>
      <c r="H344" s="145"/>
      <c r="I344" s="145"/>
      <c r="J344" s="145"/>
      <c r="K344" s="145"/>
      <c r="L344" s="146"/>
    </row>
    <row r="345" spans="5:12" ht="21" customHeight="1">
      <c r="E345" s="145"/>
      <c r="F345" s="145"/>
      <c r="G345" s="145"/>
      <c r="H345" s="145"/>
      <c r="I345" s="145"/>
      <c r="J345" s="145"/>
      <c r="K345" s="145"/>
      <c r="L345" s="146"/>
    </row>
    <row r="346" spans="5:12" ht="21" customHeight="1">
      <c r="E346" s="145"/>
      <c r="F346" s="145"/>
      <c r="G346" s="145"/>
      <c r="H346" s="145"/>
      <c r="I346" s="145"/>
      <c r="J346" s="145"/>
      <c r="K346" s="145"/>
      <c r="L346" s="146"/>
    </row>
    <row r="347" spans="5:12">
      <c r="E347" s="145"/>
      <c r="F347" s="145"/>
      <c r="G347" s="145"/>
      <c r="H347" s="145"/>
      <c r="I347" s="145"/>
      <c r="J347" s="145"/>
      <c r="K347" s="145"/>
      <c r="L347" s="146"/>
    </row>
    <row r="348" spans="5:12">
      <c r="E348" s="145"/>
      <c r="F348" s="145"/>
      <c r="G348" s="145"/>
      <c r="H348" s="145"/>
      <c r="I348" s="145"/>
      <c r="J348" s="145"/>
      <c r="K348" s="145"/>
      <c r="L348" s="146"/>
    </row>
    <row r="349" spans="5:12">
      <c r="E349" s="145"/>
      <c r="F349" s="145"/>
      <c r="G349" s="145"/>
      <c r="H349" s="145"/>
      <c r="I349" s="145"/>
      <c r="J349" s="145"/>
      <c r="K349" s="145"/>
      <c r="L349" s="146"/>
    </row>
    <row r="350" spans="5:12">
      <c r="E350" s="145"/>
      <c r="F350" s="145"/>
      <c r="G350" s="145"/>
      <c r="H350" s="145"/>
      <c r="I350" s="145"/>
      <c r="J350" s="145"/>
      <c r="K350" s="145"/>
      <c r="L350" s="146"/>
    </row>
    <row r="351" spans="5:12">
      <c r="E351" s="145"/>
      <c r="F351" s="145"/>
      <c r="G351" s="145"/>
      <c r="H351" s="145"/>
      <c r="I351" s="145"/>
      <c r="J351" s="145"/>
      <c r="K351" s="145"/>
      <c r="L351" s="146"/>
    </row>
    <row r="352" spans="5:12">
      <c r="E352" s="145"/>
      <c r="F352" s="145"/>
      <c r="G352" s="145"/>
      <c r="H352" s="145"/>
      <c r="I352" s="145"/>
      <c r="J352" s="145"/>
      <c r="K352" s="145"/>
      <c r="L352" s="146"/>
    </row>
    <row r="353" spans="5:12">
      <c r="E353" s="145"/>
      <c r="F353" s="145"/>
      <c r="G353" s="145"/>
      <c r="H353" s="145"/>
      <c r="I353" s="145"/>
      <c r="J353" s="145"/>
      <c r="K353" s="145"/>
      <c r="L353" s="146"/>
    </row>
    <row r="354" spans="5:12">
      <c r="E354" s="145"/>
      <c r="F354" s="145"/>
      <c r="G354" s="145"/>
      <c r="H354" s="145"/>
      <c r="I354" s="145"/>
      <c r="J354" s="145"/>
      <c r="K354" s="145"/>
      <c r="L354" s="146"/>
    </row>
    <row r="355" spans="5:12">
      <c r="E355" s="145"/>
      <c r="F355" s="145"/>
      <c r="G355" s="145"/>
      <c r="H355" s="145"/>
      <c r="I355" s="145"/>
      <c r="J355" s="145"/>
      <c r="K355" s="145"/>
      <c r="L355" s="146"/>
    </row>
    <row r="356" spans="5:12">
      <c r="E356" s="145"/>
      <c r="F356" s="145"/>
      <c r="G356" s="145"/>
      <c r="H356" s="145"/>
      <c r="I356" s="145"/>
      <c r="J356" s="145"/>
      <c r="K356" s="145"/>
      <c r="L356" s="146"/>
    </row>
    <row r="357" spans="5:12">
      <c r="E357" s="145"/>
      <c r="F357" s="145"/>
      <c r="G357" s="145"/>
      <c r="H357" s="145"/>
      <c r="I357" s="145"/>
      <c r="J357" s="145"/>
      <c r="K357" s="145"/>
      <c r="L357" s="146"/>
    </row>
    <row r="358" spans="5:12">
      <c r="E358" s="145"/>
      <c r="F358" s="145"/>
      <c r="G358" s="145"/>
      <c r="H358" s="145"/>
      <c r="I358" s="145"/>
      <c r="J358" s="145"/>
      <c r="K358" s="145"/>
      <c r="L358" s="146"/>
    </row>
    <row r="359" spans="5:12">
      <c r="E359" s="145"/>
      <c r="F359" s="145"/>
      <c r="G359" s="145"/>
      <c r="H359" s="145"/>
      <c r="I359" s="145"/>
      <c r="J359" s="145"/>
      <c r="K359" s="145"/>
      <c r="L359" s="146"/>
    </row>
    <row r="360" spans="5:12">
      <c r="E360" s="145"/>
      <c r="F360" s="145"/>
      <c r="G360" s="145"/>
      <c r="H360" s="145"/>
      <c r="I360" s="145"/>
      <c r="J360" s="145"/>
      <c r="K360" s="145"/>
      <c r="L360" s="146"/>
    </row>
    <row r="361" spans="5:12">
      <c r="E361" s="145"/>
      <c r="F361" s="145"/>
      <c r="G361" s="145"/>
      <c r="H361" s="145"/>
      <c r="I361" s="145"/>
      <c r="J361" s="145"/>
      <c r="K361" s="145"/>
      <c r="L361" s="146"/>
    </row>
    <row r="362" spans="5:12">
      <c r="E362" s="145"/>
      <c r="F362" s="145"/>
      <c r="G362" s="145"/>
      <c r="H362" s="145"/>
      <c r="I362" s="145"/>
      <c r="J362" s="145"/>
      <c r="K362" s="145"/>
      <c r="L362" s="146"/>
    </row>
    <row r="363" spans="5:12">
      <c r="E363" s="145"/>
      <c r="F363" s="145"/>
      <c r="G363" s="145"/>
      <c r="H363" s="145"/>
      <c r="I363" s="145"/>
      <c r="J363" s="145"/>
      <c r="K363" s="145"/>
      <c r="L363" s="146"/>
    </row>
    <row r="364" spans="5:12">
      <c r="E364" s="145"/>
      <c r="F364" s="145"/>
      <c r="G364" s="145"/>
      <c r="H364" s="145"/>
      <c r="I364" s="145"/>
      <c r="J364" s="145"/>
      <c r="K364" s="145"/>
      <c r="L364" s="146"/>
    </row>
    <row r="365" spans="5:12">
      <c r="E365" s="145"/>
      <c r="F365" s="145"/>
      <c r="G365" s="145"/>
      <c r="H365" s="145"/>
      <c r="I365" s="145"/>
      <c r="J365" s="145"/>
      <c r="K365" s="145"/>
      <c r="L365" s="146"/>
    </row>
    <row r="366" spans="5:12">
      <c r="E366" s="145"/>
      <c r="F366" s="145"/>
      <c r="G366" s="145"/>
      <c r="H366" s="145"/>
      <c r="I366" s="145"/>
      <c r="J366" s="145"/>
      <c r="K366" s="145"/>
      <c r="L366" s="146"/>
    </row>
    <row r="367" spans="5:12">
      <c r="E367" s="145"/>
      <c r="F367" s="145"/>
      <c r="G367" s="145"/>
      <c r="H367" s="145"/>
      <c r="I367" s="145"/>
      <c r="J367" s="145"/>
      <c r="K367" s="145"/>
      <c r="L367" s="146"/>
    </row>
    <row r="368" spans="5:12">
      <c r="E368" s="145"/>
      <c r="F368" s="145"/>
      <c r="G368" s="145"/>
      <c r="H368" s="145"/>
      <c r="I368" s="145"/>
      <c r="J368" s="145"/>
      <c r="K368" s="145"/>
      <c r="L368" s="146"/>
    </row>
    <row r="369" spans="5:12">
      <c r="E369" s="145"/>
      <c r="F369" s="145"/>
      <c r="G369" s="145"/>
      <c r="H369" s="145"/>
      <c r="I369" s="145"/>
      <c r="J369" s="145"/>
      <c r="K369" s="145"/>
      <c r="L369" s="146"/>
    </row>
    <row r="370" spans="5:12">
      <c r="E370" s="145"/>
      <c r="F370" s="145"/>
      <c r="G370" s="145"/>
      <c r="H370" s="145"/>
      <c r="I370" s="145"/>
      <c r="J370" s="145"/>
      <c r="K370" s="145"/>
      <c r="L370" s="146"/>
    </row>
    <row r="371" spans="5:12">
      <c r="E371" s="145"/>
      <c r="F371" s="145"/>
      <c r="G371" s="145"/>
      <c r="H371" s="145"/>
      <c r="I371" s="145"/>
      <c r="J371" s="145"/>
      <c r="K371" s="145"/>
      <c r="L371" s="146"/>
    </row>
    <row r="372" spans="5:12">
      <c r="E372" s="145"/>
      <c r="F372" s="145"/>
      <c r="G372" s="145"/>
      <c r="H372" s="145"/>
      <c r="I372" s="145"/>
      <c r="J372" s="145"/>
      <c r="K372" s="145"/>
      <c r="L372" s="146"/>
    </row>
    <row r="373" spans="5:12">
      <c r="E373" s="145"/>
      <c r="F373" s="145"/>
      <c r="G373" s="145"/>
      <c r="H373" s="145"/>
      <c r="I373" s="145"/>
      <c r="J373" s="145"/>
      <c r="K373" s="145"/>
      <c r="L373" s="146"/>
    </row>
    <row r="374" spans="5:12">
      <c r="E374" s="145"/>
      <c r="F374" s="145"/>
      <c r="G374" s="145"/>
      <c r="H374" s="145"/>
      <c r="I374" s="145"/>
      <c r="J374" s="145"/>
      <c r="K374" s="145"/>
      <c r="L374" s="146"/>
    </row>
    <row r="375" spans="5:12">
      <c r="E375" s="145"/>
      <c r="F375" s="145"/>
      <c r="G375" s="145"/>
      <c r="H375" s="145"/>
      <c r="I375" s="145"/>
      <c r="J375" s="145"/>
      <c r="K375" s="145"/>
      <c r="L375" s="146"/>
    </row>
    <row r="376" spans="5:12">
      <c r="E376" s="145"/>
      <c r="F376" s="145"/>
      <c r="G376" s="145"/>
      <c r="H376" s="145"/>
      <c r="I376" s="145"/>
      <c r="J376" s="145"/>
      <c r="K376" s="145"/>
      <c r="L376" s="146"/>
    </row>
    <row r="377" spans="5:12">
      <c r="E377" s="145"/>
      <c r="F377" s="145"/>
      <c r="G377" s="145"/>
      <c r="H377" s="145"/>
      <c r="I377" s="145"/>
      <c r="J377" s="145"/>
      <c r="K377" s="145"/>
      <c r="L377" s="146"/>
    </row>
    <row r="378" spans="5:12">
      <c r="E378" s="145"/>
      <c r="F378" s="145"/>
      <c r="G378" s="145"/>
      <c r="H378" s="145"/>
      <c r="I378" s="145"/>
      <c r="J378" s="145"/>
      <c r="K378" s="145"/>
      <c r="L378" s="146"/>
    </row>
    <row r="379" spans="5:12">
      <c r="E379" s="145"/>
      <c r="F379" s="145"/>
      <c r="G379" s="145"/>
      <c r="H379" s="145"/>
      <c r="I379" s="145"/>
      <c r="J379" s="145"/>
      <c r="K379" s="145"/>
      <c r="L379" s="146"/>
    </row>
    <row r="380" spans="5:12">
      <c r="E380" s="145"/>
      <c r="F380" s="145"/>
      <c r="G380" s="145"/>
      <c r="H380" s="145"/>
      <c r="I380" s="145"/>
      <c r="J380" s="145"/>
      <c r="K380" s="145"/>
      <c r="L380" s="146"/>
    </row>
    <row r="381" spans="5:12">
      <c r="E381" s="145"/>
      <c r="F381" s="145"/>
      <c r="G381" s="145"/>
      <c r="H381" s="145"/>
      <c r="I381" s="145"/>
      <c r="J381" s="145"/>
      <c r="K381" s="145"/>
      <c r="L381" s="146"/>
    </row>
    <row r="382" spans="5:12">
      <c r="E382" s="145"/>
      <c r="F382" s="145"/>
      <c r="G382" s="145"/>
      <c r="H382" s="145"/>
      <c r="I382" s="145"/>
      <c r="J382" s="145"/>
      <c r="K382" s="145"/>
      <c r="L382" s="146"/>
    </row>
    <row r="383" spans="5:12">
      <c r="E383" s="145"/>
      <c r="F383" s="145"/>
      <c r="G383" s="145"/>
      <c r="H383" s="145"/>
      <c r="I383" s="145"/>
      <c r="J383" s="145"/>
      <c r="K383" s="145"/>
      <c r="L383" s="146"/>
    </row>
    <row r="384" spans="5:12">
      <c r="E384" s="145"/>
      <c r="F384" s="145"/>
      <c r="G384" s="145"/>
      <c r="H384" s="145"/>
      <c r="I384" s="145"/>
      <c r="J384" s="145"/>
      <c r="K384" s="145"/>
      <c r="L384" s="146"/>
    </row>
    <row r="385" spans="5:12">
      <c r="E385" s="145"/>
      <c r="F385" s="145"/>
      <c r="G385" s="145"/>
      <c r="H385" s="145"/>
      <c r="I385" s="145"/>
      <c r="J385" s="145"/>
      <c r="K385" s="145"/>
      <c r="L385" s="146"/>
    </row>
    <row r="386" spans="5:12">
      <c r="E386" s="145"/>
      <c r="F386" s="145"/>
      <c r="G386" s="145"/>
      <c r="H386" s="145"/>
      <c r="I386" s="145"/>
      <c r="J386" s="145"/>
      <c r="K386" s="145"/>
      <c r="L386" s="146"/>
    </row>
    <row r="387" spans="5:12">
      <c r="E387" s="145"/>
      <c r="F387" s="145"/>
      <c r="G387" s="145"/>
      <c r="H387" s="145"/>
      <c r="I387" s="145"/>
      <c r="J387" s="145"/>
      <c r="K387" s="145"/>
      <c r="L387" s="146"/>
    </row>
    <row r="388" spans="5:12">
      <c r="E388" s="145"/>
      <c r="F388" s="145"/>
      <c r="G388" s="145"/>
      <c r="H388" s="145"/>
      <c r="I388" s="145"/>
      <c r="J388" s="145"/>
      <c r="K388" s="145"/>
      <c r="L388" s="146"/>
    </row>
    <row r="389" spans="5:12">
      <c r="E389" s="145"/>
      <c r="F389" s="145"/>
      <c r="G389" s="145"/>
      <c r="H389" s="145"/>
      <c r="I389" s="145"/>
      <c r="J389" s="145"/>
      <c r="K389" s="145"/>
      <c r="L389" s="146"/>
    </row>
    <row r="390" spans="5:12">
      <c r="E390" s="145"/>
      <c r="F390" s="145"/>
      <c r="G390" s="145"/>
      <c r="H390" s="145"/>
      <c r="I390" s="145"/>
      <c r="J390" s="145"/>
      <c r="K390" s="145"/>
      <c r="L390" s="146"/>
    </row>
    <row r="391" spans="5:12">
      <c r="E391" s="145"/>
      <c r="F391" s="145"/>
      <c r="G391" s="145"/>
      <c r="H391" s="145"/>
      <c r="I391" s="145"/>
      <c r="J391" s="145"/>
      <c r="K391" s="145"/>
      <c r="L391" s="146"/>
    </row>
    <row r="392" spans="5:12">
      <c r="E392" s="145"/>
      <c r="F392" s="145"/>
      <c r="G392" s="145"/>
      <c r="H392" s="145"/>
      <c r="I392" s="145"/>
      <c r="J392" s="145"/>
      <c r="K392" s="145"/>
      <c r="L392" s="146"/>
    </row>
    <row r="393" spans="5:12">
      <c r="E393" s="145"/>
      <c r="F393" s="145"/>
      <c r="G393" s="145"/>
      <c r="H393" s="145"/>
      <c r="I393" s="145"/>
      <c r="J393" s="145"/>
      <c r="K393" s="145"/>
      <c r="L393" s="146"/>
    </row>
    <row r="394" spans="5:12">
      <c r="E394" s="145"/>
      <c r="F394" s="145"/>
      <c r="G394" s="145"/>
      <c r="H394" s="145"/>
      <c r="I394" s="145"/>
      <c r="J394" s="145"/>
      <c r="K394" s="145"/>
      <c r="L394" s="146"/>
    </row>
    <row r="395" spans="5:12">
      <c r="E395" s="145"/>
      <c r="F395" s="145"/>
      <c r="G395" s="145"/>
      <c r="H395" s="145"/>
      <c r="I395" s="145"/>
      <c r="J395" s="145"/>
      <c r="K395" s="145"/>
      <c r="L395" s="146"/>
    </row>
    <row r="396" spans="5:12">
      <c r="E396" s="145"/>
      <c r="F396" s="145"/>
      <c r="G396" s="145"/>
      <c r="H396" s="145"/>
      <c r="I396" s="145"/>
      <c r="J396" s="145"/>
      <c r="K396" s="145"/>
      <c r="L396" s="146"/>
    </row>
    <row r="397" spans="5:12">
      <c r="E397" s="145"/>
      <c r="F397" s="145"/>
      <c r="G397" s="145"/>
      <c r="H397" s="145"/>
      <c r="I397" s="145"/>
      <c r="J397" s="145"/>
      <c r="K397" s="145"/>
      <c r="L397" s="146"/>
    </row>
    <row r="398" spans="5:12">
      <c r="E398" s="145"/>
      <c r="F398" s="145"/>
      <c r="G398" s="145"/>
      <c r="H398" s="145"/>
      <c r="I398" s="145"/>
      <c r="J398" s="145"/>
      <c r="K398" s="145"/>
      <c r="L398" s="146"/>
    </row>
    <row r="399" spans="5:12">
      <c r="E399" s="145"/>
      <c r="F399" s="145"/>
      <c r="G399" s="145"/>
      <c r="H399" s="145"/>
      <c r="I399" s="145"/>
      <c r="J399" s="145"/>
      <c r="K399" s="145"/>
      <c r="L399" s="146"/>
    </row>
    <row r="400" spans="5:12">
      <c r="E400" s="145"/>
      <c r="F400" s="145"/>
      <c r="G400" s="145"/>
      <c r="H400" s="145"/>
      <c r="I400" s="145"/>
      <c r="J400" s="145"/>
      <c r="K400" s="145"/>
      <c r="L400" s="146"/>
    </row>
    <row r="401" spans="5:12">
      <c r="E401" s="145"/>
      <c r="F401" s="145"/>
      <c r="G401" s="145"/>
      <c r="H401" s="145"/>
      <c r="I401" s="145"/>
      <c r="J401" s="145"/>
      <c r="K401" s="145"/>
      <c r="L401" s="146"/>
    </row>
    <row r="402" spans="5:12">
      <c r="E402" s="145"/>
      <c r="F402" s="145"/>
      <c r="G402" s="145"/>
      <c r="H402" s="145"/>
      <c r="I402" s="145"/>
      <c r="J402" s="145"/>
      <c r="K402" s="145"/>
      <c r="L402" s="146"/>
    </row>
    <row r="403" spans="5:12">
      <c r="E403" s="145"/>
      <c r="F403" s="145"/>
      <c r="G403" s="145"/>
      <c r="H403" s="145"/>
      <c r="I403" s="145"/>
      <c r="J403" s="145"/>
      <c r="K403" s="145"/>
      <c r="L403" s="146"/>
    </row>
    <row r="404" spans="5:12">
      <c r="E404" s="145"/>
      <c r="F404" s="145"/>
      <c r="G404" s="145"/>
      <c r="H404" s="145"/>
      <c r="I404" s="145"/>
      <c r="J404" s="145"/>
      <c r="K404" s="145"/>
      <c r="L404" s="146"/>
    </row>
    <row r="405" spans="5:12">
      <c r="E405" s="145"/>
      <c r="F405" s="145"/>
      <c r="G405" s="145"/>
      <c r="H405" s="145"/>
      <c r="I405" s="145"/>
      <c r="J405" s="145"/>
      <c r="K405" s="145"/>
      <c r="L405" s="146"/>
    </row>
    <row r="406" spans="5:12">
      <c r="E406" s="145"/>
      <c r="F406" s="145"/>
      <c r="G406" s="145"/>
      <c r="H406" s="145"/>
      <c r="I406" s="145"/>
      <c r="J406" s="145"/>
      <c r="K406" s="145"/>
      <c r="L406" s="146"/>
    </row>
    <row r="407" spans="5:12">
      <c r="E407" s="145"/>
      <c r="F407" s="145"/>
      <c r="G407" s="145"/>
      <c r="H407" s="145"/>
      <c r="I407" s="145"/>
      <c r="J407" s="145"/>
      <c r="K407" s="145"/>
      <c r="L407" s="146"/>
    </row>
    <row r="408" spans="5:12">
      <c r="E408" s="145"/>
      <c r="F408" s="145"/>
      <c r="G408" s="145"/>
      <c r="H408" s="145"/>
      <c r="I408" s="145"/>
      <c r="J408" s="145"/>
      <c r="K408" s="145"/>
      <c r="L408" s="146"/>
    </row>
    <row r="409" spans="5:12">
      <c r="E409" s="145"/>
      <c r="F409" s="145"/>
      <c r="G409" s="145"/>
      <c r="H409" s="145"/>
      <c r="I409" s="145"/>
      <c r="J409" s="145"/>
      <c r="K409" s="145"/>
      <c r="L409" s="146"/>
    </row>
    <row r="410" spans="5:12">
      <c r="E410" s="145"/>
      <c r="F410" s="145"/>
      <c r="G410" s="145"/>
      <c r="H410" s="145"/>
      <c r="I410" s="145"/>
      <c r="J410" s="145"/>
      <c r="K410" s="145"/>
      <c r="L410" s="146"/>
    </row>
    <row r="411" spans="5:12">
      <c r="E411" s="145"/>
      <c r="F411" s="145"/>
      <c r="G411" s="145"/>
      <c r="H411" s="145"/>
      <c r="I411" s="145"/>
      <c r="J411" s="145"/>
      <c r="K411" s="145"/>
      <c r="L411" s="146"/>
    </row>
    <row r="412" spans="5:12">
      <c r="E412" s="145"/>
      <c r="F412" s="145"/>
      <c r="G412" s="145"/>
      <c r="H412" s="145"/>
      <c r="I412" s="145"/>
      <c r="J412" s="145"/>
      <c r="K412" s="145"/>
      <c r="L412" s="146"/>
    </row>
    <row r="413" spans="5:12">
      <c r="E413" s="145"/>
      <c r="F413" s="145"/>
      <c r="G413" s="145"/>
      <c r="H413" s="145"/>
      <c r="I413" s="145"/>
      <c r="J413" s="145"/>
      <c r="K413" s="145"/>
      <c r="L413" s="146"/>
    </row>
    <row r="414" spans="5:12">
      <c r="E414" s="145"/>
      <c r="F414" s="145"/>
      <c r="G414" s="145"/>
      <c r="H414" s="145"/>
      <c r="I414" s="145"/>
      <c r="J414" s="145"/>
      <c r="K414" s="145"/>
      <c r="L414" s="146"/>
    </row>
    <row r="415" spans="5:12">
      <c r="E415" s="145"/>
      <c r="F415" s="145"/>
      <c r="G415" s="145"/>
      <c r="H415" s="145"/>
      <c r="I415" s="145"/>
      <c r="J415" s="145"/>
      <c r="K415" s="145"/>
      <c r="L415" s="146"/>
    </row>
    <row r="416" spans="5:12">
      <c r="E416" s="145"/>
      <c r="F416" s="145"/>
      <c r="G416" s="145"/>
      <c r="H416" s="145"/>
      <c r="I416" s="145"/>
      <c r="J416" s="145"/>
      <c r="K416" s="145"/>
      <c r="L416" s="146"/>
    </row>
    <row r="417" spans="5:12">
      <c r="E417" s="145"/>
      <c r="F417" s="145"/>
      <c r="G417" s="145"/>
      <c r="H417" s="145"/>
      <c r="I417" s="145"/>
      <c r="J417" s="145"/>
      <c r="K417" s="145"/>
      <c r="L417" s="146"/>
    </row>
    <row r="418" spans="5:12">
      <c r="E418" s="145"/>
      <c r="F418" s="145"/>
      <c r="G418" s="145"/>
      <c r="H418" s="145"/>
      <c r="I418" s="145"/>
      <c r="J418" s="145"/>
      <c r="K418" s="145"/>
      <c r="L418" s="146"/>
    </row>
    <row r="419" spans="5:12">
      <c r="E419" s="145"/>
      <c r="F419" s="145"/>
      <c r="G419" s="145"/>
      <c r="H419" s="145"/>
      <c r="I419" s="145"/>
      <c r="J419" s="145"/>
      <c r="K419" s="145"/>
      <c r="L419" s="146"/>
    </row>
    <row r="420" spans="5:12">
      <c r="E420" s="145"/>
      <c r="F420" s="145"/>
      <c r="G420" s="145"/>
      <c r="H420" s="145"/>
      <c r="I420" s="145"/>
      <c r="J420" s="145"/>
      <c r="K420" s="145"/>
      <c r="L420" s="146"/>
    </row>
    <row r="421" spans="5:12">
      <c r="E421" s="145"/>
      <c r="F421" s="145"/>
      <c r="G421" s="145"/>
      <c r="H421" s="145"/>
      <c r="I421" s="145"/>
      <c r="J421" s="145"/>
      <c r="K421" s="145"/>
      <c r="L421" s="146"/>
    </row>
    <row r="422" spans="5:12">
      <c r="E422" s="145"/>
      <c r="F422" s="145"/>
      <c r="G422" s="145"/>
      <c r="H422" s="145"/>
      <c r="I422" s="145"/>
      <c r="J422" s="145"/>
      <c r="K422" s="145"/>
      <c r="L422" s="146"/>
    </row>
    <row r="423" spans="5:12">
      <c r="E423" s="145"/>
      <c r="F423" s="145"/>
      <c r="G423" s="145"/>
      <c r="H423" s="145"/>
      <c r="I423" s="145"/>
      <c r="J423" s="145"/>
      <c r="K423" s="145"/>
      <c r="L423" s="146"/>
    </row>
    <row r="424" spans="5:12">
      <c r="E424" s="145"/>
      <c r="F424" s="145"/>
      <c r="G424" s="145"/>
      <c r="H424" s="145"/>
      <c r="I424" s="145"/>
      <c r="J424" s="145"/>
      <c r="K424" s="145"/>
      <c r="L424" s="146"/>
    </row>
    <row r="425" spans="5:12">
      <c r="E425" s="145"/>
      <c r="F425" s="145"/>
      <c r="G425" s="145"/>
      <c r="H425" s="145"/>
      <c r="I425" s="145"/>
      <c r="J425" s="145"/>
      <c r="K425" s="145"/>
      <c r="L425" s="146"/>
    </row>
    <row r="426" spans="5:12">
      <c r="E426" s="145"/>
      <c r="F426" s="145"/>
      <c r="G426" s="145"/>
      <c r="H426" s="145"/>
      <c r="I426" s="145"/>
      <c r="J426" s="145"/>
      <c r="K426" s="145"/>
      <c r="L426" s="146"/>
    </row>
    <row r="427" spans="5:12">
      <c r="E427" s="145"/>
      <c r="F427" s="145"/>
      <c r="G427" s="145"/>
      <c r="H427" s="145"/>
      <c r="I427" s="145"/>
      <c r="J427" s="145"/>
      <c r="K427" s="145"/>
      <c r="L427" s="146"/>
    </row>
    <row r="428" spans="5:12">
      <c r="E428" s="145"/>
      <c r="F428" s="145"/>
      <c r="G428" s="145"/>
      <c r="H428" s="145"/>
      <c r="I428" s="145"/>
      <c r="J428" s="145"/>
      <c r="K428" s="145"/>
      <c r="L428" s="146"/>
    </row>
    <row r="429" spans="5:12">
      <c r="E429" s="145"/>
      <c r="F429" s="145"/>
      <c r="G429" s="145"/>
      <c r="H429" s="145"/>
      <c r="I429" s="145"/>
      <c r="J429" s="145"/>
      <c r="K429" s="145"/>
      <c r="L429" s="146"/>
    </row>
    <row r="430" spans="5:12">
      <c r="E430" s="145"/>
      <c r="F430" s="145"/>
      <c r="G430" s="145"/>
      <c r="H430" s="145"/>
      <c r="I430" s="145"/>
      <c r="J430" s="145"/>
      <c r="K430" s="145"/>
      <c r="L430" s="146"/>
    </row>
    <row r="431" spans="5:12">
      <c r="E431" s="145"/>
      <c r="F431" s="145"/>
      <c r="G431" s="145"/>
      <c r="H431" s="145"/>
      <c r="I431" s="145"/>
      <c r="J431" s="145"/>
      <c r="K431" s="145"/>
      <c r="L431" s="146"/>
    </row>
    <row r="432" spans="5:12">
      <c r="E432" s="145"/>
      <c r="F432" s="145"/>
      <c r="G432" s="145"/>
      <c r="H432" s="145"/>
      <c r="I432" s="145"/>
      <c r="J432" s="145"/>
      <c r="K432" s="145"/>
      <c r="L432" s="146"/>
    </row>
    <row r="433" spans="5:12">
      <c r="E433" s="145"/>
      <c r="F433" s="145"/>
      <c r="G433" s="145"/>
      <c r="H433" s="145"/>
      <c r="I433" s="145"/>
      <c r="J433" s="145"/>
      <c r="K433" s="145"/>
      <c r="L433" s="146"/>
    </row>
    <row r="434" spans="5:12">
      <c r="E434" s="145"/>
      <c r="F434" s="145"/>
      <c r="G434" s="145"/>
      <c r="H434" s="145"/>
      <c r="I434" s="145"/>
      <c r="J434" s="145"/>
      <c r="K434" s="145"/>
      <c r="L434" s="146"/>
    </row>
    <row r="435" spans="5:12">
      <c r="E435" s="145"/>
      <c r="F435" s="145"/>
      <c r="G435" s="145"/>
      <c r="H435" s="145"/>
      <c r="I435" s="145"/>
      <c r="J435" s="145"/>
      <c r="K435" s="145"/>
      <c r="L435" s="146"/>
    </row>
    <row r="436" spans="5:12">
      <c r="E436" s="145"/>
      <c r="F436" s="145"/>
      <c r="G436" s="145"/>
      <c r="H436" s="145"/>
      <c r="I436" s="145"/>
      <c r="J436" s="145"/>
      <c r="K436" s="145"/>
      <c r="L436" s="146"/>
    </row>
    <row r="437" spans="5:12">
      <c r="E437" s="145"/>
      <c r="F437" s="145"/>
      <c r="G437" s="145"/>
      <c r="H437" s="145"/>
      <c r="I437" s="145"/>
      <c r="J437" s="145"/>
      <c r="K437" s="145"/>
      <c r="L437" s="146"/>
    </row>
    <row r="438" spans="5:12">
      <c r="E438" s="145"/>
      <c r="F438" s="145"/>
      <c r="G438" s="145"/>
      <c r="H438" s="145"/>
      <c r="I438" s="145"/>
      <c r="J438" s="145"/>
      <c r="K438" s="145"/>
      <c r="L438" s="146"/>
    </row>
    <row r="439" spans="5:12">
      <c r="E439" s="145"/>
      <c r="F439" s="145"/>
      <c r="G439" s="145"/>
      <c r="H439" s="145"/>
      <c r="I439" s="145"/>
      <c r="J439" s="145"/>
      <c r="K439" s="145"/>
      <c r="L439" s="146"/>
    </row>
    <row r="440" spans="5:12">
      <c r="E440" s="145"/>
      <c r="F440" s="145"/>
      <c r="G440" s="145"/>
      <c r="H440" s="145"/>
      <c r="I440" s="145"/>
      <c r="J440" s="145"/>
      <c r="K440" s="145"/>
      <c r="L440" s="146"/>
    </row>
    <row r="441" spans="5:12">
      <c r="E441" s="145"/>
      <c r="F441" s="145"/>
      <c r="G441" s="145"/>
      <c r="H441" s="145"/>
      <c r="I441" s="145"/>
      <c r="J441" s="145"/>
      <c r="K441" s="145"/>
      <c r="L441" s="146"/>
    </row>
    <row r="442" spans="5:12">
      <c r="E442" s="145"/>
      <c r="F442" s="145"/>
      <c r="G442" s="145"/>
      <c r="H442" s="145"/>
      <c r="I442" s="145"/>
      <c r="J442" s="145"/>
      <c r="K442" s="145"/>
      <c r="L442" s="146"/>
    </row>
    <row r="443" spans="5:12">
      <c r="E443" s="145"/>
      <c r="F443" s="145"/>
      <c r="G443" s="145"/>
      <c r="H443" s="145"/>
      <c r="I443" s="145"/>
      <c r="J443" s="145"/>
      <c r="K443" s="145"/>
      <c r="L443" s="146"/>
    </row>
    <row r="444" spans="5:12">
      <c r="E444" s="145"/>
      <c r="F444" s="145"/>
      <c r="G444" s="145"/>
      <c r="H444" s="145"/>
      <c r="I444" s="145"/>
      <c r="J444" s="145"/>
      <c r="K444" s="145"/>
      <c r="L444" s="146"/>
    </row>
    <row r="445" spans="5:12">
      <c r="E445" s="145"/>
      <c r="F445" s="145"/>
      <c r="G445" s="145"/>
      <c r="H445" s="145"/>
      <c r="I445" s="145"/>
      <c r="J445" s="145"/>
      <c r="K445" s="145"/>
      <c r="L445" s="146"/>
    </row>
    <row r="446" spans="5:12">
      <c r="E446" s="145"/>
      <c r="F446" s="145"/>
      <c r="G446" s="145"/>
      <c r="H446" s="145"/>
      <c r="I446" s="145"/>
      <c r="J446" s="145"/>
      <c r="K446" s="145"/>
      <c r="L446" s="146"/>
    </row>
    <row r="447" spans="5:12">
      <c r="E447" s="145"/>
      <c r="F447" s="145"/>
      <c r="G447" s="145"/>
      <c r="H447" s="145"/>
      <c r="I447" s="145"/>
      <c r="J447" s="145"/>
      <c r="K447" s="145"/>
      <c r="L447" s="146"/>
    </row>
    <row r="448" spans="5:12">
      <c r="E448" s="145"/>
      <c r="F448" s="145"/>
      <c r="G448" s="145"/>
      <c r="H448" s="145"/>
      <c r="I448" s="145"/>
      <c r="J448" s="145"/>
      <c r="K448" s="145"/>
      <c r="L448" s="146"/>
    </row>
    <row r="449" spans="5:12">
      <c r="E449" s="145"/>
      <c r="F449" s="145"/>
      <c r="G449" s="145"/>
      <c r="H449" s="145"/>
      <c r="I449" s="145"/>
      <c r="J449" s="145"/>
      <c r="K449" s="145"/>
      <c r="L449" s="146"/>
    </row>
    <row r="450" spans="5:12">
      <c r="E450" s="145"/>
      <c r="F450" s="145"/>
      <c r="G450" s="145"/>
      <c r="H450" s="145"/>
      <c r="I450" s="145"/>
      <c r="J450" s="145"/>
      <c r="K450" s="145"/>
      <c r="L450" s="146"/>
    </row>
    <row r="451" spans="5:12">
      <c r="E451" s="145"/>
      <c r="F451" s="145"/>
      <c r="G451" s="145"/>
      <c r="H451" s="145"/>
      <c r="I451" s="145"/>
      <c r="J451" s="145"/>
      <c r="K451" s="145"/>
      <c r="L451" s="146"/>
    </row>
    <row r="452" spans="5:12">
      <c r="E452" s="145"/>
      <c r="F452" s="145"/>
      <c r="G452" s="145"/>
      <c r="H452" s="145"/>
      <c r="I452" s="145"/>
      <c r="J452" s="145"/>
      <c r="K452" s="145"/>
      <c r="L452" s="146"/>
    </row>
    <row r="453" spans="5:12">
      <c r="E453" s="145"/>
      <c r="F453" s="145"/>
      <c r="G453" s="145"/>
      <c r="H453" s="145"/>
      <c r="I453" s="145"/>
      <c r="J453" s="145"/>
      <c r="K453" s="145"/>
      <c r="L453" s="146"/>
    </row>
    <row r="454" spans="5:12">
      <c r="E454" s="145"/>
      <c r="F454" s="145"/>
      <c r="G454" s="145"/>
      <c r="H454" s="145"/>
      <c r="I454" s="145"/>
      <c r="J454" s="145"/>
      <c r="K454" s="145"/>
      <c r="L454" s="146"/>
    </row>
    <row r="455" spans="5:12">
      <c r="E455" s="145"/>
      <c r="F455" s="145"/>
      <c r="G455" s="145"/>
      <c r="H455" s="145"/>
      <c r="I455" s="145"/>
      <c r="J455" s="145"/>
      <c r="K455" s="145"/>
      <c r="L455" s="146"/>
    </row>
    <row r="456" spans="5:12">
      <c r="E456" s="145"/>
      <c r="F456" s="145"/>
      <c r="G456" s="145"/>
      <c r="H456" s="145"/>
      <c r="I456" s="145"/>
      <c r="J456" s="145"/>
      <c r="K456" s="145"/>
      <c r="L456" s="146"/>
    </row>
    <row r="457" spans="5:12">
      <c r="E457" s="145"/>
      <c r="F457" s="145"/>
      <c r="G457" s="145"/>
      <c r="H457" s="145"/>
      <c r="I457" s="145"/>
      <c r="J457" s="145"/>
      <c r="K457" s="145"/>
      <c r="L457" s="146"/>
    </row>
    <row r="458" spans="5:12">
      <c r="E458" s="145"/>
      <c r="F458" s="145"/>
      <c r="G458" s="145"/>
      <c r="H458" s="145"/>
      <c r="I458" s="145"/>
      <c r="J458" s="145"/>
      <c r="K458" s="145"/>
      <c r="L458" s="146"/>
    </row>
    <row r="459" spans="5:12">
      <c r="E459" s="145"/>
      <c r="F459" s="145"/>
      <c r="G459" s="145"/>
      <c r="H459" s="145"/>
      <c r="I459" s="145"/>
      <c r="J459" s="145"/>
      <c r="K459" s="145"/>
      <c r="L459" s="146"/>
    </row>
    <row r="460" spans="5:12">
      <c r="E460" s="145"/>
      <c r="F460" s="145"/>
      <c r="G460" s="145"/>
      <c r="H460" s="145"/>
      <c r="I460" s="145"/>
      <c r="J460" s="145"/>
      <c r="K460" s="145"/>
      <c r="L460" s="146"/>
    </row>
    <row r="461" spans="5:12">
      <c r="E461" s="145"/>
      <c r="F461" s="145"/>
      <c r="G461" s="145"/>
      <c r="H461" s="145"/>
      <c r="I461" s="145"/>
      <c r="J461" s="145"/>
      <c r="K461" s="145"/>
      <c r="L461" s="146"/>
    </row>
    <row r="462" spans="5:12">
      <c r="E462" s="145"/>
      <c r="F462" s="145"/>
      <c r="G462" s="145"/>
      <c r="H462" s="145"/>
      <c r="I462" s="145"/>
      <c r="J462" s="145"/>
      <c r="K462" s="145"/>
      <c r="L462" s="146"/>
    </row>
    <row r="463" spans="5:12">
      <c r="E463" s="145"/>
      <c r="F463" s="145"/>
      <c r="G463" s="145"/>
      <c r="H463" s="145"/>
      <c r="I463" s="145"/>
      <c r="J463" s="145"/>
      <c r="K463" s="145"/>
      <c r="L463" s="146"/>
    </row>
    <row r="464" spans="5:12">
      <c r="E464" s="145"/>
      <c r="F464" s="145"/>
      <c r="G464" s="145"/>
      <c r="H464" s="145"/>
      <c r="I464" s="145"/>
      <c r="J464" s="145"/>
      <c r="K464" s="145"/>
      <c r="L464" s="146"/>
    </row>
    <row r="465" spans="5:12">
      <c r="E465" s="145"/>
      <c r="F465" s="145"/>
      <c r="G465" s="145"/>
      <c r="H465" s="145"/>
      <c r="I465" s="145"/>
      <c r="J465" s="145"/>
      <c r="K465" s="145"/>
      <c r="L465" s="146"/>
    </row>
    <row r="466" spans="5:12">
      <c r="E466" s="145"/>
      <c r="F466" s="145"/>
      <c r="G466" s="145"/>
      <c r="H466" s="145"/>
      <c r="I466" s="145"/>
      <c r="J466" s="145"/>
      <c r="K466" s="145"/>
      <c r="L466" s="146"/>
    </row>
    <row r="467" spans="5:12">
      <c r="E467" s="145"/>
      <c r="F467" s="145"/>
      <c r="G467" s="145"/>
      <c r="H467" s="145"/>
      <c r="I467" s="145"/>
      <c r="J467" s="145"/>
      <c r="K467" s="145"/>
      <c r="L467" s="146"/>
    </row>
    <row r="468" spans="5:12">
      <c r="E468" s="145"/>
      <c r="F468" s="145"/>
      <c r="G468" s="145"/>
      <c r="H468" s="145"/>
      <c r="I468" s="145"/>
      <c r="J468" s="145"/>
      <c r="K468" s="145"/>
      <c r="L468" s="146"/>
    </row>
    <row r="469" spans="5:12">
      <c r="E469" s="145"/>
      <c r="F469" s="145"/>
      <c r="G469" s="145"/>
      <c r="H469" s="145"/>
      <c r="I469" s="145"/>
      <c r="J469" s="145"/>
      <c r="K469" s="145"/>
      <c r="L469" s="146"/>
    </row>
    <row r="470" spans="5:12">
      <c r="E470" s="145"/>
      <c r="F470" s="145"/>
      <c r="G470" s="145"/>
      <c r="H470" s="145"/>
      <c r="I470" s="145"/>
      <c r="J470" s="145"/>
      <c r="K470" s="145"/>
      <c r="L470" s="146"/>
    </row>
    <row r="471" spans="5:12">
      <c r="E471" s="145"/>
      <c r="F471" s="145"/>
      <c r="G471" s="145"/>
      <c r="H471" s="145"/>
      <c r="I471" s="145"/>
      <c r="J471" s="145"/>
      <c r="K471" s="145"/>
      <c r="L471" s="146"/>
    </row>
    <row r="472" spans="5:12">
      <c r="E472" s="145"/>
      <c r="F472" s="145"/>
      <c r="G472" s="145"/>
      <c r="H472" s="145"/>
      <c r="I472" s="145"/>
      <c r="J472" s="145"/>
      <c r="K472" s="145"/>
      <c r="L472" s="146"/>
    </row>
    <row r="473" spans="5:12">
      <c r="E473" s="145"/>
      <c r="F473" s="145"/>
      <c r="G473" s="145"/>
      <c r="H473" s="145"/>
      <c r="I473" s="145"/>
      <c r="J473" s="145"/>
      <c r="K473" s="145"/>
      <c r="L473" s="146"/>
    </row>
    <row r="474" spans="5:12">
      <c r="E474" s="145"/>
      <c r="F474" s="145"/>
      <c r="G474" s="145"/>
      <c r="H474" s="145"/>
      <c r="I474" s="145"/>
      <c r="J474" s="145"/>
      <c r="K474" s="145"/>
      <c r="L474" s="146"/>
    </row>
    <row r="475" spans="5:12">
      <c r="E475" s="145"/>
      <c r="F475" s="145"/>
      <c r="G475" s="145"/>
      <c r="H475" s="145"/>
      <c r="I475" s="145"/>
      <c r="J475" s="145"/>
      <c r="K475" s="145"/>
      <c r="L475" s="146"/>
    </row>
    <row r="476" spans="5:12">
      <c r="E476" s="145"/>
      <c r="F476" s="145"/>
      <c r="G476" s="145"/>
      <c r="H476" s="145"/>
      <c r="I476" s="145"/>
      <c r="J476" s="145"/>
      <c r="K476" s="145"/>
      <c r="L476" s="146"/>
    </row>
    <row r="477" spans="5:12">
      <c r="E477" s="145"/>
      <c r="F477" s="145"/>
      <c r="G477" s="145"/>
      <c r="H477" s="145"/>
      <c r="I477" s="145"/>
      <c r="J477" s="145"/>
      <c r="K477" s="145"/>
      <c r="L477" s="146"/>
    </row>
    <row r="478" spans="5:12">
      <c r="E478" s="145"/>
      <c r="F478" s="145"/>
      <c r="G478" s="145"/>
      <c r="H478" s="145"/>
      <c r="I478" s="145"/>
      <c r="J478" s="145"/>
      <c r="K478" s="145"/>
      <c r="L478" s="146"/>
    </row>
    <row r="479" spans="5:12">
      <c r="E479" s="145"/>
      <c r="F479" s="145"/>
      <c r="G479" s="145"/>
      <c r="H479" s="145"/>
      <c r="I479" s="145"/>
      <c r="J479" s="145"/>
      <c r="K479" s="145"/>
      <c r="L479" s="146"/>
    </row>
    <row r="480" spans="5:12">
      <c r="E480" s="145"/>
      <c r="F480" s="145"/>
      <c r="G480" s="145"/>
      <c r="H480" s="145"/>
      <c r="I480" s="145"/>
      <c r="J480" s="145"/>
      <c r="K480" s="145"/>
      <c r="L480" s="146"/>
    </row>
    <row r="481" spans="5:12">
      <c r="E481" s="145"/>
      <c r="F481" s="145"/>
      <c r="G481" s="145"/>
      <c r="H481" s="145"/>
      <c r="I481" s="145"/>
      <c r="J481" s="145"/>
      <c r="K481" s="145"/>
      <c r="L481" s="146"/>
    </row>
    <row r="482" spans="5:12">
      <c r="E482" s="145"/>
      <c r="F482" s="145"/>
      <c r="G482" s="145"/>
      <c r="H482" s="145"/>
      <c r="I482" s="145"/>
      <c r="J482" s="145"/>
      <c r="K482" s="145"/>
      <c r="L482" s="146"/>
    </row>
    <row r="483" spans="5:12">
      <c r="E483" s="145"/>
      <c r="F483" s="145"/>
      <c r="G483" s="145"/>
      <c r="H483" s="145"/>
      <c r="I483" s="145"/>
      <c r="J483" s="145"/>
      <c r="K483" s="145"/>
      <c r="L483" s="146"/>
    </row>
    <row r="484" spans="5:12">
      <c r="E484" s="145"/>
      <c r="F484" s="145"/>
      <c r="G484" s="145"/>
      <c r="H484" s="145"/>
      <c r="I484" s="145"/>
      <c r="J484" s="145"/>
      <c r="K484" s="145"/>
      <c r="L484" s="146"/>
    </row>
    <row r="485" spans="5:12">
      <c r="E485" s="145"/>
      <c r="F485" s="145"/>
      <c r="G485" s="145"/>
      <c r="H485" s="145"/>
      <c r="I485" s="145"/>
      <c r="J485" s="145"/>
      <c r="K485" s="145"/>
      <c r="L485" s="146"/>
    </row>
    <row r="486" spans="5:12">
      <c r="E486" s="145"/>
      <c r="F486" s="145"/>
      <c r="G486" s="145"/>
      <c r="H486" s="145"/>
      <c r="I486" s="145"/>
      <c r="J486" s="145"/>
      <c r="K486" s="145"/>
      <c r="L486" s="146"/>
    </row>
    <row r="487" spans="5:12">
      <c r="E487" s="145"/>
      <c r="F487" s="145"/>
      <c r="G487" s="145"/>
      <c r="H487" s="145"/>
      <c r="I487" s="145"/>
      <c r="J487" s="145"/>
      <c r="K487" s="145"/>
      <c r="L487" s="146"/>
    </row>
    <row r="488" spans="5:12">
      <c r="E488" s="145"/>
      <c r="F488" s="145"/>
      <c r="G488" s="145"/>
      <c r="H488" s="145"/>
      <c r="I488" s="145"/>
      <c r="J488" s="145"/>
      <c r="K488" s="145"/>
      <c r="L488" s="146"/>
    </row>
    <row r="489" spans="5:12">
      <c r="E489" s="145"/>
      <c r="F489" s="145"/>
      <c r="G489" s="145"/>
      <c r="H489" s="145"/>
      <c r="I489" s="145"/>
      <c r="J489" s="145"/>
      <c r="K489" s="145"/>
      <c r="L489" s="146"/>
    </row>
    <row r="490" spans="5:12">
      <c r="E490" s="145"/>
      <c r="F490" s="145"/>
      <c r="G490" s="145"/>
      <c r="H490" s="145"/>
      <c r="I490" s="145"/>
      <c r="J490" s="145"/>
      <c r="K490" s="145"/>
      <c r="L490" s="146"/>
    </row>
    <row r="491" spans="5:12">
      <c r="E491" s="145"/>
      <c r="F491" s="145"/>
      <c r="G491" s="145"/>
      <c r="H491" s="145"/>
      <c r="I491" s="145"/>
      <c r="J491" s="145"/>
      <c r="K491" s="145"/>
      <c r="L491" s="146"/>
    </row>
    <row r="492" spans="5:12">
      <c r="E492" s="145"/>
      <c r="F492" s="145"/>
      <c r="G492" s="145"/>
      <c r="H492" s="145"/>
      <c r="I492" s="145"/>
      <c r="J492" s="145"/>
      <c r="K492" s="145"/>
      <c r="L492" s="146"/>
    </row>
    <row r="493" spans="5:12">
      <c r="E493" s="145"/>
      <c r="F493" s="145"/>
      <c r="G493" s="145"/>
      <c r="H493" s="145"/>
      <c r="I493" s="145"/>
      <c r="J493" s="145"/>
      <c r="K493" s="145"/>
      <c r="L493" s="146"/>
    </row>
    <row r="494" spans="5:12">
      <c r="E494" s="145"/>
      <c r="F494" s="145"/>
      <c r="G494" s="145"/>
      <c r="H494" s="145"/>
      <c r="I494" s="145"/>
      <c r="J494" s="145"/>
      <c r="K494" s="145"/>
      <c r="L494" s="146"/>
    </row>
    <row r="495" spans="5:12">
      <c r="E495" s="145"/>
      <c r="F495" s="145"/>
      <c r="G495" s="145"/>
      <c r="H495" s="145"/>
      <c r="I495" s="145"/>
      <c r="J495" s="145"/>
      <c r="K495" s="145"/>
      <c r="L495" s="146"/>
    </row>
    <row r="496" spans="5:12">
      <c r="E496" s="145"/>
      <c r="F496" s="145"/>
      <c r="G496" s="145"/>
      <c r="H496" s="145"/>
      <c r="I496" s="145"/>
      <c r="J496" s="145"/>
      <c r="K496" s="145"/>
      <c r="L496" s="146"/>
    </row>
    <row r="497" spans="5:12">
      <c r="E497" s="145"/>
      <c r="F497" s="145"/>
      <c r="G497" s="145"/>
      <c r="H497" s="145"/>
      <c r="I497" s="145"/>
      <c r="J497" s="145"/>
      <c r="K497" s="145"/>
      <c r="L497" s="146"/>
    </row>
    <row r="498" spans="5:12">
      <c r="E498" s="145"/>
      <c r="F498" s="145"/>
      <c r="G498" s="145"/>
      <c r="H498" s="145"/>
      <c r="I498" s="145"/>
      <c r="J498" s="145"/>
      <c r="K498" s="145"/>
      <c r="L498" s="146"/>
    </row>
    <row r="499" spans="5:12">
      <c r="E499" s="145"/>
      <c r="F499" s="145"/>
      <c r="G499" s="145"/>
      <c r="H499" s="145"/>
      <c r="I499" s="145"/>
      <c r="J499" s="145"/>
      <c r="K499" s="145"/>
      <c r="L499" s="146"/>
    </row>
    <row r="500" spans="5:12">
      <c r="E500" s="145"/>
      <c r="F500" s="145"/>
      <c r="G500" s="145"/>
      <c r="H500" s="145"/>
      <c r="I500" s="145"/>
      <c r="J500" s="145"/>
      <c r="K500" s="145"/>
      <c r="L500" s="146"/>
    </row>
    <row r="501" spans="5:12">
      <c r="E501" s="145"/>
      <c r="F501" s="145"/>
      <c r="G501" s="145"/>
      <c r="H501" s="145"/>
      <c r="I501" s="145"/>
      <c r="J501" s="145"/>
      <c r="K501" s="145"/>
      <c r="L501" s="146"/>
    </row>
    <row r="502" spans="5:12">
      <c r="E502" s="145"/>
      <c r="F502" s="145"/>
      <c r="G502" s="145"/>
      <c r="H502" s="145"/>
      <c r="I502" s="145"/>
      <c r="J502" s="145"/>
      <c r="K502" s="145"/>
      <c r="L502" s="146"/>
    </row>
    <row r="503" spans="5:12">
      <c r="E503" s="145"/>
      <c r="F503" s="145"/>
      <c r="G503" s="145"/>
      <c r="H503" s="145"/>
      <c r="I503" s="145"/>
      <c r="J503" s="145"/>
      <c r="K503" s="145"/>
      <c r="L503" s="146"/>
    </row>
    <row r="504" spans="5:12">
      <c r="E504" s="145"/>
      <c r="F504" s="145"/>
      <c r="G504" s="145"/>
      <c r="H504" s="145"/>
      <c r="I504" s="145"/>
      <c r="J504" s="145"/>
      <c r="K504" s="145"/>
      <c r="L504" s="146"/>
    </row>
    <row r="505" spans="5:12">
      <c r="E505" s="145"/>
      <c r="F505" s="145"/>
      <c r="G505" s="145"/>
      <c r="H505" s="145"/>
      <c r="I505" s="145"/>
      <c r="J505" s="145"/>
      <c r="K505" s="145"/>
      <c r="L505" s="146"/>
    </row>
    <row r="506" spans="5:12">
      <c r="E506" s="145"/>
      <c r="F506" s="145"/>
      <c r="G506" s="145"/>
      <c r="H506" s="145"/>
      <c r="I506" s="145"/>
      <c r="J506" s="145"/>
      <c r="K506" s="145"/>
      <c r="L506" s="146"/>
    </row>
    <row r="507" spans="5:12">
      <c r="E507" s="145"/>
      <c r="F507" s="145"/>
      <c r="G507" s="145"/>
      <c r="H507" s="145"/>
      <c r="I507" s="145"/>
      <c r="J507" s="145"/>
      <c r="K507" s="145"/>
      <c r="L507" s="146"/>
    </row>
    <row r="508" spans="5:12">
      <c r="E508" s="145"/>
      <c r="F508" s="145"/>
      <c r="G508" s="145"/>
      <c r="H508" s="145"/>
      <c r="I508" s="145"/>
      <c r="J508" s="145"/>
      <c r="K508" s="145"/>
      <c r="L508" s="146"/>
    </row>
    <row r="509" spans="5:12">
      <c r="E509" s="145"/>
      <c r="F509" s="145"/>
      <c r="G509" s="145"/>
      <c r="H509" s="145"/>
      <c r="I509" s="145"/>
      <c r="J509" s="145"/>
      <c r="K509" s="145"/>
      <c r="L509" s="146"/>
    </row>
    <row r="510" spans="5:12">
      <c r="E510" s="145"/>
      <c r="F510" s="145"/>
      <c r="G510" s="145"/>
      <c r="H510" s="145"/>
      <c r="I510" s="145"/>
      <c r="J510" s="145"/>
      <c r="K510" s="145"/>
      <c r="L510" s="146"/>
    </row>
    <row r="511" spans="5:12">
      <c r="E511" s="145"/>
      <c r="F511" s="145"/>
      <c r="G511" s="145"/>
      <c r="H511" s="145"/>
      <c r="I511" s="145"/>
      <c r="J511" s="145"/>
      <c r="K511" s="145"/>
      <c r="L511" s="146"/>
    </row>
    <row r="512" spans="5:12">
      <c r="E512" s="145"/>
      <c r="F512" s="145"/>
      <c r="G512" s="145"/>
      <c r="H512" s="145"/>
      <c r="I512" s="145"/>
      <c r="J512" s="145"/>
      <c r="K512" s="145"/>
      <c r="L512" s="146"/>
    </row>
    <row r="513" spans="5:12">
      <c r="E513" s="145"/>
      <c r="F513" s="145"/>
      <c r="G513" s="145"/>
      <c r="H513" s="145"/>
      <c r="I513" s="145"/>
      <c r="J513" s="145"/>
      <c r="K513" s="145"/>
      <c r="L513" s="146"/>
    </row>
    <row r="514" spans="5:12">
      <c r="E514" s="145"/>
      <c r="F514" s="145"/>
      <c r="G514" s="145"/>
      <c r="H514" s="145"/>
      <c r="I514" s="145"/>
      <c r="J514" s="145"/>
      <c r="K514" s="145"/>
      <c r="L514" s="146"/>
    </row>
    <row r="515" spans="5:12">
      <c r="E515" s="145"/>
      <c r="F515" s="145"/>
      <c r="G515" s="145"/>
      <c r="H515" s="145"/>
      <c r="I515" s="145"/>
      <c r="J515" s="145"/>
      <c r="K515" s="145"/>
      <c r="L515" s="146"/>
    </row>
    <row r="516" spans="5:12">
      <c r="E516" s="145"/>
      <c r="F516" s="145"/>
      <c r="G516" s="145"/>
      <c r="H516" s="145"/>
      <c r="I516" s="145"/>
      <c r="J516" s="145"/>
      <c r="K516" s="145"/>
      <c r="L516" s="146"/>
    </row>
    <row r="517" spans="5:12">
      <c r="E517" s="145"/>
      <c r="F517" s="145"/>
      <c r="G517" s="145"/>
      <c r="H517" s="145"/>
      <c r="I517" s="145"/>
      <c r="J517" s="145"/>
      <c r="K517" s="145"/>
      <c r="L517" s="146"/>
    </row>
    <row r="518" spans="5:12">
      <c r="E518" s="145"/>
      <c r="F518" s="145"/>
      <c r="G518" s="145"/>
      <c r="H518" s="145"/>
      <c r="I518" s="145"/>
      <c r="J518" s="145"/>
      <c r="K518" s="145"/>
      <c r="L518" s="146"/>
    </row>
    <row r="519" spans="5:12">
      <c r="E519" s="145"/>
      <c r="F519" s="145"/>
      <c r="G519" s="145"/>
      <c r="H519" s="145"/>
      <c r="I519" s="145"/>
      <c r="J519" s="145"/>
      <c r="K519" s="145"/>
      <c r="L519" s="146"/>
    </row>
    <row r="520" spans="5:12">
      <c r="E520" s="145"/>
      <c r="F520" s="145"/>
      <c r="G520" s="145"/>
      <c r="H520" s="145"/>
      <c r="I520" s="145"/>
      <c r="J520" s="145"/>
      <c r="K520" s="145"/>
      <c r="L520" s="146"/>
    </row>
    <row r="521" spans="5:12">
      <c r="E521" s="145"/>
      <c r="F521" s="145"/>
      <c r="G521" s="145"/>
      <c r="H521" s="145"/>
      <c r="I521" s="145"/>
      <c r="J521" s="145"/>
      <c r="K521" s="145"/>
      <c r="L521" s="146"/>
    </row>
    <row r="522" spans="5:12">
      <c r="E522" s="145"/>
      <c r="F522" s="145"/>
      <c r="G522" s="145"/>
      <c r="H522" s="145"/>
      <c r="I522" s="145"/>
      <c r="J522" s="145"/>
      <c r="K522" s="145"/>
      <c r="L522" s="146"/>
    </row>
    <row r="523" spans="5:12">
      <c r="E523" s="145"/>
      <c r="F523" s="145"/>
      <c r="G523" s="145"/>
      <c r="H523" s="145"/>
      <c r="I523" s="145"/>
      <c r="J523" s="145"/>
      <c r="K523" s="145"/>
      <c r="L523" s="146"/>
    </row>
    <row r="524" spans="5:12">
      <c r="E524" s="145"/>
      <c r="F524" s="145"/>
      <c r="G524" s="145"/>
      <c r="H524" s="145"/>
      <c r="I524" s="145"/>
      <c r="J524" s="145"/>
      <c r="K524" s="145"/>
      <c r="L524" s="146"/>
    </row>
    <row r="525" spans="5:12">
      <c r="E525" s="145"/>
      <c r="F525" s="145"/>
      <c r="G525" s="145"/>
      <c r="H525" s="145"/>
      <c r="I525" s="145"/>
      <c r="J525" s="145"/>
      <c r="K525" s="145"/>
      <c r="L525" s="146"/>
    </row>
    <row r="526" spans="5:12">
      <c r="E526" s="145"/>
      <c r="F526" s="145"/>
      <c r="G526" s="145"/>
      <c r="H526" s="145"/>
      <c r="I526" s="145"/>
      <c r="J526" s="145"/>
      <c r="K526" s="145"/>
      <c r="L526" s="146"/>
    </row>
    <row r="527" spans="5:12">
      <c r="E527" s="145"/>
      <c r="F527" s="145"/>
      <c r="G527" s="145"/>
      <c r="H527" s="145"/>
      <c r="I527" s="145"/>
      <c r="J527" s="145"/>
      <c r="K527" s="145"/>
      <c r="L527" s="146"/>
    </row>
    <row r="528" spans="5:12">
      <c r="E528" s="145"/>
      <c r="F528" s="145"/>
      <c r="G528" s="145"/>
      <c r="H528" s="145"/>
      <c r="I528" s="145"/>
      <c r="J528" s="145"/>
      <c r="K528" s="145"/>
      <c r="L528" s="146"/>
    </row>
    <row r="529" spans="5:12">
      <c r="E529" s="145"/>
      <c r="F529" s="145"/>
      <c r="G529" s="145"/>
      <c r="H529" s="145"/>
      <c r="I529" s="145"/>
      <c r="J529" s="145"/>
      <c r="K529" s="145"/>
      <c r="L529" s="146"/>
    </row>
    <row r="530" spans="5:12">
      <c r="E530" s="145"/>
      <c r="F530" s="145"/>
      <c r="G530" s="145"/>
      <c r="H530" s="145"/>
      <c r="I530" s="145"/>
      <c r="J530" s="145"/>
      <c r="K530" s="145"/>
      <c r="L530" s="146"/>
    </row>
    <row r="531" spans="5:12">
      <c r="E531" s="145"/>
      <c r="F531" s="145"/>
      <c r="G531" s="145"/>
      <c r="H531" s="145"/>
      <c r="I531" s="145"/>
      <c r="J531" s="145"/>
      <c r="K531" s="145"/>
      <c r="L531" s="146"/>
    </row>
    <row r="532" spans="5:12">
      <c r="E532" s="145"/>
      <c r="F532" s="145"/>
      <c r="G532" s="145"/>
      <c r="H532" s="145"/>
      <c r="I532" s="145"/>
      <c r="J532" s="145"/>
      <c r="K532" s="145"/>
      <c r="L532" s="146"/>
    </row>
    <row r="533" spans="5:12">
      <c r="E533" s="145"/>
      <c r="F533" s="145"/>
      <c r="G533" s="145"/>
      <c r="H533" s="145"/>
      <c r="I533" s="145"/>
      <c r="J533" s="145"/>
      <c r="K533" s="145"/>
      <c r="L533" s="146"/>
    </row>
    <row r="534" spans="5:12">
      <c r="E534" s="145"/>
      <c r="F534" s="145"/>
      <c r="G534" s="145"/>
      <c r="H534" s="145"/>
      <c r="I534" s="145"/>
      <c r="J534" s="145"/>
      <c r="K534" s="145"/>
      <c r="L534" s="146"/>
    </row>
    <row r="535" spans="5:12">
      <c r="E535" s="145"/>
      <c r="F535" s="145"/>
      <c r="G535" s="145"/>
      <c r="H535" s="145"/>
      <c r="I535" s="145"/>
      <c r="J535" s="145"/>
      <c r="K535" s="145"/>
      <c r="L535" s="146"/>
    </row>
    <row r="536" spans="5:12">
      <c r="E536" s="145"/>
      <c r="F536" s="145"/>
      <c r="G536" s="145"/>
      <c r="H536" s="145"/>
      <c r="I536" s="145"/>
      <c r="J536" s="145"/>
      <c r="K536" s="145"/>
      <c r="L536" s="146"/>
    </row>
    <row r="537" spans="5:12">
      <c r="E537" s="145"/>
      <c r="F537" s="145"/>
      <c r="G537" s="145"/>
      <c r="H537" s="145"/>
      <c r="I537" s="145"/>
      <c r="J537" s="145"/>
      <c r="K537" s="145"/>
      <c r="L537" s="146"/>
    </row>
    <row r="538" spans="5:12">
      <c r="E538" s="145"/>
      <c r="F538" s="145"/>
      <c r="G538" s="145"/>
      <c r="H538" s="145"/>
      <c r="I538" s="145"/>
      <c r="J538" s="145"/>
      <c r="K538" s="145"/>
      <c r="L538" s="146"/>
    </row>
    <row r="539" spans="5:12">
      <c r="E539" s="145"/>
      <c r="F539" s="145"/>
      <c r="G539" s="145"/>
      <c r="H539" s="145"/>
      <c r="I539" s="145"/>
      <c r="J539" s="145"/>
      <c r="K539" s="145"/>
      <c r="L539" s="146"/>
    </row>
    <row r="540" spans="5:12">
      <c r="E540" s="145"/>
      <c r="F540" s="145"/>
      <c r="G540" s="145"/>
      <c r="H540" s="145"/>
      <c r="I540" s="145"/>
      <c r="J540" s="145"/>
      <c r="K540" s="145"/>
      <c r="L540" s="146"/>
    </row>
    <row r="541" spans="5:12">
      <c r="E541" s="145"/>
      <c r="F541" s="145"/>
      <c r="G541" s="145"/>
      <c r="H541" s="145"/>
      <c r="I541" s="145"/>
      <c r="J541" s="145"/>
      <c r="K541" s="145"/>
      <c r="L541" s="146"/>
    </row>
    <row r="542" spans="5:12">
      <c r="E542" s="145"/>
      <c r="F542" s="145"/>
      <c r="G542" s="145"/>
      <c r="H542" s="145"/>
      <c r="I542" s="145"/>
      <c r="J542" s="145"/>
      <c r="K542" s="145"/>
      <c r="L542" s="146"/>
    </row>
    <row r="543" spans="5:12">
      <c r="E543" s="145"/>
      <c r="F543" s="145"/>
      <c r="G543" s="145"/>
      <c r="H543" s="145"/>
      <c r="I543" s="145"/>
      <c r="J543" s="145"/>
      <c r="K543" s="145"/>
      <c r="L543" s="146"/>
    </row>
    <row r="544" spans="5:12">
      <c r="E544" s="145"/>
      <c r="F544" s="145"/>
      <c r="G544" s="145"/>
      <c r="H544" s="145"/>
      <c r="I544" s="145"/>
      <c r="J544" s="145"/>
      <c r="K544" s="145"/>
      <c r="L544" s="146"/>
    </row>
    <row r="545" spans="5:12">
      <c r="E545" s="145"/>
      <c r="F545" s="145"/>
      <c r="G545" s="145"/>
      <c r="H545" s="145"/>
      <c r="I545" s="145"/>
      <c r="J545" s="145"/>
      <c r="K545" s="145"/>
      <c r="L545" s="146"/>
    </row>
    <row r="546" spans="5:12">
      <c r="E546" s="145"/>
      <c r="F546" s="145"/>
      <c r="G546" s="145"/>
      <c r="H546" s="145"/>
      <c r="I546" s="145"/>
      <c r="J546" s="145"/>
      <c r="K546" s="145"/>
      <c r="L546" s="146"/>
    </row>
    <row r="547" spans="5:12">
      <c r="E547" s="145"/>
      <c r="F547" s="145"/>
      <c r="G547" s="145"/>
      <c r="H547" s="145"/>
      <c r="I547" s="145"/>
      <c r="J547" s="145"/>
      <c r="K547" s="145"/>
      <c r="L547" s="146"/>
    </row>
    <row r="548" spans="5:12">
      <c r="E548" s="145"/>
      <c r="F548" s="145"/>
      <c r="G548" s="145"/>
      <c r="H548" s="145"/>
      <c r="I548" s="145"/>
      <c r="J548" s="145"/>
      <c r="K548" s="145"/>
      <c r="L548" s="146"/>
    </row>
    <row r="549" spans="5:12">
      <c r="E549" s="145"/>
      <c r="F549" s="145"/>
      <c r="G549" s="145"/>
      <c r="H549" s="145"/>
      <c r="I549" s="145"/>
      <c r="J549" s="145"/>
      <c r="K549" s="145"/>
      <c r="L549" s="146"/>
    </row>
    <row r="550" spans="5:12">
      <c r="E550" s="145"/>
      <c r="F550" s="145"/>
      <c r="G550" s="145"/>
      <c r="H550" s="145"/>
      <c r="I550" s="145"/>
      <c r="J550" s="145"/>
      <c r="K550" s="145"/>
      <c r="L550" s="146"/>
    </row>
    <row r="551" spans="5:12">
      <c r="E551" s="145"/>
      <c r="F551" s="145"/>
      <c r="G551" s="145"/>
      <c r="H551" s="145"/>
      <c r="I551" s="145"/>
      <c r="J551" s="145"/>
      <c r="K551" s="145"/>
      <c r="L551" s="146"/>
    </row>
    <row r="552" spans="5:12">
      <c r="E552" s="145"/>
      <c r="F552" s="145"/>
      <c r="G552" s="145"/>
      <c r="H552" s="145"/>
      <c r="I552" s="145"/>
      <c r="J552" s="145"/>
      <c r="K552" s="145"/>
      <c r="L552" s="146"/>
    </row>
    <row r="553" spans="5:12">
      <c r="E553" s="145"/>
      <c r="F553" s="145"/>
      <c r="G553" s="145"/>
      <c r="H553" s="145"/>
      <c r="I553" s="145"/>
      <c r="J553" s="145"/>
      <c r="K553" s="145"/>
      <c r="L553" s="146"/>
    </row>
    <row r="554" spans="5:12">
      <c r="E554" s="145"/>
      <c r="F554" s="145"/>
      <c r="G554" s="145"/>
      <c r="H554" s="145"/>
      <c r="I554" s="145"/>
      <c r="J554" s="145"/>
      <c r="K554" s="145"/>
      <c r="L554" s="146"/>
    </row>
    <row r="555" spans="5:12">
      <c r="E555" s="145"/>
      <c r="F555" s="145"/>
      <c r="G555" s="145"/>
      <c r="H555" s="145"/>
      <c r="I555" s="145"/>
      <c r="J555" s="145"/>
      <c r="K555" s="145"/>
      <c r="L555" s="146"/>
    </row>
    <row r="556" spans="5:12">
      <c r="E556" s="145"/>
      <c r="F556" s="145"/>
      <c r="G556" s="145"/>
      <c r="H556" s="145"/>
      <c r="I556" s="145"/>
      <c r="J556" s="145"/>
      <c r="K556" s="145"/>
      <c r="L556" s="146"/>
    </row>
    <row r="557" spans="5:12">
      <c r="E557" s="145"/>
      <c r="F557" s="145"/>
      <c r="G557" s="145"/>
      <c r="H557" s="145"/>
      <c r="I557" s="145"/>
      <c r="J557" s="145"/>
      <c r="K557" s="145"/>
      <c r="L557" s="146"/>
    </row>
    <row r="558" spans="5:12">
      <c r="E558" s="145"/>
      <c r="F558" s="145"/>
      <c r="G558" s="145"/>
      <c r="H558" s="145"/>
      <c r="I558" s="145"/>
      <c r="J558" s="145"/>
      <c r="K558" s="145"/>
      <c r="L558" s="146"/>
    </row>
    <row r="559" spans="5:12">
      <c r="E559" s="145"/>
      <c r="F559" s="145"/>
      <c r="G559" s="145"/>
      <c r="H559" s="145"/>
      <c r="I559" s="145"/>
      <c r="J559" s="145"/>
      <c r="K559" s="145"/>
      <c r="L559" s="146"/>
    </row>
    <row r="560" spans="5:12">
      <c r="E560" s="145"/>
      <c r="F560" s="145"/>
      <c r="G560" s="145"/>
      <c r="H560" s="145"/>
      <c r="I560" s="145"/>
      <c r="J560" s="145"/>
      <c r="K560" s="145"/>
      <c r="L560" s="146"/>
    </row>
    <row r="561" spans="5:12">
      <c r="E561" s="145"/>
      <c r="F561" s="145"/>
      <c r="G561" s="145"/>
      <c r="H561" s="145"/>
      <c r="I561" s="145"/>
      <c r="J561" s="145"/>
      <c r="K561" s="145"/>
      <c r="L561" s="146"/>
    </row>
    <row r="562" spans="5:12">
      <c r="E562" s="145"/>
      <c r="F562" s="145"/>
      <c r="G562" s="145"/>
      <c r="H562" s="145"/>
      <c r="I562" s="145"/>
      <c r="J562" s="145"/>
      <c r="K562" s="145"/>
      <c r="L562" s="146"/>
    </row>
    <row r="563" spans="5:12">
      <c r="E563" s="145"/>
      <c r="F563" s="145"/>
      <c r="G563" s="145"/>
      <c r="H563" s="145"/>
      <c r="I563" s="145"/>
      <c r="J563" s="145"/>
      <c r="K563" s="145"/>
      <c r="L563" s="146"/>
    </row>
    <row r="564" spans="5:12">
      <c r="E564" s="145"/>
      <c r="F564" s="145"/>
      <c r="G564" s="145"/>
      <c r="H564" s="145"/>
      <c r="I564" s="145"/>
      <c r="J564" s="145"/>
      <c r="K564" s="145"/>
      <c r="L564" s="146"/>
    </row>
    <row r="565" spans="5:12">
      <c r="E565" s="145"/>
      <c r="F565" s="145"/>
      <c r="G565" s="145"/>
      <c r="H565" s="145"/>
      <c r="I565" s="145"/>
      <c r="J565" s="145"/>
      <c r="K565" s="145"/>
      <c r="L565" s="146"/>
    </row>
    <row r="566" spans="5:12">
      <c r="E566" s="145"/>
      <c r="F566" s="145"/>
      <c r="G566" s="145"/>
      <c r="H566" s="145"/>
      <c r="I566" s="145"/>
      <c r="J566" s="145"/>
      <c r="K566" s="145"/>
      <c r="L566" s="146"/>
    </row>
    <row r="567" spans="5:12">
      <c r="E567" s="145"/>
      <c r="F567" s="145"/>
      <c r="G567" s="145"/>
      <c r="H567" s="145"/>
      <c r="I567" s="145"/>
      <c r="J567" s="145"/>
      <c r="K567" s="145"/>
      <c r="L567" s="146"/>
    </row>
    <row r="568" spans="5:12">
      <c r="E568" s="145"/>
      <c r="F568" s="145"/>
      <c r="G568" s="145"/>
      <c r="H568" s="145"/>
      <c r="I568" s="145"/>
      <c r="J568" s="145"/>
      <c r="K568" s="145"/>
      <c r="L568" s="146"/>
    </row>
    <row r="569" spans="5:12">
      <c r="E569" s="145"/>
      <c r="F569" s="145"/>
      <c r="G569" s="145"/>
      <c r="H569" s="145"/>
      <c r="I569" s="145"/>
      <c r="J569" s="145"/>
      <c r="K569" s="145"/>
      <c r="L569" s="146"/>
    </row>
    <row r="570" spans="5:12">
      <c r="E570" s="145"/>
      <c r="F570" s="145"/>
      <c r="G570" s="145"/>
      <c r="H570" s="145"/>
      <c r="I570" s="145"/>
      <c r="J570" s="145"/>
      <c r="K570" s="145"/>
      <c r="L570" s="146"/>
    </row>
    <row r="571" spans="5:12">
      <c r="E571" s="145"/>
      <c r="F571" s="145"/>
      <c r="G571" s="145"/>
      <c r="H571" s="145"/>
      <c r="I571" s="145"/>
      <c r="J571" s="145"/>
      <c r="K571" s="145"/>
      <c r="L571" s="146"/>
    </row>
    <row r="572" spans="5:12">
      <c r="E572" s="145"/>
      <c r="F572" s="145"/>
      <c r="G572" s="145"/>
      <c r="H572" s="145"/>
      <c r="I572" s="145"/>
      <c r="J572" s="145"/>
      <c r="K572" s="145"/>
      <c r="L572" s="146"/>
    </row>
    <row r="573" spans="5:12">
      <c r="E573" s="145"/>
      <c r="F573" s="145"/>
      <c r="G573" s="145"/>
      <c r="H573" s="145"/>
      <c r="I573" s="145"/>
      <c r="J573" s="145"/>
      <c r="K573" s="145"/>
      <c r="L573" s="146"/>
    </row>
    <row r="574" spans="5:12">
      <c r="E574" s="145"/>
      <c r="F574" s="145"/>
      <c r="G574" s="145"/>
      <c r="H574" s="145"/>
      <c r="I574" s="145"/>
      <c r="J574" s="145"/>
      <c r="K574" s="145"/>
      <c r="L574" s="146"/>
    </row>
    <row r="575" spans="5:12">
      <c r="E575" s="145"/>
      <c r="F575" s="145"/>
      <c r="G575" s="145"/>
      <c r="H575" s="145"/>
      <c r="I575" s="145"/>
      <c r="J575" s="145"/>
      <c r="K575" s="145"/>
      <c r="L575" s="146"/>
    </row>
    <row r="576" spans="5:12">
      <c r="E576" s="145"/>
      <c r="F576" s="145"/>
      <c r="G576" s="145"/>
      <c r="H576" s="145"/>
      <c r="I576" s="145"/>
      <c r="J576" s="145"/>
      <c r="K576" s="145"/>
      <c r="L576" s="146"/>
    </row>
    <row r="577" spans="5:12">
      <c r="E577" s="145"/>
      <c r="F577" s="145"/>
      <c r="G577" s="145"/>
      <c r="H577" s="145"/>
      <c r="I577" s="145"/>
      <c r="J577" s="145"/>
      <c r="K577" s="145"/>
      <c r="L577" s="146"/>
    </row>
    <row r="578" spans="5:12">
      <c r="E578" s="145"/>
      <c r="F578" s="145"/>
      <c r="G578" s="145"/>
      <c r="H578" s="145"/>
      <c r="I578" s="145"/>
      <c r="J578" s="145"/>
      <c r="K578" s="145"/>
      <c r="L578" s="146"/>
    </row>
    <row r="579" spans="5:12">
      <c r="E579" s="145"/>
      <c r="F579" s="145"/>
      <c r="G579" s="145"/>
      <c r="H579" s="145"/>
      <c r="I579" s="145"/>
      <c r="J579" s="145"/>
      <c r="K579" s="145"/>
      <c r="L579" s="146"/>
    </row>
    <row r="580" spans="5:12">
      <c r="E580" s="145"/>
      <c r="F580" s="145"/>
      <c r="G580" s="145"/>
      <c r="H580" s="145"/>
      <c r="I580" s="145"/>
      <c r="J580" s="145"/>
      <c r="K580" s="145"/>
      <c r="L580" s="146"/>
    </row>
    <row r="581" spans="5:12">
      <c r="E581" s="145"/>
      <c r="F581" s="145"/>
      <c r="G581" s="145"/>
      <c r="H581" s="145"/>
      <c r="I581" s="145"/>
      <c r="J581" s="145"/>
      <c r="K581" s="145"/>
      <c r="L581" s="146"/>
    </row>
    <row r="582" spans="5:12">
      <c r="E582" s="145"/>
      <c r="F582" s="145"/>
      <c r="G582" s="145"/>
      <c r="H582" s="145"/>
      <c r="I582" s="145"/>
      <c r="J582" s="145"/>
      <c r="K582" s="145"/>
      <c r="L582" s="146"/>
    </row>
    <row r="583" spans="5:12">
      <c r="E583" s="145"/>
      <c r="F583" s="145"/>
      <c r="G583" s="145"/>
      <c r="H583" s="145"/>
      <c r="I583" s="145"/>
      <c r="J583" s="145"/>
      <c r="K583" s="145"/>
      <c r="L583" s="146"/>
    </row>
    <row r="584" spans="5:12">
      <c r="E584" s="145"/>
      <c r="F584" s="145"/>
      <c r="G584" s="145"/>
      <c r="H584" s="145"/>
      <c r="I584" s="145"/>
      <c r="J584" s="145"/>
      <c r="K584" s="145"/>
      <c r="L584" s="146"/>
    </row>
    <row r="585" spans="5:12">
      <c r="E585" s="145"/>
      <c r="F585" s="145"/>
      <c r="G585" s="145"/>
      <c r="H585" s="145"/>
      <c r="I585" s="145"/>
      <c r="J585" s="145"/>
      <c r="K585" s="145"/>
      <c r="L585" s="146"/>
    </row>
    <row r="586" spans="5:12">
      <c r="E586" s="145"/>
      <c r="F586" s="145"/>
      <c r="G586" s="145"/>
      <c r="H586" s="145"/>
      <c r="I586" s="145"/>
      <c r="J586" s="145"/>
      <c r="K586" s="145"/>
      <c r="L586" s="146"/>
    </row>
    <row r="587" spans="5:12">
      <c r="E587" s="145"/>
      <c r="F587" s="145"/>
      <c r="G587" s="145"/>
      <c r="H587" s="145"/>
      <c r="I587" s="145"/>
      <c r="J587" s="145"/>
      <c r="K587" s="145"/>
      <c r="L587" s="146"/>
    </row>
    <row r="588" spans="5:12">
      <c r="E588" s="145"/>
      <c r="F588" s="145"/>
      <c r="G588" s="145"/>
      <c r="H588" s="145"/>
      <c r="I588" s="145"/>
      <c r="J588" s="145"/>
      <c r="K588" s="145"/>
      <c r="L588" s="146"/>
    </row>
    <row r="589" spans="5:12">
      <c r="E589" s="145"/>
      <c r="F589" s="145"/>
      <c r="G589" s="145"/>
      <c r="H589" s="145"/>
      <c r="I589" s="145"/>
      <c r="J589" s="145"/>
      <c r="K589" s="145"/>
      <c r="L589" s="146"/>
    </row>
    <row r="590" spans="5:12">
      <c r="E590" s="145"/>
      <c r="F590" s="145"/>
      <c r="G590" s="145"/>
      <c r="H590" s="145"/>
      <c r="I590" s="145"/>
      <c r="J590" s="145"/>
      <c r="K590" s="145"/>
      <c r="L590" s="146"/>
    </row>
    <row r="591" spans="5:12">
      <c r="E591" s="145"/>
      <c r="F591" s="145"/>
      <c r="G591" s="145"/>
      <c r="H591" s="145"/>
      <c r="I591" s="145"/>
      <c r="J591" s="145"/>
      <c r="K591" s="145"/>
      <c r="L591" s="146"/>
    </row>
    <row r="592" spans="5:12">
      <c r="E592" s="145"/>
      <c r="F592" s="145"/>
      <c r="G592" s="145"/>
      <c r="H592" s="145"/>
      <c r="I592" s="145"/>
      <c r="J592" s="145"/>
      <c r="K592" s="145"/>
      <c r="L592" s="146"/>
    </row>
    <row r="593" spans="5:12">
      <c r="E593" s="145"/>
      <c r="F593" s="145"/>
      <c r="G593" s="145"/>
      <c r="H593" s="145"/>
      <c r="I593" s="145"/>
      <c r="J593" s="145"/>
      <c r="K593" s="145"/>
      <c r="L593" s="146"/>
    </row>
    <row r="594" spans="5:12">
      <c r="E594" s="145"/>
      <c r="F594" s="145"/>
      <c r="G594" s="145"/>
      <c r="H594" s="145"/>
      <c r="I594" s="145"/>
      <c r="J594" s="145"/>
      <c r="K594" s="145"/>
      <c r="L594" s="146"/>
    </row>
    <row r="595" spans="5:12">
      <c r="E595" s="145"/>
      <c r="F595" s="145"/>
      <c r="G595" s="145"/>
      <c r="H595" s="145"/>
      <c r="I595" s="145"/>
      <c r="J595" s="145"/>
      <c r="K595" s="145"/>
      <c r="L595" s="146"/>
    </row>
    <row r="596" spans="5:12">
      <c r="E596" s="145"/>
      <c r="F596" s="145"/>
      <c r="G596" s="145"/>
      <c r="H596" s="145"/>
      <c r="I596" s="145"/>
      <c r="J596" s="145"/>
      <c r="K596" s="145"/>
      <c r="L596" s="146"/>
    </row>
    <row r="597" spans="5:12">
      <c r="E597" s="145"/>
      <c r="F597" s="145"/>
      <c r="G597" s="145"/>
      <c r="H597" s="145"/>
      <c r="I597" s="145"/>
      <c r="J597" s="145"/>
      <c r="K597" s="145"/>
      <c r="L597" s="146"/>
    </row>
    <row r="598" spans="5:12">
      <c r="E598" s="145"/>
      <c r="F598" s="145"/>
      <c r="G598" s="145"/>
      <c r="H598" s="145"/>
      <c r="I598" s="145"/>
      <c r="J598" s="145"/>
      <c r="K598" s="145"/>
      <c r="L598" s="146"/>
    </row>
    <row r="599" spans="5:12">
      <c r="E599" s="145"/>
      <c r="F599" s="145"/>
      <c r="G599" s="145"/>
      <c r="H599" s="145"/>
      <c r="I599" s="145"/>
      <c r="J599" s="145"/>
      <c r="K599" s="145"/>
      <c r="L599" s="146"/>
    </row>
    <row r="600" spans="5:12">
      <c r="E600" s="145"/>
      <c r="F600" s="145"/>
      <c r="G600" s="145"/>
      <c r="H600" s="145"/>
      <c r="I600" s="145"/>
      <c r="J600" s="145"/>
      <c r="K600" s="145"/>
      <c r="L600" s="146"/>
    </row>
    <row r="601" spans="5:12">
      <c r="E601" s="145"/>
      <c r="F601" s="145"/>
      <c r="G601" s="145"/>
      <c r="H601" s="145"/>
      <c r="I601" s="145"/>
      <c r="J601" s="145"/>
      <c r="K601" s="145"/>
      <c r="L601" s="146"/>
    </row>
    <row r="602" spans="5:12">
      <c r="E602" s="145"/>
      <c r="F602" s="145"/>
      <c r="G602" s="145"/>
      <c r="H602" s="145"/>
      <c r="I602" s="145"/>
      <c r="J602" s="145"/>
      <c r="K602" s="145"/>
      <c r="L602" s="146"/>
    </row>
  </sheetData>
  <mergeCells count="10">
    <mergeCell ref="A1:L1"/>
    <mergeCell ref="A3:A4"/>
    <mergeCell ref="B3:B4"/>
    <mergeCell ref="C3:C4"/>
    <mergeCell ref="D3:D4"/>
    <mergeCell ref="E3:E4"/>
    <mergeCell ref="F3:G3"/>
    <mergeCell ref="H3:I3"/>
    <mergeCell ref="J3:K3"/>
    <mergeCell ref="L3:L4"/>
  </mergeCells>
  <phoneticPr fontId="2" type="noConversion"/>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3"/>
  <sheetViews>
    <sheetView view="pageBreakPreview" topLeftCell="A13" zoomScale="85" zoomScaleNormal="85" zoomScaleSheetLayoutView="85" workbookViewId="0">
      <selection activeCell="I8" sqref="I8:K8"/>
    </sheetView>
  </sheetViews>
  <sheetFormatPr defaultRowHeight="13.5"/>
  <cols>
    <col min="1" max="1" width="38.375" style="147" customWidth="1"/>
    <col min="2" max="3" width="7.375" style="147" customWidth="1"/>
    <col min="4" max="4" width="7.375" style="148" customWidth="1"/>
    <col min="5" max="5" width="14.375" style="147" customWidth="1"/>
    <col min="6" max="6" width="8.625" style="147" customWidth="1"/>
    <col min="7" max="7" width="11" style="147" customWidth="1"/>
    <col min="8" max="9" width="14.375" style="147" customWidth="1"/>
    <col min="10" max="10" width="8.625" style="147" customWidth="1"/>
    <col min="11" max="11" width="10.75" style="147" customWidth="1"/>
    <col min="12" max="12" width="9.25" style="147" customWidth="1"/>
    <col min="13" max="13" width="8.875" style="147" customWidth="1"/>
    <col min="14" max="14" width="5.125" style="147" customWidth="1"/>
    <col min="15" max="15" width="9.25" style="147" customWidth="1"/>
    <col min="16" max="256" width="9" style="147"/>
    <col min="257" max="257" width="53.375" style="147" bestFit="1" customWidth="1"/>
    <col min="258" max="260" width="9.875" style="147" customWidth="1"/>
    <col min="261" max="267" width="14.375" style="147" customWidth="1"/>
    <col min="268" max="268" width="9.25" style="147" customWidth="1"/>
    <col min="269" max="269" width="8.875" style="147" customWidth="1"/>
    <col min="270" max="270" width="5.125" style="147" customWidth="1"/>
    <col min="271" max="271" width="9.25" style="147" customWidth="1"/>
    <col min="272" max="512" width="9" style="147"/>
    <col min="513" max="513" width="53.375" style="147" bestFit="1" customWidth="1"/>
    <col min="514" max="516" width="9.875" style="147" customWidth="1"/>
    <col min="517" max="523" width="14.375" style="147" customWidth="1"/>
    <col min="524" max="524" width="9.25" style="147" customWidth="1"/>
    <col min="525" max="525" width="8.875" style="147" customWidth="1"/>
    <col min="526" max="526" width="5.125" style="147" customWidth="1"/>
    <col min="527" max="527" width="9.25" style="147" customWidth="1"/>
    <col min="528" max="768" width="9" style="147"/>
    <col min="769" max="769" width="53.375" style="147" bestFit="1" customWidth="1"/>
    <col min="770" max="772" width="9.875" style="147" customWidth="1"/>
    <col min="773" max="779" width="14.375" style="147" customWidth="1"/>
    <col min="780" max="780" width="9.25" style="147" customWidth="1"/>
    <col min="781" max="781" width="8.875" style="147" customWidth="1"/>
    <col min="782" max="782" width="5.125" style="147" customWidth="1"/>
    <col min="783" max="783" width="9.25" style="147" customWidth="1"/>
    <col min="784" max="1024" width="9" style="147"/>
    <col min="1025" max="1025" width="53.375" style="147" bestFit="1" customWidth="1"/>
    <col min="1026" max="1028" width="9.875" style="147" customWidth="1"/>
    <col min="1029" max="1035" width="14.375" style="147" customWidth="1"/>
    <col min="1036" max="1036" width="9.25" style="147" customWidth="1"/>
    <col min="1037" max="1037" width="8.875" style="147" customWidth="1"/>
    <col min="1038" max="1038" width="5.125" style="147" customWidth="1"/>
    <col min="1039" max="1039" width="9.25" style="147" customWidth="1"/>
    <col min="1040" max="1280" width="9" style="147"/>
    <col min="1281" max="1281" width="53.375" style="147" bestFit="1" customWidth="1"/>
    <col min="1282" max="1284" width="9.875" style="147" customWidth="1"/>
    <col min="1285" max="1291" width="14.375" style="147" customWidth="1"/>
    <col min="1292" max="1292" width="9.25" style="147" customWidth="1"/>
    <col min="1293" max="1293" width="8.875" style="147" customWidth="1"/>
    <col min="1294" max="1294" width="5.125" style="147" customWidth="1"/>
    <col min="1295" max="1295" width="9.25" style="147" customWidth="1"/>
    <col min="1296" max="1536" width="9" style="147"/>
    <col min="1537" max="1537" width="53.375" style="147" bestFit="1" customWidth="1"/>
    <col min="1538" max="1540" width="9.875" style="147" customWidth="1"/>
    <col min="1541" max="1547" width="14.375" style="147" customWidth="1"/>
    <col min="1548" max="1548" width="9.25" style="147" customWidth="1"/>
    <col min="1549" max="1549" width="8.875" style="147" customWidth="1"/>
    <col min="1550" max="1550" width="5.125" style="147" customWidth="1"/>
    <col min="1551" max="1551" width="9.25" style="147" customWidth="1"/>
    <col min="1552" max="1792" width="9" style="147"/>
    <col min="1793" max="1793" width="53.375" style="147" bestFit="1" customWidth="1"/>
    <col min="1794" max="1796" width="9.875" style="147" customWidth="1"/>
    <col min="1797" max="1803" width="14.375" style="147" customWidth="1"/>
    <col min="1804" max="1804" width="9.25" style="147" customWidth="1"/>
    <col min="1805" max="1805" width="8.875" style="147" customWidth="1"/>
    <col min="1806" max="1806" width="5.125" style="147" customWidth="1"/>
    <col min="1807" max="1807" width="9.25" style="147" customWidth="1"/>
    <col min="1808" max="2048" width="9" style="147"/>
    <col min="2049" max="2049" width="53.375" style="147" bestFit="1" customWidth="1"/>
    <col min="2050" max="2052" width="9.875" style="147" customWidth="1"/>
    <col min="2053" max="2059" width="14.375" style="147" customWidth="1"/>
    <col min="2060" max="2060" width="9.25" style="147" customWidth="1"/>
    <col min="2061" max="2061" width="8.875" style="147" customWidth="1"/>
    <col min="2062" max="2062" width="5.125" style="147" customWidth="1"/>
    <col min="2063" max="2063" width="9.25" style="147" customWidth="1"/>
    <col min="2064" max="2304" width="9" style="147"/>
    <col min="2305" max="2305" width="53.375" style="147" bestFit="1" customWidth="1"/>
    <col min="2306" max="2308" width="9.875" style="147" customWidth="1"/>
    <col min="2309" max="2315" width="14.375" style="147" customWidth="1"/>
    <col min="2316" max="2316" width="9.25" style="147" customWidth="1"/>
    <col min="2317" max="2317" width="8.875" style="147" customWidth="1"/>
    <col min="2318" max="2318" width="5.125" style="147" customWidth="1"/>
    <col min="2319" max="2319" width="9.25" style="147" customWidth="1"/>
    <col min="2320" max="2560" width="9" style="147"/>
    <col min="2561" max="2561" width="53.375" style="147" bestFit="1" customWidth="1"/>
    <col min="2562" max="2564" width="9.875" style="147" customWidth="1"/>
    <col min="2565" max="2571" width="14.375" style="147" customWidth="1"/>
    <col min="2572" max="2572" width="9.25" style="147" customWidth="1"/>
    <col min="2573" max="2573" width="8.875" style="147" customWidth="1"/>
    <col min="2574" max="2574" width="5.125" style="147" customWidth="1"/>
    <col min="2575" max="2575" width="9.25" style="147" customWidth="1"/>
    <col min="2576" max="2816" width="9" style="147"/>
    <col min="2817" max="2817" width="53.375" style="147" bestFit="1" customWidth="1"/>
    <col min="2818" max="2820" width="9.875" style="147" customWidth="1"/>
    <col min="2821" max="2827" width="14.375" style="147" customWidth="1"/>
    <col min="2828" max="2828" width="9.25" style="147" customWidth="1"/>
    <col min="2829" max="2829" width="8.875" style="147" customWidth="1"/>
    <col min="2830" max="2830" width="5.125" style="147" customWidth="1"/>
    <col min="2831" max="2831" width="9.25" style="147" customWidth="1"/>
    <col min="2832" max="3072" width="9" style="147"/>
    <col min="3073" max="3073" width="53.375" style="147" bestFit="1" customWidth="1"/>
    <col min="3074" max="3076" width="9.875" style="147" customWidth="1"/>
    <col min="3077" max="3083" width="14.375" style="147" customWidth="1"/>
    <col min="3084" max="3084" width="9.25" style="147" customWidth="1"/>
    <col min="3085" max="3085" width="8.875" style="147" customWidth="1"/>
    <col min="3086" max="3086" width="5.125" style="147" customWidth="1"/>
    <col min="3087" max="3087" width="9.25" style="147" customWidth="1"/>
    <col min="3088" max="3328" width="9" style="147"/>
    <col min="3329" max="3329" width="53.375" style="147" bestFit="1" customWidth="1"/>
    <col min="3330" max="3332" width="9.875" style="147" customWidth="1"/>
    <col min="3333" max="3339" width="14.375" style="147" customWidth="1"/>
    <col min="3340" max="3340" width="9.25" style="147" customWidth="1"/>
    <col min="3341" max="3341" width="8.875" style="147" customWidth="1"/>
    <col min="3342" max="3342" width="5.125" style="147" customWidth="1"/>
    <col min="3343" max="3343" width="9.25" style="147" customWidth="1"/>
    <col min="3344" max="3584" width="9" style="147"/>
    <col min="3585" max="3585" width="53.375" style="147" bestFit="1" customWidth="1"/>
    <col min="3586" max="3588" width="9.875" style="147" customWidth="1"/>
    <col min="3589" max="3595" width="14.375" style="147" customWidth="1"/>
    <col min="3596" max="3596" width="9.25" style="147" customWidth="1"/>
    <col min="3597" max="3597" width="8.875" style="147" customWidth="1"/>
    <col min="3598" max="3598" width="5.125" style="147" customWidth="1"/>
    <col min="3599" max="3599" width="9.25" style="147" customWidth="1"/>
    <col min="3600" max="3840" width="9" style="147"/>
    <col min="3841" max="3841" width="53.375" style="147" bestFit="1" customWidth="1"/>
    <col min="3842" max="3844" width="9.875" style="147" customWidth="1"/>
    <col min="3845" max="3851" width="14.375" style="147" customWidth="1"/>
    <col min="3852" max="3852" width="9.25" style="147" customWidth="1"/>
    <col min="3853" max="3853" width="8.875" style="147" customWidth="1"/>
    <col min="3854" max="3854" width="5.125" style="147" customWidth="1"/>
    <col min="3855" max="3855" width="9.25" style="147" customWidth="1"/>
    <col min="3856" max="4096" width="9" style="147"/>
    <col min="4097" max="4097" width="53.375" style="147" bestFit="1" customWidth="1"/>
    <col min="4098" max="4100" width="9.875" style="147" customWidth="1"/>
    <col min="4101" max="4107" width="14.375" style="147" customWidth="1"/>
    <col min="4108" max="4108" width="9.25" style="147" customWidth="1"/>
    <col min="4109" max="4109" width="8.875" style="147" customWidth="1"/>
    <col min="4110" max="4110" width="5.125" style="147" customWidth="1"/>
    <col min="4111" max="4111" width="9.25" style="147" customWidth="1"/>
    <col min="4112" max="4352" width="9" style="147"/>
    <col min="4353" max="4353" width="53.375" style="147" bestFit="1" customWidth="1"/>
    <col min="4354" max="4356" width="9.875" style="147" customWidth="1"/>
    <col min="4357" max="4363" width="14.375" style="147" customWidth="1"/>
    <col min="4364" max="4364" width="9.25" style="147" customWidth="1"/>
    <col min="4365" max="4365" width="8.875" style="147" customWidth="1"/>
    <col min="4366" max="4366" width="5.125" style="147" customWidth="1"/>
    <col min="4367" max="4367" width="9.25" style="147" customWidth="1"/>
    <col min="4368" max="4608" width="9" style="147"/>
    <col min="4609" max="4609" width="53.375" style="147" bestFit="1" customWidth="1"/>
    <col min="4610" max="4612" width="9.875" style="147" customWidth="1"/>
    <col min="4613" max="4619" width="14.375" style="147" customWidth="1"/>
    <col min="4620" max="4620" width="9.25" style="147" customWidth="1"/>
    <col min="4621" max="4621" width="8.875" style="147" customWidth="1"/>
    <col min="4622" max="4622" width="5.125" style="147" customWidth="1"/>
    <col min="4623" max="4623" width="9.25" style="147" customWidth="1"/>
    <col min="4624" max="4864" width="9" style="147"/>
    <col min="4865" max="4865" width="53.375" style="147" bestFit="1" customWidth="1"/>
    <col min="4866" max="4868" width="9.875" style="147" customWidth="1"/>
    <col min="4869" max="4875" width="14.375" style="147" customWidth="1"/>
    <col min="4876" max="4876" width="9.25" style="147" customWidth="1"/>
    <col min="4877" max="4877" width="8.875" style="147" customWidth="1"/>
    <col min="4878" max="4878" width="5.125" style="147" customWidth="1"/>
    <col min="4879" max="4879" width="9.25" style="147" customWidth="1"/>
    <col min="4880" max="5120" width="9" style="147"/>
    <col min="5121" max="5121" width="53.375" style="147" bestFit="1" customWidth="1"/>
    <col min="5122" max="5124" width="9.875" style="147" customWidth="1"/>
    <col min="5125" max="5131" width="14.375" style="147" customWidth="1"/>
    <col min="5132" max="5132" width="9.25" style="147" customWidth="1"/>
    <col min="5133" max="5133" width="8.875" style="147" customWidth="1"/>
    <col min="5134" max="5134" width="5.125" style="147" customWidth="1"/>
    <col min="5135" max="5135" width="9.25" style="147" customWidth="1"/>
    <col min="5136" max="5376" width="9" style="147"/>
    <col min="5377" max="5377" width="53.375" style="147" bestFit="1" customWidth="1"/>
    <col min="5378" max="5380" width="9.875" style="147" customWidth="1"/>
    <col min="5381" max="5387" width="14.375" style="147" customWidth="1"/>
    <col min="5388" max="5388" width="9.25" style="147" customWidth="1"/>
    <col min="5389" max="5389" width="8.875" style="147" customWidth="1"/>
    <col min="5390" max="5390" width="5.125" style="147" customWidth="1"/>
    <col min="5391" max="5391" width="9.25" style="147" customWidth="1"/>
    <col min="5392" max="5632" width="9" style="147"/>
    <col min="5633" max="5633" width="53.375" style="147" bestFit="1" customWidth="1"/>
    <col min="5634" max="5636" width="9.875" style="147" customWidth="1"/>
    <col min="5637" max="5643" width="14.375" style="147" customWidth="1"/>
    <col min="5644" max="5644" width="9.25" style="147" customWidth="1"/>
    <col min="5645" max="5645" width="8.875" style="147" customWidth="1"/>
    <col min="5646" max="5646" width="5.125" style="147" customWidth="1"/>
    <col min="5647" max="5647" width="9.25" style="147" customWidth="1"/>
    <col min="5648" max="5888" width="9" style="147"/>
    <col min="5889" max="5889" width="53.375" style="147" bestFit="1" customWidth="1"/>
    <col min="5890" max="5892" width="9.875" style="147" customWidth="1"/>
    <col min="5893" max="5899" width="14.375" style="147" customWidth="1"/>
    <col min="5900" max="5900" width="9.25" style="147" customWidth="1"/>
    <col min="5901" max="5901" width="8.875" style="147" customWidth="1"/>
    <col min="5902" max="5902" width="5.125" style="147" customWidth="1"/>
    <col min="5903" max="5903" width="9.25" style="147" customWidth="1"/>
    <col min="5904" max="6144" width="9" style="147"/>
    <col min="6145" max="6145" width="53.375" style="147" bestFit="1" customWidth="1"/>
    <col min="6146" max="6148" width="9.875" style="147" customWidth="1"/>
    <col min="6149" max="6155" width="14.375" style="147" customWidth="1"/>
    <col min="6156" max="6156" width="9.25" style="147" customWidth="1"/>
    <col min="6157" max="6157" width="8.875" style="147" customWidth="1"/>
    <col min="6158" max="6158" width="5.125" style="147" customWidth="1"/>
    <col min="6159" max="6159" width="9.25" style="147" customWidth="1"/>
    <col min="6160" max="6400" width="9" style="147"/>
    <col min="6401" max="6401" width="53.375" style="147" bestFit="1" customWidth="1"/>
    <col min="6402" max="6404" width="9.875" style="147" customWidth="1"/>
    <col min="6405" max="6411" width="14.375" style="147" customWidth="1"/>
    <col min="6412" max="6412" width="9.25" style="147" customWidth="1"/>
    <col min="6413" max="6413" width="8.875" style="147" customWidth="1"/>
    <col min="6414" max="6414" width="5.125" style="147" customWidth="1"/>
    <col min="6415" max="6415" width="9.25" style="147" customWidth="1"/>
    <col min="6416" max="6656" width="9" style="147"/>
    <col min="6657" max="6657" width="53.375" style="147" bestFit="1" customWidth="1"/>
    <col min="6658" max="6660" width="9.875" style="147" customWidth="1"/>
    <col min="6661" max="6667" width="14.375" style="147" customWidth="1"/>
    <col min="6668" max="6668" width="9.25" style="147" customWidth="1"/>
    <col min="6669" max="6669" width="8.875" style="147" customWidth="1"/>
    <col min="6670" max="6670" width="5.125" style="147" customWidth="1"/>
    <col min="6671" max="6671" width="9.25" style="147" customWidth="1"/>
    <col min="6672" max="6912" width="9" style="147"/>
    <col min="6913" max="6913" width="53.375" style="147" bestFit="1" customWidth="1"/>
    <col min="6914" max="6916" width="9.875" style="147" customWidth="1"/>
    <col min="6917" max="6923" width="14.375" style="147" customWidth="1"/>
    <col min="6924" max="6924" width="9.25" style="147" customWidth="1"/>
    <col min="6925" max="6925" width="8.875" style="147" customWidth="1"/>
    <col min="6926" max="6926" width="5.125" style="147" customWidth="1"/>
    <col min="6927" max="6927" width="9.25" style="147" customWidth="1"/>
    <col min="6928" max="7168" width="9" style="147"/>
    <col min="7169" max="7169" width="53.375" style="147" bestFit="1" customWidth="1"/>
    <col min="7170" max="7172" width="9.875" style="147" customWidth="1"/>
    <col min="7173" max="7179" width="14.375" style="147" customWidth="1"/>
    <col min="7180" max="7180" width="9.25" style="147" customWidth="1"/>
    <col min="7181" max="7181" width="8.875" style="147" customWidth="1"/>
    <col min="7182" max="7182" width="5.125" style="147" customWidth="1"/>
    <col min="7183" max="7183" width="9.25" style="147" customWidth="1"/>
    <col min="7184" max="7424" width="9" style="147"/>
    <col min="7425" max="7425" width="53.375" style="147" bestFit="1" customWidth="1"/>
    <col min="7426" max="7428" width="9.875" style="147" customWidth="1"/>
    <col min="7429" max="7435" width="14.375" style="147" customWidth="1"/>
    <col min="7436" max="7436" width="9.25" style="147" customWidth="1"/>
    <col min="7437" max="7437" width="8.875" style="147" customWidth="1"/>
    <col min="7438" max="7438" width="5.125" style="147" customWidth="1"/>
    <col min="7439" max="7439" width="9.25" style="147" customWidth="1"/>
    <col min="7440" max="7680" width="9" style="147"/>
    <col min="7681" max="7681" width="53.375" style="147" bestFit="1" customWidth="1"/>
    <col min="7682" max="7684" width="9.875" style="147" customWidth="1"/>
    <col min="7685" max="7691" width="14.375" style="147" customWidth="1"/>
    <col min="7692" max="7692" width="9.25" style="147" customWidth="1"/>
    <col min="7693" max="7693" width="8.875" style="147" customWidth="1"/>
    <col min="7694" max="7694" width="5.125" style="147" customWidth="1"/>
    <col min="7695" max="7695" width="9.25" style="147" customWidth="1"/>
    <col min="7696" max="7936" width="9" style="147"/>
    <col min="7937" max="7937" width="53.375" style="147" bestFit="1" customWidth="1"/>
    <col min="7938" max="7940" width="9.875" style="147" customWidth="1"/>
    <col min="7941" max="7947" width="14.375" style="147" customWidth="1"/>
    <col min="7948" max="7948" width="9.25" style="147" customWidth="1"/>
    <col min="7949" max="7949" width="8.875" style="147" customWidth="1"/>
    <col min="7950" max="7950" width="5.125" style="147" customWidth="1"/>
    <col min="7951" max="7951" width="9.25" style="147" customWidth="1"/>
    <col min="7952" max="8192" width="9" style="147"/>
    <col min="8193" max="8193" width="53.375" style="147" bestFit="1" customWidth="1"/>
    <col min="8194" max="8196" width="9.875" style="147" customWidth="1"/>
    <col min="8197" max="8203" width="14.375" style="147" customWidth="1"/>
    <col min="8204" max="8204" width="9.25" style="147" customWidth="1"/>
    <col min="8205" max="8205" width="8.875" style="147" customWidth="1"/>
    <col min="8206" max="8206" width="5.125" style="147" customWidth="1"/>
    <col min="8207" max="8207" width="9.25" style="147" customWidth="1"/>
    <col min="8208" max="8448" width="9" style="147"/>
    <col min="8449" max="8449" width="53.375" style="147" bestFit="1" customWidth="1"/>
    <col min="8450" max="8452" width="9.875" style="147" customWidth="1"/>
    <col min="8453" max="8459" width="14.375" style="147" customWidth="1"/>
    <col min="8460" max="8460" width="9.25" style="147" customWidth="1"/>
    <col min="8461" max="8461" width="8.875" style="147" customWidth="1"/>
    <col min="8462" max="8462" width="5.125" style="147" customWidth="1"/>
    <col min="8463" max="8463" width="9.25" style="147" customWidth="1"/>
    <col min="8464" max="8704" width="9" style="147"/>
    <col min="8705" max="8705" width="53.375" style="147" bestFit="1" customWidth="1"/>
    <col min="8706" max="8708" width="9.875" style="147" customWidth="1"/>
    <col min="8709" max="8715" width="14.375" style="147" customWidth="1"/>
    <col min="8716" max="8716" width="9.25" style="147" customWidth="1"/>
    <col min="8717" max="8717" width="8.875" style="147" customWidth="1"/>
    <col min="8718" max="8718" width="5.125" style="147" customWidth="1"/>
    <col min="8719" max="8719" width="9.25" style="147" customWidth="1"/>
    <col min="8720" max="8960" width="9" style="147"/>
    <col min="8961" max="8961" width="53.375" style="147" bestFit="1" customWidth="1"/>
    <col min="8962" max="8964" width="9.875" style="147" customWidth="1"/>
    <col min="8965" max="8971" width="14.375" style="147" customWidth="1"/>
    <col min="8972" max="8972" width="9.25" style="147" customWidth="1"/>
    <col min="8973" max="8973" width="8.875" style="147" customWidth="1"/>
    <col min="8974" max="8974" width="5.125" style="147" customWidth="1"/>
    <col min="8975" max="8975" width="9.25" style="147" customWidth="1"/>
    <col min="8976" max="9216" width="9" style="147"/>
    <col min="9217" max="9217" width="53.375" style="147" bestFit="1" customWidth="1"/>
    <col min="9218" max="9220" width="9.875" style="147" customWidth="1"/>
    <col min="9221" max="9227" width="14.375" style="147" customWidth="1"/>
    <col min="9228" max="9228" width="9.25" style="147" customWidth="1"/>
    <col min="9229" max="9229" width="8.875" style="147" customWidth="1"/>
    <col min="9230" max="9230" width="5.125" style="147" customWidth="1"/>
    <col min="9231" max="9231" width="9.25" style="147" customWidth="1"/>
    <col min="9232" max="9472" width="9" style="147"/>
    <col min="9473" max="9473" width="53.375" style="147" bestFit="1" customWidth="1"/>
    <col min="9474" max="9476" width="9.875" style="147" customWidth="1"/>
    <col min="9477" max="9483" width="14.375" style="147" customWidth="1"/>
    <col min="9484" max="9484" width="9.25" style="147" customWidth="1"/>
    <col min="9485" max="9485" width="8.875" style="147" customWidth="1"/>
    <col min="9486" max="9486" width="5.125" style="147" customWidth="1"/>
    <col min="9487" max="9487" width="9.25" style="147" customWidth="1"/>
    <col min="9488" max="9728" width="9" style="147"/>
    <col min="9729" max="9729" width="53.375" style="147" bestFit="1" customWidth="1"/>
    <col min="9730" max="9732" width="9.875" style="147" customWidth="1"/>
    <col min="9733" max="9739" width="14.375" style="147" customWidth="1"/>
    <col min="9740" max="9740" width="9.25" style="147" customWidth="1"/>
    <col min="9741" max="9741" width="8.875" style="147" customWidth="1"/>
    <col min="9742" max="9742" width="5.125" style="147" customWidth="1"/>
    <col min="9743" max="9743" width="9.25" style="147" customWidth="1"/>
    <col min="9744" max="9984" width="9" style="147"/>
    <col min="9985" max="9985" width="53.375" style="147" bestFit="1" customWidth="1"/>
    <col min="9986" max="9988" width="9.875" style="147" customWidth="1"/>
    <col min="9989" max="9995" width="14.375" style="147" customWidth="1"/>
    <col min="9996" max="9996" width="9.25" style="147" customWidth="1"/>
    <col min="9997" max="9997" width="8.875" style="147" customWidth="1"/>
    <col min="9998" max="9998" width="5.125" style="147" customWidth="1"/>
    <col min="9999" max="9999" width="9.25" style="147" customWidth="1"/>
    <col min="10000" max="10240" width="9" style="147"/>
    <col min="10241" max="10241" width="53.375" style="147" bestFit="1" customWidth="1"/>
    <col min="10242" max="10244" width="9.875" style="147" customWidth="1"/>
    <col min="10245" max="10251" width="14.375" style="147" customWidth="1"/>
    <col min="10252" max="10252" width="9.25" style="147" customWidth="1"/>
    <col min="10253" max="10253" width="8.875" style="147" customWidth="1"/>
    <col min="10254" max="10254" width="5.125" style="147" customWidth="1"/>
    <col min="10255" max="10255" width="9.25" style="147" customWidth="1"/>
    <col min="10256" max="10496" width="9" style="147"/>
    <col min="10497" max="10497" width="53.375" style="147" bestFit="1" customWidth="1"/>
    <col min="10498" max="10500" width="9.875" style="147" customWidth="1"/>
    <col min="10501" max="10507" width="14.375" style="147" customWidth="1"/>
    <col min="10508" max="10508" width="9.25" style="147" customWidth="1"/>
    <col min="10509" max="10509" width="8.875" style="147" customWidth="1"/>
    <col min="10510" max="10510" width="5.125" style="147" customWidth="1"/>
    <col min="10511" max="10511" width="9.25" style="147" customWidth="1"/>
    <col min="10512" max="10752" width="9" style="147"/>
    <col min="10753" max="10753" width="53.375" style="147" bestFit="1" customWidth="1"/>
    <col min="10754" max="10756" width="9.875" style="147" customWidth="1"/>
    <col min="10757" max="10763" width="14.375" style="147" customWidth="1"/>
    <col min="10764" max="10764" width="9.25" style="147" customWidth="1"/>
    <col min="10765" max="10765" width="8.875" style="147" customWidth="1"/>
    <col min="10766" max="10766" width="5.125" style="147" customWidth="1"/>
    <col min="10767" max="10767" width="9.25" style="147" customWidth="1"/>
    <col min="10768" max="11008" width="9" style="147"/>
    <col min="11009" max="11009" width="53.375" style="147" bestFit="1" customWidth="1"/>
    <col min="11010" max="11012" width="9.875" style="147" customWidth="1"/>
    <col min="11013" max="11019" width="14.375" style="147" customWidth="1"/>
    <col min="11020" max="11020" width="9.25" style="147" customWidth="1"/>
    <col min="11021" max="11021" width="8.875" style="147" customWidth="1"/>
    <col min="11022" max="11022" width="5.125" style="147" customWidth="1"/>
    <col min="11023" max="11023" width="9.25" style="147" customWidth="1"/>
    <col min="11024" max="11264" width="9" style="147"/>
    <col min="11265" max="11265" width="53.375" style="147" bestFit="1" customWidth="1"/>
    <col min="11266" max="11268" width="9.875" style="147" customWidth="1"/>
    <col min="11269" max="11275" width="14.375" style="147" customWidth="1"/>
    <col min="11276" max="11276" width="9.25" style="147" customWidth="1"/>
    <col min="11277" max="11277" width="8.875" style="147" customWidth="1"/>
    <col min="11278" max="11278" width="5.125" style="147" customWidth="1"/>
    <col min="11279" max="11279" width="9.25" style="147" customWidth="1"/>
    <col min="11280" max="11520" width="9" style="147"/>
    <col min="11521" max="11521" width="53.375" style="147" bestFit="1" customWidth="1"/>
    <col min="11522" max="11524" width="9.875" style="147" customWidth="1"/>
    <col min="11525" max="11531" width="14.375" style="147" customWidth="1"/>
    <col min="11532" max="11532" width="9.25" style="147" customWidth="1"/>
    <col min="11533" max="11533" width="8.875" style="147" customWidth="1"/>
    <col min="11534" max="11534" width="5.125" style="147" customWidth="1"/>
    <col min="11535" max="11535" width="9.25" style="147" customWidth="1"/>
    <col min="11536" max="11776" width="9" style="147"/>
    <col min="11777" max="11777" width="53.375" style="147" bestFit="1" customWidth="1"/>
    <col min="11778" max="11780" width="9.875" style="147" customWidth="1"/>
    <col min="11781" max="11787" width="14.375" style="147" customWidth="1"/>
    <col min="11788" max="11788" width="9.25" style="147" customWidth="1"/>
    <col min="11789" max="11789" width="8.875" style="147" customWidth="1"/>
    <col min="11790" max="11790" width="5.125" style="147" customWidth="1"/>
    <col min="11791" max="11791" width="9.25" style="147" customWidth="1"/>
    <col min="11792" max="12032" width="9" style="147"/>
    <col min="12033" max="12033" width="53.375" style="147" bestFit="1" customWidth="1"/>
    <col min="12034" max="12036" width="9.875" style="147" customWidth="1"/>
    <col min="12037" max="12043" width="14.375" style="147" customWidth="1"/>
    <col min="12044" max="12044" width="9.25" style="147" customWidth="1"/>
    <col min="12045" max="12045" width="8.875" style="147" customWidth="1"/>
    <col min="12046" max="12046" width="5.125" style="147" customWidth="1"/>
    <col min="12047" max="12047" width="9.25" style="147" customWidth="1"/>
    <col min="12048" max="12288" width="9" style="147"/>
    <col min="12289" max="12289" width="53.375" style="147" bestFit="1" customWidth="1"/>
    <col min="12290" max="12292" width="9.875" style="147" customWidth="1"/>
    <col min="12293" max="12299" width="14.375" style="147" customWidth="1"/>
    <col min="12300" max="12300" width="9.25" style="147" customWidth="1"/>
    <col min="12301" max="12301" width="8.875" style="147" customWidth="1"/>
    <col min="12302" max="12302" width="5.125" style="147" customWidth="1"/>
    <col min="12303" max="12303" width="9.25" style="147" customWidth="1"/>
    <col min="12304" max="12544" width="9" style="147"/>
    <col min="12545" max="12545" width="53.375" style="147" bestFit="1" customWidth="1"/>
    <col min="12546" max="12548" width="9.875" style="147" customWidth="1"/>
    <col min="12549" max="12555" width="14.375" style="147" customWidth="1"/>
    <col min="12556" max="12556" width="9.25" style="147" customWidth="1"/>
    <col min="12557" max="12557" width="8.875" style="147" customWidth="1"/>
    <col min="12558" max="12558" width="5.125" style="147" customWidth="1"/>
    <col min="12559" max="12559" width="9.25" style="147" customWidth="1"/>
    <col min="12560" max="12800" width="9" style="147"/>
    <col min="12801" max="12801" width="53.375" style="147" bestFit="1" customWidth="1"/>
    <col min="12802" max="12804" width="9.875" style="147" customWidth="1"/>
    <col min="12805" max="12811" width="14.375" style="147" customWidth="1"/>
    <col min="12812" max="12812" width="9.25" style="147" customWidth="1"/>
    <col min="12813" max="12813" width="8.875" style="147" customWidth="1"/>
    <col min="12814" max="12814" width="5.125" style="147" customWidth="1"/>
    <col min="12815" max="12815" width="9.25" style="147" customWidth="1"/>
    <col min="12816" max="13056" width="9" style="147"/>
    <col min="13057" max="13057" width="53.375" style="147" bestFit="1" customWidth="1"/>
    <col min="13058" max="13060" width="9.875" style="147" customWidth="1"/>
    <col min="13061" max="13067" width="14.375" style="147" customWidth="1"/>
    <col min="13068" max="13068" width="9.25" style="147" customWidth="1"/>
    <col min="13069" max="13069" width="8.875" style="147" customWidth="1"/>
    <col min="13070" max="13070" width="5.125" style="147" customWidth="1"/>
    <col min="13071" max="13071" width="9.25" style="147" customWidth="1"/>
    <col min="13072" max="13312" width="9" style="147"/>
    <col min="13313" max="13313" width="53.375" style="147" bestFit="1" customWidth="1"/>
    <col min="13314" max="13316" width="9.875" style="147" customWidth="1"/>
    <col min="13317" max="13323" width="14.375" style="147" customWidth="1"/>
    <col min="13324" max="13324" width="9.25" style="147" customWidth="1"/>
    <col min="13325" max="13325" width="8.875" style="147" customWidth="1"/>
    <col min="13326" max="13326" width="5.125" style="147" customWidth="1"/>
    <col min="13327" max="13327" width="9.25" style="147" customWidth="1"/>
    <col min="13328" max="13568" width="9" style="147"/>
    <col min="13569" max="13569" width="53.375" style="147" bestFit="1" customWidth="1"/>
    <col min="13570" max="13572" width="9.875" style="147" customWidth="1"/>
    <col min="13573" max="13579" width="14.375" style="147" customWidth="1"/>
    <col min="13580" max="13580" width="9.25" style="147" customWidth="1"/>
    <col min="13581" max="13581" width="8.875" style="147" customWidth="1"/>
    <col min="13582" max="13582" width="5.125" style="147" customWidth="1"/>
    <col min="13583" max="13583" width="9.25" style="147" customWidth="1"/>
    <col min="13584" max="13824" width="9" style="147"/>
    <col min="13825" max="13825" width="53.375" style="147" bestFit="1" customWidth="1"/>
    <col min="13826" max="13828" width="9.875" style="147" customWidth="1"/>
    <col min="13829" max="13835" width="14.375" style="147" customWidth="1"/>
    <col min="13836" max="13836" width="9.25" style="147" customWidth="1"/>
    <col min="13837" max="13837" width="8.875" style="147" customWidth="1"/>
    <col min="13838" max="13838" width="5.125" style="147" customWidth="1"/>
    <col min="13839" max="13839" width="9.25" style="147" customWidth="1"/>
    <col min="13840" max="14080" width="9" style="147"/>
    <col min="14081" max="14081" width="53.375" style="147" bestFit="1" customWidth="1"/>
    <col min="14082" max="14084" width="9.875" style="147" customWidth="1"/>
    <col min="14085" max="14091" width="14.375" style="147" customWidth="1"/>
    <col min="14092" max="14092" width="9.25" style="147" customWidth="1"/>
    <col min="14093" max="14093" width="8.875" style="147" customWidth="1"/>
    <col min="14094" max="14094" width="5.125" style="147" customWidth="1"/>
    <col min="14095" max="14095" width="9.25" style="147" customWidth="1"/>
    <col min="14096" max="14336" width="9" style="147"/>
    <col min="14337" max="14337" width="53.375" style="147" bestFit="1" customWidth="1"/>
    <col min="14338" max="14340" width="9.875" style="147" customWidth="1"/>
    <col min="14341" max="14347" width="14.375" style="147" customWidth="1"/>
    <col min="14348" max="14348" width="9.25" style="147" customWidth="1"/>
    <col min="14349" max="14349" width="8.875" style="147" customWidth="1"/>
    <col min="14350" max="14350" width="5.125" style="147" customWidth="1"/>
    <col min="14351" max="14351" width="9.25" style="147" customWidth="1"/>
    <col min="14352" max="14592" width="9" style="147"/>
    <col min="14593" max="14593" width="53.375" style="147" bestFit="1" customWidth="1"/>
    <col min="14594" max="14596" width="9.875" style="147" customWidth="1"/>
    <col min="14597" max="14603" width="14.375" style="147" customWidth="1"/>
    <col min="14604" max="14604" width="9.25" style="147" customWidth="1"/>
    <col min="14605" max="14605" width="8.875" style="147" customWidth="1"/>
    <col min="14606" max="14606" width="5.125" style="147" customWidth="1"/>
    <col min="14607" max="14607" width="9.25" style="147" customWidth="1"/>
    <col min="14608" max="14848" width="9" style="147"/>
    <col min="14849" max="14849" width="53.375" style="147" bestFit="1" customWidth="1"/>
    <col min="14850" max="14852" width="9.875" style="147" customWidth="1"/>
    <col min="14853" max="14859" width="14.375" style="147" customWidth="1"/>
    <col min="14860" max="14860" width="9.25" style="147" customWidth="1"/>
    <col min="14861" max="14861" width="8.875" style="147" customWidth="1"/>
    <col min="14862" max="14862" width="5.125" style="147" customWidth="1"/>
    <col min="14863" max="14863" width="9.25" style="147" customWidth="1"/>
    <col min="14864" max="15104" width="9" style="147"/>
    <col min="15105" max="15105" width="53.375" style="147" bestFit="1" customWidth="1"/>
    <col min="15106" max="15108" width="9.875" style="147" customWidth="1"/>
    <col min="15109" max="15115" width="14.375" style="147" customWidth="1"/>
    <col min="15116" max="15116" width="9.25" style="147" customWidth="1"/>
    <col min="15117" max="15117" width="8.875" style="147" customWidth="1"/>
    <col min="15118" max="15118" width="5.125" style="147" customWidth="1"/>
    <col min="15119" max="15119" width="9.25" style="147" customWidth="1"/>
    <col min="15120" max="15360" width="9" style="147"/>
    <col min="15361" max="15361" width="53.375" style="147" bestFit="1" customWidth="1"/>
    <col min="15362" max="15364" width="9.875" style="147" customWidth="1"/>
    <col min="15365" max="15371" width="14.375" style="147" customWidth="1"/>
    <col min="15372" max="15372" width="9.25" style="147" customWidth="1"/>
    <col min="15373" max="15373" width="8.875" style="147" customWidth="1"/>
    <col min="15374" max="15374" width="5.125" style="147" customWidth="1"/>
    <col min="15375" max="15375" width="9.25" style="147" customWidth="1"/>
    <col min="15376" max="15616" width="9" style="147"/>
    <col min="15617" max="15617" width="53.375" style="147" bestFit="1" customWidth="1"/>
    <col min="15618" max="15620" width="9.875" style="147" customWidth="1"/>
    <col min="15621" max="15627" width="14.375" style="147" customWidth="1"/>
    <col min="15628" max="15628" width="9.25" style="147" customWidth="1"/>
    <col min="15629" max="15629" width="8.875" style="147" customWidth="1"/>
    <col min="15630" max="15630" width="5.125" style="147" customWidth="1"/>
    <col min="15631" max="15631" width="9.25" style="147" customWidth="1"/>
    <col min="15632" max="15872" width="9" style="147"/>
    <col min="15873" max="15873" width="53.375" style="147" bestFit="1" customWidth="1"/>
    <col min="15874" max="15876" width="9.875" style="147" customWidth="1"/>
    <col min="15877" max="15883" width="14.375" style="147" customWidth="1"/>
    <col min="15884" max="15884" width="9.25" style="147" customWidth="1"/>
    <col min="15885" max="15885" width="8.875" style="147" customWidth="1"/>
    <col min="15886" max="15886" width="5.125" style="147" customWidth="1"/>
    <col min="15887" max="15887" width="9.25" style="147" customWidth="1"/>
    <col min="15888" max="16128" width="9" style="147"/>
    <col min="16129" max="16129" width="53.375" style="147" bestFit="1" customWidth="1"/>
    <col min="16130" max="16132" width="9.875" style="147" customWidth="1"/>
    <col min="16133" max="16139" width="14.375" style="147" customWidth="1"/>
    <col min="16140" max="16140" width="9.25" style="147" customWidth="1"/>
    <col min="16141" max="16141" width="8.875" style="147" customWidth="1"/>
    <col min="16142" max="16142" width="5.125" style="147" customWidth="1"/>
    <col min="16143" max="16143" width="9.25" style="147" customWidth="1"/>
    <col min="16144" max="16384" width="9" style="147"/>
  </cols>
  <sheetData>
    <row r="1" spans="1:13" ht="30.75" customHeight="1">
      <c r="A1" s="1558" t="s">
        <v>147</v>
      </c>
      <c r="B1" s="1558"/>
      <c r="C1" s="1558"/>
      <c r="D1" s="1558"/>
      <c r="E1" s="1558"/>
      <c r="F1" s="1558"/>
      <c r="G1" s="1558"/>
      <c r="H1" s="1558"/>
      <c r="I1" s="1558"/>
      <c r="J1" s="1558"/>
      <c r="K1" s="1558"/>
      <c r="L1" s="1558"/>
      <c r="M1" s="163"/>
    </row>
    <row r="2" spans="1:13" ht="15.75" customHeight="1"/>
    <row r="3" spans="1:13" ht="18.75" customHeight="1">
      <c r="A3" s="1559" t="s">
        <v>120</v>
      </c>
      <c r="B3" s="1559" t="s">
        <v>121</v>
      </c>
      <c r="C3" s="1559" t="s">
        <v>122</v>
      </c>
      <c r="D3" s="1559" t="s">
        <v>123</v>
      </c>
      <c r="E3" s="1559" t="s">
        <v>134</v>
      </c>
      <c r="F3" s="1559" t="s">
        <v>124</v>
      </c>
      <c r="G3" s="1559"/>
      <c r="H3" s="1559" t="s">
        <v>148</v>
      </c>
      <c r="I3" s="1559"/>
      <c r="J3" s="1559" t="s">
        <v>125</v>
      </c>
      <c r="K3" s="1559"/>
      <c r="L3" s="1559" t="s">
        <v>126</v>
      </c>
    </row>
    <row r="4" spans="1:13" ht="18.75" customHeight="1">
      <c r="A4" s="1559"/>
      <c r="B4" s="1559"/>
      <c r="C4" s="1559"/>
      <c r="D4" s="1559"/>
      <c r="E4" s="1559"/>
      <c r="F4" s="150" t="s">
        <v>127</v>
      </c>
      <c r="G4" s="150" t="s">
        <v>128</v>
      </c>
      <c r="H4" s="150" t="s">
        <v>127</v>
      </c>
      <c r="I4" s="150" t="s">
        <v>128</v>
      </c>
      <c r="J4" s="150" t="s">
        <v>127</v>
      </c>
      <c r="K4" s="150" t="s">
        <v>128</v>
      </c>
      <c r="L4" s="1559"/>
    </row>
    <row r="5" spans="1:13" ht="18.75" customHeight="1">
      <c r="A5" s="154" t="s">
        <v>135</v>
      </c>
      <c r="B5" s="154"/>
      <c r="C5" s="154"/>
      <c r="D5" s="154"/>
      <c r="E5" s="161"/>
      <c r="F5" s="161"/>
      <c r="G5" s="161"/>
      <c r="H5" s="161"/>
      <c r="I5" s="161"/>
      <c r="J5" s="161"/>
      <c r="K5" s="161"/>
      <c r="L5" s="161"/>
    </row>
    <row r="6" spans="1:13" ht="18.75" customHeight="1">
      <c r="A6" s="164" t="s">
        <v>136</v>
      </c>
      <c r="B6" s="159"/>
      <c r="C6" s="159"/>
      <c r="D6" s="165">
        <f>'3-2.산출근거'!B7</f>
        <v>0.4</v>
      </c>
      <c r="E6" s="161">
        <f t="shared" ref="E6:E11" si="0">G6+I6+K6</f>
        <v>130131</v>
      </c>
      <c r="F6" s="161"/>
      <c r="G6" s="161"/>
      <c r="H6" s="161">
        <f>'3-2.산출근거'!I20</f>
        <v>325327.32320500002</v>
      </c>
      <c r="I6" s="161">
        <f t="shared" ref="I6:I11" si="1">ROUND(H6*D6,0)</f>
        <v>130131</v>
      </c>
      <c r="J6" s="161"/>
      <c r="K6" s="161"/>
      <c r="L6" s="161"/>
    </row>
    <row r="7" spans="1:13" ht="18.75" customHeight="1">
      <c r="A7" s="164" t="s">
        <v>137</v>
      </c>
      <c r="B7" s="159"/>
      <c r="C7" s="159"/>
      <c r="D7" s="165">
        <f>'3-2.산출근거'!C7</f>
        <v>0.7</v>
      </c>
      <c r="E7" s="161">
        <f t="shared" si="0"/>
        <v>167005</v>
      </c>
      <c r="F7" s="161"/>
      <c r="G7" s="161"/>
      <c r="H7" s="161">
        <f>'3-2.산출근거'!I21</f>
        <v>238578.78030000001</v>
      </c>
      <c r="I7" s="161">
        <f t="shared" si="1"/>
        <v>167005</v>
      </c>
      <c r="J7" s="161"/>
      <c r="K7" s="161"/>
      <c r="L7" s="161"/>
    </row>
    <row r="8" spans="1:13" ht="18.75" customHeight="1">
      <c r="A8" s="164" t="s">
        <v>138</v>
      </c>
      <c r="B8" s="159"/>
      <c r="C8" s="159"/>
      <c r="D8" s="165">
        <f>'3-2.산출근거'!D7</f>
        <v>1.4</v>
      </c>
      <c r="E8" s="161">
        <f t="shared" si="0"/>
        <v>279308</v>
      </c>
      <c r="F8" s="161"/>
      <c r="G8" s="161"/>
      <c r="H8" s="161">
        <f>'3-2.산출근거'!I22</f>
        <v>199505.89618100002</v>
      </c>
      <c r="I8" s="161">
        <f t="shared" si="1"/>
        <v>279308</v>
      </c>
      <c r="J8" s="161"/>
      <c r="K8" s="161"/>
      <c r="L8" s="161"/>
    </row>
    <row r="9" spans="1:13" ht="18.75" customHeight="1">
      <c r="A9" s="164" t="s">
        <v>139</v>
      </c>
      <c r="B9" s="159"/>
      <c r="C9" s="159"/>
      <c r="D9" s="165">
        <f>'3-2.산출근거'!E7</f>
        <v>2</v>
      </c>
      <c r="E9" s="161">
        <f t="shared" si="0"/>
        <v>346038</v>
      </c>
      <c r="F9" s="161"/>
      <c r="G9" s="161"/>
      <c r="H9" s="161">
        <f>'3-2.산출근거'!I23</f>
        <v>173018.78261300002</v>
      </c>
      <c r="I9" s="161">
        <f t="shared" si="1"/>
        <v>346038</v>
      </c>
      <c r="J9" s="161"/>
      <c r="K9" s="161"/>
      <c r="L9" s="161"/>
    </row>
    <row r="10" spans="1:13" ht="18.75" customHeight="1">
      <c r="A10" s="164" t="s">
        <v>140</v>
      </c>
      <c r="B10" s="159"/>
      <c r="C10" s="159"/>
      <c r="D10" s="165">
        <f>'3-2.산출근거'!F7</f>
        <v>3.8</v>
      </c>
      <c r="E10" s="161">
        <f t="shared" si="0"/>
        <v>511026</v>
      </c>
      <c r="F10" s="161"/>
      <c r="G10" s="161"/>
      <c r="H10" s="161">
        <f>'3-2.산출근거'!I24</f>
        <v>134480.52881399999</v>
      </c>
      <c r="I10" s="161">
        <f t="shared" si="1"/>
        <v>511026</v>
      </c>
      <c r="J10" s="161"/>
      <c r="K10" s="161"/>
      <c r="L10" s="161"/>
    </row>
    <row r="11" spans="1:13" ht="18.75" customHeight="1">
      <c r="A11" s="164" t="s">
        <v>141</v>
      </c>
      <c r="B11" s="159"/>
      <c r="C11" s="159"/>
      <c r="D11" s="165">
        <f>'3-2.산출근거'!G7</f>
        <v>4.3</v>
      </c>
      <c r="E11" s="161">
        <f t="shared" si="0"/>
        <v>581986</v>
      </c>
      <c r="F11" s="161"/>
      <c r="G11" s="161"/>
      <c r="H11" s="161">
        <f>'3-2.산출근거'!I26</f>
        <v>135345.48429600001</v>
      </c>
      <c r="I11" s="161">
        <f t="shared" si="1"/>
        <v>581986</v>
      </c>
      <c r="J11" s="161"/>
      <c r="K11" s="161"/>
      <c r="L11" s="161"/>
    </row>
    <row r="12" spans="1:13" ht="18.75" customHeight="1">
      <c r="A12" s="166" t="s">
        <v>142</v>
      </c>
      <c r="B12" s="159"/>
      <c r="C12" s="159"/>
      <c r="D12" s="165"/>
      <c r="E12" s="161">
        <f>SUM(E6:E11)</f>
        <v>2015494</v>
      </c>
      <c r="F12" s="161"/>
      <c r="G12" s="161"/>
      <c r="H12" s="161"/>
      <c r="I12" s="161">
        <f>SUM(I6:I11)</f>
        <v>2015494</v>
      </c>
      <c r="J12" s="161"/>
      <c r="K12" s="161"/>
      <c r="L12" s="161"/>
    </row>
    <row r="13" spans="1:13" ht="18.75" customHeight="1">
      <c r="A13" s="166" t="s">
        <v>162</v>
      </c>
      <c r="B13" s="167">
        <f>'3-2.산출근거'!B14</f>
        <v>0.33600000000000002</v>
      </c>
      <c r="C13" s="159"/>
      <c r="D13" s="165"/>
      <c r="E13" s="161"/>
      <c r="F13" s="161"/>
      <c r="G13" s="161"/>
      <c r="H13" s="161"/>
      <c r="I13" s="161"/>
      <c r="J13" s="161"/>
      <c r="K13" s="161"/>
      <c r="L13" s="161"/>
    </row>
    <row r="14" spans="1:13" ht="18.75" customHeight="1">
      <c r="A14" s="166" t="s">
        <v>143</v>
      </c>
      <c r="B14" s="168">
        <v>0.2</v>
      </c>
      <c r="C14" s="159"/>
      <c r="D14" s="165"/>
      <c r="E14" s="161"/>
      <c r="F14" s="161"/>
      <c r="G14" s="161"/>
      <c r="H14" s="161"/>
      <c r="I14" s="161"/>
      <c r="J14" s="161"/>
      <c r="K14" s="161"/>
      <c r="L14" s="161"/>
    </row>
    <row r="15" spans="1:13" s="171" customFormat="1" ht="18.75" customHeight="1">
      <c r="A15" s="169" t="s">
        <v>144</v>
      </c>
      <c r="B15" s="167"/>
      <c r="C15" s="167"/>
      <c r="D15" s="170"/>
      <c r="E15" s="155">
        <f>I15</f>
        <v>135441</v>
      </c>
      <c r="F15" s="155"/>
      <c r="G15" s="155"/>
      <c r="H15" s="155"/>
      <c r="I15" s="155">
        <f>ROUNDDOWN(I12*B13*B14,0)</f>
        <v>135441</v>
      </c>
      <c r="J15" s="155"/>
      <c r="K15" s="155"/>
      <c r="L15" s="155"/>
    </row>
    <row r="16" spans="1:13" ht="18.75" customHeight="1">
      <c r="A16" s="166"/>
      <c r="B16" s="159"/>
      <c r="C16" s="159"/>
      <c r="D16" s="165"/>
      <c r="E16" s="161"/>
      <c r="F16" s="161"/>
      <c r="G16" s="161"/>
      <c r="H16" s="161"/>
      <c r="I16" s="161"/>
      <c r="J16" s="161"/>
      <c r="K16" s="161"/>
      <c r="L16" s="161"/>
    </row>
    <row r="17" spans="1:12" ht="18.75" customHeight="1">
      <c r="A17" s="172" t="s">
        <v>145</v>
      </c>
      <c r="B17" s="173"/>
      <c r="C17" s="173"/>
      <c r="D17" s="174"/>
      <c r="E17" s="161"/>
      <c r="F17" s="161"/>
      <c r="G17" s="161"/>
      <c r="H17" s="161"/>
      <c r="I17" s="161"/>
      <c r="J17" s="161"/>
      <c r="K17" s="161"/>
      <c r="L17" s="161"/>
    </row>
    <row r="18" spans="1:12" ht="18.75" customHeight="1">
      <c r="A18" s="164" t="s">
        <v>136</v>
      </c>
      <c r="B18" s="159"/>
      <c r="C18" s="159"/>
      <c r="D18" s="165">
        <f>'3-2.산출근거'!B8</f>
        <v>0</v>
      </c>
      <c r="E18" s="161">
        <f t="shared" ref="E18:E23" si="2">G18+I18+K18</f>
        <v>0</v>
      </c>
      <c r="F18" s="161"/>
      <c r="G18" s="161"/>
      <c r="H18" s="161">
        <f>H6</f>
        <v>325327.32320500002</v>
      </c>
      <c r="I18" s="161">
        <f t="shared" ref="I18:I23" si="3">ROUND(H18*D18,0)</f>
        <v>0</v>
      </c>
      <c r="J18" s="161"/>
      <c r="K18" s="161"/>
      <c r="L18" s="161"/>
    </row>
    <row r="19" spans="1:12" ht="18.75" customHeight="1">
      <c r="A19" s="164" t="s">
        <v>137</v>
      </c>
      <c r="B19" s="159"/>
      <c r="C19" s="159"/>
      <c r="D19" s="165">
        <f>'3-2.산출근거'!C8</f>
        <v>0.8</v>
      </c>
      <c r="E19" s="161">
        <f t="shared" si="2"/>
        <v>190863</v>
      </c>
      <c r="F19" s="161"/>
      <c r="G19" s="161"/>
      <c r="H19" s="161">
        <f>H7</f>
        <v>238578.78030000001</v>
      </c>
      <c r="I19" s="161">
        <f t="shared" si="3"/>
        <v>190863</v>
      </c>
      <c r="J19" s="161"/>
      <c r="K19" s="161"/>
      <c r="L19" s="161"/>
    </row>
    <row r="20" spans="1:12" ht="18.75" customHeight="1">
      <c r="A20" s="164" t="s">
        <v>138</v>
      </c>
      <c r="B20" s="159"/>
      <c r="C20" s="159"/>
      <c r="D20" s="165">
        <f>'3-2.산출근거'!D8</f>
        <v>4.0999999999999996</v>
      </c>
      <c r="E20" s="161">
        <f t="shared" si="2"/>
        <v>817974</v>
      </c>
      <c r="F20" s="161"/>
      <c r="G20" s="161"/>
      <c r="H20" s="161">
        <f t="shared" ref="H20:H23" si="4">H8</f>
        <v>199505.89618100002</v>
      </c>
      <c r="I20" s="161">
        <f t="shared" si="3"/>
        <v>817974</v>
      </c>
      <c r="J20" s="161"/>
      <c r="K20" s="161"/>
      <c r="L20" s="161"/>
    </row>
    <row r="21" spans="1:12" ht="18.75" customHeight="1">
      <c r="A21" s="164" t="s">
        <v>139</v>
      </c>
      <c r="B21" s="159"/>
      <c r="C21" s="159"/>
      <c r="D21" s="165">
        <f>'3-2.산출근거'!E8</f>
        <v>6</v>
      </c>
      <c r="E21" s="161">
        <f t="shared" si="2"/>
        <v>1038113</v>
      </c>
      <c r="F21" s="161"/>
      <c r="G21" s="161"/>
      <c r="H21" s="161">
        <f t="shared" si="4"/>
        <v>173018.78261300002</v>
      </c>
      <c r="I21" s="161">
        <f t="shared" si="3"/>
        <v>1038113</v>
      </c>
      <c r="J21" s="161"/>
      <c r="K21" s="161"/>
      <c r="L21" s="161"/>
    </row>
    <row r="22" spans="1:12" ht="18.75" customHeight="1">
      <c r="A22" s="164" t="s">
        <v>140</v>
      </c>
      <c r="B22" s="159"/>
      <c r="C22" s="159"/>
      <c r="D22" s="165">
        <f>'3-2.산출근거'!F8</f>
        <v>11.3</v>
      </c>
      <c r="E22" s="161">
        <f t="shared" si="2"/>
        <v>1519630</v>
      </c>
      <c r="F22" s="161"/>
      <c r="G22" s="161"/>
      <c r="H22" s="161">
        <f t="shared" si="4"/>
        <v>134480.52881399999</v>
      </c>
      <c r="I22" s="161">
        <f t="shared" si="3"/>
        <v>1519630</v>
      </c>
      <c r="J22" s="161"/>
      <c r="K22" s="161"/>
      <c r="L22" s="161"/>
    </row>
    <row r="23" spans="1:12" ht="18.75" customHeight="1">
      <c r="A23" s="164" t="s">
        <v>141</v>
      </c>
      <c r="B23" s="159"/>
      <c r="C23" s="159"/>
      <c r="D23" s="165">
        <f>'3-2.산출근거'!G8</f>
        <v>13</v>
      </c>
      <c r="E23" s="161">
        <f t="shared" si="2"/>
        <v>1759491</v>
      </c>
      <c r="F23" s="161"/>
      <c r="G23" s="161"/>
      <c r="H23" s="161">
        <f t="shared" si="4"/>
        <v>135345.48429600001</v>
      </c>
      <c r="I23" s="161">
        <f t="shared" si="3"/>
        <v>1759491</v>
      </c>
      <c r="J23" s="161"/>
      <c r="K23" s="161"/>
      <c r="L23" s="161"/>
    </row>
    <row r="24" spans="1:12" ht="18.75" customHeight="1">
      <c r="A24" s="166" t="s">
        <v>142</v>
      </c>
      <c r="B24" s="159"/>
      <c r="C24" s="159"/>
      <c r="D24" s="165"/>
      <c r="E24" s="161">
        <f>SUM(E18:E23)</f>
        <v>5326071</v>
      </c>
      <c r="F24" s="161"/>
      <c r="G24" s="161"/>
      <c r="H24" s="161"/>
      <c r="I24" s="161">
        <f>SUM(I18:I23)</f>
        <v>5326071</v>
      </c>
      <c r="J24" s="161"/>
      <c r="K24" s="161"/>
      <c r="L24" s="161"/>
    </row>
    <row r="25" spans="1:12" ht="18.75" customHeight="1">
      <c r="A25" s="166" t="s">
        <v>162</v>
      </c>
      <c r="B25" s="167">
        <f>'3-2.산출근거'!B14</f>
        <v>0.33600000000000002</v>
      </c>
      <c r="C25" s="159"/>
      <c r="D25" s="165"/>
      <c r="E25" s="161"/>
      <c r="F25" s="161"/>
      <c r="G25" s="161"/>
      <c r="H25" s="161"/>
      <c r="I25" s="161"/>
      <c r="J25" s="161"/>
      <c r="K25" s="161"/>
      <c r="L25" s="161"/>
    </row>
    <row r="26" spans="1:12" ht="18.75" customHeight="1">
      <c r="A26" s="166" t="s">
        <v>143</v>
      </c>
      <c r="B26" s="168">
        <v>0.2</v>
      </c>
      <c r="C26" s="159"/>
      <c r="D26" s="165"/>
      <c r="E26" s="161"/>
      <c r="F26" s="161"/>
      <c r="G26" s="161"/>
      <c r="H26" s="161"/>
      <c r="I26" s="161"/>
      <c r="J26" s="161"/>
      <c r="K26" s="161"/>
      <c r="L26" s="161"/>
    </row>
    <row r="27" spans="1:12" s="171" customFormat="1" ht="18.75" customHeight="1">
      <c r="A27" s="169" t="s">
        <v>144</v>
      </c>
      <c r="B27" s="167"/>
      <c r="C27" s="167"/>
      <c r="D27" s="170"/>
      <c r="E27" s="155">
        <f>I27</f>
        <v>357911</v>
      </c>
      <c r="F27" s="155"/>
      <c r="G27" s="155"/>
      <c r="H27" s="155"/>
      <c r="I27" s="155">
        <f>ROUNDDOWN(I24*B25*B26,0)</f>
        <v>357911</v>
      </c>
      <c r="J27" s="155"/>
      <c r="K27" s="155"/>
      <c r="L27" s="155"/>
    </row>
    <row r="28" spans="1:12" ht="18.75" customHeight="1">
      <c r="A28" s="166"/>
      <c r="B28" s="159"/>
      <c r="C28" s="159"/>
      <c r="D28" s="165"/>
      <c r="E28" s="161"/>
      <c r="F28" s="161"/>
      <c r="G28" s="161"/>
      <c r="H28" s="161"/>
      <c r="I28" s="161"/>
      <c r="J28" s="161"/>
      <c r="K28" s="161"/>
      <c r="L28" s="161"/>
    </row>
    <row r="29" spans="1:12" ht="18.75" customHeight="1">
      <c r="A29" s="172" t="s">
        <v>146</v>
      </c>
      <c r="B29" s="173"/>
      <c r="C29" s="173"/>
      <c r="D29" s="174"/>
      <c r="E29" s="161"/>
      <c r="F29" s="161"/>
      <c r="G29" s="161"/>
      <c r="H29" s="161"/>
      <c r="I29" s="161"/>
      <c r="J29" s="161"/>
      <c r="K29" s="161"/>
      <c r="L29" s="161"/>
    </row>
    <row r="30" spans="1:12" ht="18.75" customHeight="1">
      <c r="A30" s="164" t="s">
        <v>136</v>
      </c>
      <c r="B30" s="159"/>
      <c r="C30" s="159"/>
      <c r="D30" s="165">
        <f>'3-2.산출근거'!B9</f>
        <v>0</v>
      </c>
      <c r="E30" s="161">
        <f t="shared" ref="E30:E35" si="5">G30+I30+K30</f>
        <v>0</v>
      </c>
      <c r="F30" s="161"/>
      <c r="G30" s="161"/>
      <c r="H30" s="161">
        <f>H18</f>
        <v>325327.32320500002</v>
      </c>
      <c r="I30" s="161">
        <f t="shared" ref="I30:I35" si="6">ROUND(H30*D30,0)</f>
        <v>0</v>
      </c>
      <c r="J30" s="161"/>
      <c r="K30" s="161"/>
      <c r="L30" s="161"/>
    </row>
    <row r="31" spans="1:12" ht="18.75" customHeight="1">
      <c r="A31" s="164" t="s">
        <v>137</v>
      </c>
      <c r="B31" s="159"/>
      <c r="C31" s="159"/>
      <c r="D31" s="165">
        <f>'3-2.산출근거'!C9</f>
        <v>0.7</v>
      </c>
      <c r="E31" s="161">
        <f t="shared" si="5"/>
        <v>167005</v>
      </c>
      <c r="F31" s="161"/>
      <c r="G31" s="161"/>
      <c r="H31" s="161">
        <f t="shared" ref="H31:H35" si="7">H19</f>
        <v>238578.78030000001</v>
      </c>
      <c r="I31" s="161">
        <f t="shared" si="6"/>
        <v>167005</v>
      </c>
      <c r="J31" s="161"/>
      <c r="K31" s="161"/>
      <c r="L31" s="161"/>
    </row>
    <row r="32" spans="1:12" ht="18.75" customHeight="1">
      <c r="A32" s="164" t="s">
        <v>138</v>
      </c>
      <c r="B32" s="159"/>
      <c r="C32" s="159"/>
      <c r="D32" s="165">
        <f>'3-2.산출근거'!D9</f>
        <v>1.4</v>
      </c>
      <c r="E32" s="161">
        <f t="shared" si="5"/>
        <v>279308</v>
      </c>
      <c r="F32" s="161"/>
      <c r="G32" s="161"/>
      <c r="H32" s="161">
        <f t="shared" si="7"/>
        <v>199505.89618100002</v>
      </c>
      <c r="I32" s="161">
        <f t="shared" si="6"/>
        <v>279308</v>
      </c>
      <c r="J32" s="161"/>
      <c r="K32" s="161"/>
      <c r="L32" s="161"/>
    </row>
    <row r="33" spans="1:12" ht="18.75" customHeight="1">
      <c r="A33" s="164" t="s">
        <v>139</v>
      </c>
      <c r="B33" s="159"/>
      <c r="C33" s="159"/>
      <c r="D33" s="165">
        <f>'3-2.산출근거'!E9</f>
        <v>2</v>
      </c>
      <c r="E33" s="161">
        <f t="shared" si="5"/>
        <v>346038</v>
      </c>
      <c r="F33" s="161"/>
      <c r="G33" s="161"/>
      <c r="H33" s="161">
        <f t="shared" si="7"/>
        <v>173018.78261300002</v>
      </c>
      <c r="I33" s="161">
        <f t="shared" si="6"/>
        <v>346038</v>
      </c>
      <c r="J33" s="161"/>
      <c r="K33" s="161"/>
      <c r="L33" s="161"/>
    </row>
    <row r="34" spans="1:12" ht="18.75" customHeight="1">
      <c r="A34" s="164" t="s">
        <v>140</v>
      </c>
      <c r="B34" s="159"/>
      <c r="C34" s="159"/>
      <c r="D34" s="165">
        <f>'3-2.산출근거'!F9</f>
        <v>3.8</v>
      </c>
      <c r="E34" s="161">
        <f t="shared" si="5"/>
        <v>511026</v>
      </c>
      <c r="F34" s="161"/>
      <c r="G34" s="161"/>
      <c r="H34" s="161">
        <f t="shared" si="7"/>
        <v>134480.52881399999</v>
      </c>
      <c r="I34" s="161">
        <f t="shared" si="6"/>
        <v>511026</v>
      </c>
      <c r="J34" s="161"/>
      <c r="K34" s="161"/>
      <c r="L34" s="161"/>
    </row>
    <row r="35" spans="1:12" ht="18.75" customHeight="1">
      <c r="A35" s="164" t="s">
        <v>149</v>
      </c>
      <c r="B35" s="159"/>
      <c r="C35" s="159"/>
      <c r="D35" s="165">
        <f>'3-2.산출근거'!G9</f>
        <v>4.5</v>
      </c>
      <c r="E35" s="161">
        <f t="shared" si="5"/>
        <v>609055</v>
      </c>
      <c r="F35" s="161"/>
      <c r="G35" s="161"/>
      <c r="H35" s="161">
        <f t="shared" si="7"/>
        <v>135345.48429600001</v>
      </c>
      <c r="I35" s="161">
        <f t="shared" si="6"/>
        <v>609055</v>
      </c>
      <c r="J35" s="161"/>
      <c r="K35" s="161"/>
      <c r="L35" s="161"/>
    </row>
    <row r="36" spans="1:12" ht="18.75" customHeight="1">
      <c r="A36" s="166" t="s">
        <v>142</v>
      </c>
      <c r="B36" s="159"/>
      <c r="C36" s="159"/>
      <c r="D36" s="165"/>
      <c r="E36" s="161">
        <f>SUM(E30:E35)</f>
        <v>1912432</v>
      </c>
      <c r="F36" s="161"/>
      <c r="G36" s="161"/>
      <c r="H36" s="161"/>
      <c r="I36" s="161">
        <f>SUM(I30:I35)</f>
        <v>1912432</v>
      </c>
      <c r="J36" s="161"/>
      <c r="K36" s="161"/>
      <c r="L36" s="161"/>
    </row>
    <row r="37" spans="1:12" ht="18.75" customHeight="1">
      <c r="A37" s="166" t="s">
        <v>162</v>
      </c>
      <c r="B37" s="167">
        <f>'3-2.산출근거'!B14</f>
        <v>0.33600000000000002</v>
      </c>
      <c r="C37" s="159"/>
      <c r="D37" s="165"/>
      <c r="E37" s="161"/>
      <c r="F37" s="161"/>
      <c r="G37" s="161"/>
      <c r="H37" s="161"/>
      <c r="I37" s="161"/>
      <c r="J37" s="161"/>
      <c r="K37" s="161"/>
      <c r="L37" s="161"/>
    </row>
    <row r="38" spans="1:12" ht="18.75" customHeight="1">
      <c r="A38" s="166" t="s">
        <v>143</v>
      </c>
      <c r="B38" s="168">
        <v>1</v>
      </c>
      <c r="C38" s="159"/>
      <c r="D38" s="165"/>
      <c r="E38" s="161"/>
      <c r="F38" s="161"/>
      <c r="G38" s="161"/>
      <c r="H38" s="161"/>
      <c r="I38" s="161"/>
      <c r="J38" s="161"/>
      <c r="K38" s="161"/>
      <c r="L38" s="161"/>
    </row>
    <row r="39" spans="1:12" s="171" customFormat="1" ht="18.75" customHeight="1">
      <c r="A39" s="169" t="s">
        <v>144</v>
      </c>
      <c r="B39" s="167"/>
      <c r="C39" s="167"/>
      <c r="D39" s="170"/>
      <c r="E39" s="155">
        <f>I39</f>
        <v>642577</v>
      </c>
      <c r="F39" s="155"/>
      <c r="G39" s="155"/>
      <c r="H39" s="155"/>
      <c r="I39" s="155">
        <f>ROUNDDOWN(I36*B37*B38,0)</f>
        <v>642577</v>
      </c>
      <c r="J39" s="155"/>
      <c r="K39" s="155"/>
      <c r="L39" s="155"/>
    </row>
    <row r="40" spans="1:12" ht="21" customHeight="1">
      <c r="E40" s="175"/>
      <c r="F40" s="175"/>
      <c r="G40" s="175"/>
      <c r="H40" s="175"/>
      <c r="I40" s="175"/>
      <c r="J40" s="175"/>
      <c r="K40" s="175"/>
      <c r="L40" s="175"/>
    </row>
    <row r="41" spans="1:12" ht="21" customHeight="1">
      <c r="E41" s="175"/>
      <c r="F41" s="175"/>
      <c r="G41" s="175"/>
      <c r="H41" s="175"/>
      <c r="I41" s="175"/>
      <c r="J41" s="175"/>
      <c r="K41" s="175"/>
      <c r="L41" s="175"/>
    </row>
    <row r="42" spans="1:12" ht="21" customHeight="1">
      <c r="E42" s="175"/>
      <c r="F42" s="175"/>
      <c r="G42" s="175"/>
      <c r="H42" s="175"/>
      <c r="I42" s="175"/>
      <c r="J42" s="175"/>
      <c r="K42" s="175"/>
      <c r="L42" s="175"/>
    </row>
    <row r="43" spans="1:12" ht="21" customHeight="1">
      <c r="E43" s="175"/>
      <c r="F43" s="175"/>
      <c r="G43" s="175"/>
      <c r="H43" s="175"/>
      <c r="I43" s="175"/>
      <c r="J43" s="175"/>
      <c r="K43" s="175"/>
      <c r="L43" s="175"/>
    </row>
    <row r="44" spans="1:12" ht="21" customHeight="1">
      <c r="E44" s="175"/>
      <c r="F44" s="175"/>
      <c r="G44" s="175"/>
      <c r="H44" s="175"/>
      <c r="I44" s="175"/>
      <c r="J44" s="175"/>
      <c r="K44" s="175"/>
      <c r="L44" s="175"/>
    </row>
    <row r="45" spans="1:12" ht="21" customHeight="1">
      <c r="E45" s="175"/>
      <c r="F45" s="175"/>
      <c r="G45" s="175"/>
      <c r="H45" s="175"/>
      <c r="I45" s="175"/>
      <c r="J45" s="175"/>
      <c r="K45" s="175"/>
      <c r="L45" s="175"/>
    </row>
    <row r="46" spans="1:12" ht="21" customHeight="1">
      <c r="E46" s="175"/>
      <c r="F46" s="175"/>
      <c r="G46" s="175"/>
      <c r="H46" s="175"/>
      <c r="I46" s="175"/>
      <c r="J46" s="175"/>
      <c r="K46" s="175"/>
      <c r="L46" s="175"/>
    </row>
    <row r="47" spans="1:12" ht="21" customHeight="1">
      <c r="E47" s="175"/>
      <c r="F47" s="175"/>
      <c r="G47" s="175"/>
      <c r="H47" s="175"/>
      <c r="I47" s="175"/>
      <c r="J47" s="175"/>
      <c r="K47" s="175"/>
      <c r="L47" s="175"/>
    </row>
    <row r="48" spans="1:12" ht="21" customHeight="1">
      <c r="E48" s="175"/>
      <c r="F48" s="175"/>
      <c r="G48" s="175"/>
      <c r="H48" s="175"/>
      <c r="I48" s="175"/>
      <c r="J48" s="175"/>
      <c r="K48" s="175"/>
      <c r="L48" s="175"/>
    </row>
    <row r="49" spans="5:12" ht="21" customHeight="1">
      <c r="E49" s="175"/>
      <c r="F49" s="175"/>
      <c r="G49" s="175"/>
      <c r="H49" s="175"/>
      <c r="I49" s="175"/>
      <c r="J49" s="175"/>
      <c r="K49" s="175"/>
      <c r="L49" s="175"/>
    </row>
    <row r="50" spans="5:12" ht="21" customHeight="1">
      <c r="E50" s="175"/>
      <c r="F50" s="175"/>
      <c r="G50" s="175"/>
      <c r="H50" s="175"/>
      <c r="I50" s="175"/>
      <c r="J50" s="175"/>
      <c r="K50" s="175"/>
      <c r="L50" s="175"/>
    </row>
    <row r="51" spans="5:12" ht="21" customHeight="1">
      <c r="E51" s="175"/>
      <c r="F51" s="175"/>
      <c r="G51" s="175"/>
      <c r="H51" s="175"/>
      <c r="I51" s="175"/>
      <c r="J51" s="175"/>
      <c r="K51" s="175"/>
      <c r="L51" s="175"/>
    </row>
    <row r="52" spans="5:12" ht="21" customHeight="1">
      <c r="E52" s="175"/>
      <c r="F52" s="175"/>
      <c r="G52" s="175"/>
      <c r="H52" s="175"/>
      <c r="I52" s="175"/>
      <c r="J52" s="175"/>
      <c r="K52" s="175"/>
      <c r="L52" s="175"/>
    </row>
    <row r="53" spans="5:12" ht="21" customHeight="1">
      <c r="E53" s="175"/>
      <c r="F53" s="175"/>
      <c r="G53" s="175"/>
      <c r="H53" s="175"/>
      <c r="I53" s="175"/>
      <c r="J53" s="175"/>
      <c r="K53" s="175"/>
      <c r="L53" s="175"/>
    </row>
    <row r="54" spans="5:12" ht="21" customHeight="1">
      <c r="E54" s="175"/>
      <c r="F54" s="175"/>
      <c r="G54" s="175"/>
      <c r="H54" s="175"/>
      <c r="I54" s="175"/>
      <c r="J54" s="175"/>
      <c r="K54" s="175"/>
      <c r="L54" s="175"/>
    </row>
    <row r="55" spans="5:12" ht="21" customHeight="1">
      <c r="E55" s="175"/>
      <c r="F55" s="175"/>
      <c r="G55" s="175"/>
      <c r="H55" s="175"/>
      <c r="I55" s="175"/>
      <c r="J55" s="175"/>
      <c r="K55" s="175"/>
      <c r="L55" s="175"/>
    </row>
    <row r="56" spans="5:12" ht="21" customHeight="1">
      <c r="E56" s="175"/>
      <c r="F56" s="175"/>
      <c r="G56" s="175"/>
      <c r="H56" s="175"/>
      <c r="I56" s="175"/>
      <c r="J56" s="175"/>
      <c r="K56" s="175"/>
      <c r="L56" s="175"/>
    </row>
    <row r="57" spans="5:12" ht="21" customHeight="1">
      <c r="E57" s="175"/>
      <c r="F57" s="175"/>
      <c r="G57" s="175"/>
      <c r="H57" s="175"/>
      <c r="I57" s="175"/>
      <c r="J57" s="175"/>
      <c r="K57" s="175"/>
      <c r="L57" s="175"/>
    </row>
    <row r="58" spans="5:12" ht="21" customHeight="1">
      <c r="E58" s="175"/>
      <c r="F58" s="175"/>
      <c r="G58" s="175"/>
      <c r="H58" s="175"/>
      <c r="I58" s="175"/>
      <c r="J58" s="175"/>
      <c r="K58" s="175"/>
      <c r="L58" s="175"/>
    </row>
    <row r="59" spans="5:12" ht="21" customHeight="1">
      <c r="E59" s="175"/>
      <c r="F59" s="175"/>
      <c r="G59" s="175"/>
      <c r="H59" s="175"/>
      <c r="I59" s="175"/>
      <c r="J59" s="175"/>
      <c r="K59" s="175"/>
      <c r="L59" s="175"/>
    </row>
    <row r="60" spans="5:12" ht="21" customHeight="1">
      <c r="E60" s="175"/>
      <c r="F60" s="175"/>
      <c r="G60" s="175"/>
      <c r="H60" s="175"/>
      <c r="I60" s="175"/>
      <c r="J60" s="175"/>
      <c r="K60" s="175"/>
      <c r="L60" s="175"/>
    </row>
    <row r="61" spans="5:12" ht="21" customHeight="1">
      <c r="E61" s="175"/>
      <c r="F61" s="175"/>
      <c r="G61" s="175"/>
      <c r="H61" s="175"/>
      <c r="I61" s="175"/>
      <c r="J61" s="175"/>
      <c r="K61" s="175"/>
      <c r="L61" s="175"/>
    </row>
    <row r="62" spans="5:12" ht="21" customHeight="1">
      <c r="E62" s="175"/>
      <c r="F62" s="175"/>
      <c r="G62" s="175"/>
      <c r="H62" s="175"/>
      <c r="I62" s="175"/>
      <c r="J62" s="175"/>
      <c r="K62" s="175"/>
      <c r="L62" s="175"/>
    </row>
    <row r="63" spans="5:12" ht="21" customHeight="1">
      <c r="E63" s="175"/>
      <c r="F63" s="175"/>
      <c r="G63" s="175"/>
      <c r="H63" s="175"/>
      <c r="I63" s="175"/>
      <c r="J63" s="175"/>
      <c r="K63" s="175"/>
      <c r="L63" s="175"/>
    </row>
    <row r="64" spans="5:12" ht="21" customHeight="1">
      <c r="E64" s="175"/>
      <c r="F64" s="175"/>
      <c r="G64" s="175"/>
      <c r="H64" s="175"/>
      <c r="I64" s="175"/>
      <c r="J64" s="175"/>
      <c r="K64" s="175"/>
      <c r="L64" s="175"/>
    </row>
    <row r="65" spans="5:12" ht="21" customHeight="1">
      <c r="E65" s="175"/>
      <c r="F65" s="175"/>
      <c r="G65" s="175"/>
      <c r="H65" s="175"/>
      <c r="I65" s="175"/>
      <c r="J65" s="175"/>
      <c r="K65" s="175"/>
      <c r="L65" s="175"/>
    </row>
    <row r="66" spans="5:12" ht="21" customHeight="1">
      <c r="E66" s="175"/>
      <c r="F66" s="175"/>
      <c r="G66" s="175"/>
      <c r="H66" s="175"/>
      <c r="I66" s="175"/>
      <c r="J66" s="175"/>
      <c r="K66" s="175"/>
      <c r="L66" s="175"/>
    </row>
    <row r="67" spans="5:12" ht="21" customHeight="1">
      <c r="E67" s="175"/>
      <c r="F67" s="175"/>
      <c r="G67" s="175"/>
      <c r="H67" s="175"/>
      <c r="I67" s="175"/>
      <c r="J67" s="175"/>
      <c r="K67" s="175"/>
      <c r="L67" s="175"/>
    </row>
    <row r="68" spans="5:12" ht="21" customHeight="1">
      <c r="E68" s="175"/>
      <c r="F68" s="175"/>
      <c r="G68" s="175"/>
      <c r="H68" s="175"/>
      <c r="I68" s="175"/>
      <c r="J68" s="175"/>
      <c r="K68" s="175"/>
      <c r="L68" s="175"/>
    </row>
    <row r="69" spans="5:12" ht="21" customHeight="1">
      <c r="E69" s="175"/>
      <c r="F69" s="175"/>
      <c r="G69" s="175"/>
      <c r="H69" s="175"/>
      <c r="I69" s="175"/>
      <c r="J69" s="175"/>
      <c r="K69" s="175"/>
      <c r="L69" s="175"/>
    </row>
    <row r="70" spans="5:12" ht="21" customHeight="1">
      <c r="E70" s="175"/>
      <c r="F70" s="175"/>
      <c r="G70" s="175"/>
      <c r="H70" s="175"/>
      <c r="I70" s="175"/>
      <c r="J70" s="175"/>
      <c r="K70" s="175"/>
      <c r="L70" s="175"/>
    </row>
    <row r="71" spans="5:12" ht="21" customHeight="1">
      <c r="E71" s="175"/>
      <c r="F71" s="175"/>
      <c r="G71" s="175"/>
      <c r="H71" s="175"/>
      <c r="I71" s="175"/>
      <c r="J71" s="175"/>
      <c r="K71" s="175"/>
      <c r="L71" s="175"/>
    </row>
    <row r="72" spans="5:12" ht="21" customHeight="1">
      <c r="E72" s="175"/>
      <c r="F72" s="175"/>
      <c r="G72" s="175"/>
      <c r="H72" s="175"/>
      <c r="I72" s="175"/>
      <c r="J72" s="175"/>
      <c r="K72" s="175"/>
      <c r="L72" s="175"/>
    </row>
    <row r="73" spans="5:12" ht="21" customHeight="1">
      <c r="E73" s="175"/>
      <c r="F73" s="175"/>
      <c r="G73" s="175"/>
      <c r="H73" s="175"/>
      <c r="I73" s="175"/>
      <c r="J73" s="175"/>
      <c r="K73" s="175"/>
      <c r="L73" s="175"/>
    </row>
    <row r="74" spans="5:12" ht="21" customHeight="1">
      <c r="E74" s="175"/>
      <c r="F74" s="175"/>
      <c r="G74" s="175"/>
      <c r="H74" s="175"/>
      <c r="I74" s="175"/>
      <c r="J74" s="175"/>
      <c r="K74" s="175"/>
      <c r="L74" s="175"/>
    </row>
    <row r="75" spans="5:12" ht="21" customHeight="1">
      <c r="E75" s="175"/>
      <c r="F75" s="175"/>
      <c r="G75" s="175"/>
      <c r="H75" s="175"/>
      <c r="I75" s="175"/>
      <c r="J75" s="175"/>
      <c r="K75" s="175"/>
      <c r="L75" s="175"/>
    </row>
    <row r="76" spans="5:12" ht="21" customHeight="1">
      <c r="E76" s="175"/>
      <c r="F76" s="175"/>
      <c r="G76" s="175"/>
      <c r="H76" s="175"/>
      <c r="I76" s="175"/>
      <c r="J76" s="175"/>
      <c r="K76" s="175"/>
      <c r="L76" s="175"/>
    </row>
    <row r="77" spans="5:12" ht="21" customHeight="1">
      <c r="E77" s="175"/>
      <c r="F77" s="175"/>
      <c r="G77" s="175"/>
      <c r="H77" s="175"/>
      <c r="I77" s="175"/>
      <c r="J77" s="175"/>
      <c r="K77" s="175"/>
      <c r="L77" s="175"/>
    </row>
    <row r="78" spans="5:12" ht="21" customHeight="1">
      <c r="E78" s="175"/>
      <c r="F78" s="175"/>
      <c r="G78" s="175"/>
      <c r="H78" s="175"/>
      <c r="I78" s="175"/>
      <c r="J78" s="175"/>
      <c r="K78" s="175"/>
      <c r="L78" s="175"/>
    </row>
    <row r="79" spans="5:12" ht="21" customHeight="1">
      <c r="E79" s="175"/>
      <c r="F79" s="175"/>
      <c r="G79" s="175"/>
      <c r="H79" s="175"/>
      <c r="I79" s="175"/>
      <c r="J79" s="175"/>
      <c r="K79" s="175"/>
      <c r="L79" s="175"/>
    </row>
    <row r="80" spans="5:12" ht="21" customHeight="1">
      <c r="E80" s="175"/>
      <c r="F80" s="175"/>
      <c r="G80" s="175"/>
      <c r="H80" s="175"/>
      <c r="I80" s="175"/>
      <c r="J80" s="175"/>
      <c r="K80" s="175"/>
      <c r="L80" s="175"/>
    </row>
    <row r="81" spans="5:12" ht="21" customHeight="1">
      <c r="E81" s="175"/>
      <c r="F81" s="175"/>
      <c r="G81" s="175"/>
      <c r="H81" s="175"/>
      <c r="I81" s="175"/>
      <c r="J81" s="175"/>
      <c r="K81" s="175"/>
      <c r="L81" s="175"/>
    </row>
    <row r="82" spans="5:12" ht="21" customHeight="1">
      <c r="E82" s="175"/>
      <c r="F82" s="175"/>
      <c r="G82" s="175"/>
      <c r="H82" s="175"/>
      <c r="I82" s="175"/>
      <c r="J82" s="175"/>
      <c r="K82" s="175"/>
      <c r="L82" s="175"/>
    </row>
    <row r="83" spans="5:12" ht="21" customHeight="1">
      <c r="E83" s="175"/>
      <c r="F83" s="175"/>
      <c r="G83" s="175"/>
      <c r="H83" s="175"/>
      <c r="I83" s="175"/>
      <c r="J83" s="175"/>
      <c r="K83" s="175"/>
      <c r="L83" s="175"/>
    </row>
    <row r="84" spans="5:12" ht="21" customHeight="1">
      <c r="E84" s="175"/>
      <c r="F84" s="175"/>
      <c r="G84" s="175"/>
      <c r="H84" s="175"/>
      <c r="I84" s="175"/>
      <c r="J84" s="175"/>
      <c r="K84" s="175"/>
      <c r="L84" s="175"/>
    </row>
    <row r="85" spans="5:12" ht="21" customHeight="1">
      <c r="E85" s="175"/>
      <c r="F85" s="175"/>
      <c r="G85" s="175"/>
      <c r="H85" s="175"/>
      <c r="I85" s="175"/>
      <c r="J85" s="175"/>
      <c r="K85" s="175"/>
      <c r="L85" s="175"/>
    </row>
    <row r="86" spans="5:12" ht="21" customHeight="1">
      <c r="E86" s="175"/>
      <c r="F86" s="175"/>
      <c r="G86" s="175"/>
      <c r="H86" s="175"/>
      <c r="I86" s="175"/>
      <c r="J86" s="175"/>
      <c r="K86" s="175"/>
      <c r="L86" s="175"/>
    </row>
    <row r="87" spans="5:12" ht="21" customHeight="1">
      <c r="E87" s="175"/>
      <c r="F87" s="175"/>
      <c r="G87" s="175"/>
      <c r="H87" s="175"/>
      <c r="I87" s="175"/>
      <c r="J87" s="175"/>
      <c r="K87" s="175"/>
      <c r="L87" s="175"/>
    </row>
    <row r="88" spans="5:12" ht="21" customHeight="1">
      <c r="E88" s="175"/>
      <c r="F88" s="175"/>
      <c r="G88" s="175"/>
      <c r="H88" s="175"/>
      <c r="I88" s="175"/>
      <c r="J88" s="175"/>
      <c r="K88" s="175"/>
      <c r="L88" s="175"/>
    </row>
    <row r="89" spans="5:12" ht="21" customHeight="1">
      <c r="E89" s="175"/>
      <c r="F89" s="175"/>
      <c r="G89" s="175"/>
      <c r="H89" s="175"/>
      <c r="I89" s="175"/>
      <c r="J89" s="175"/>
      <c r="K89" s="175"/>
      <c r="L89" s="175"/>
    </row>
    <row r="90" spans="5:12" ht="21" customHeight="1">
      <c r="E90" s="175"/>
      <c r="F90" s="175"/>
      <c r="G90" s="175"/>
      <c r="H90" s="175"/>
      <c r="I90" s="175"/>
      <c r="J90" s="175"/>
      <c r="K90" s="175"/>
      <c r="L90" s="175"/>
    </row>
    <row r="91" spans="5:12" ht="21" customHeight="1">
      <c r="E91" s="175"/>
      <c r="F91" s="175"/>
      <c r="G91" s="175"/>
      <c r="H91" s="175"/>
      <c r="I91" s="175"/>
      <c r="J91" s="175"/>
      <c r="K91" s="175"/>
      <c r="L91" s="175"/>
    </row>
    <row r="92" spans="5:12" ht="21" customHeight="1">
      <c r="E92" s="175"/>
      <c r="F92" s="175"/>
      <c r="G92" s="175"/>
      <c r="H92" s="175"/>
      <c r="I92" s="175"/>
      <c r="J92" s="175"/>
      <c r="K92" s="175"/>
      <c r="L92" s="175"/>
    </row>
    <row r="93" spans="5:12" ht="21" customHeight="1">
      <c r="E93" s="175"/>
      <c r="F93" s="175"/>
      <c r="G93" s="175"/>
      <c r="H93" s="175"/>
      <c r="I93" s="175"/>
      <c r="J93" s="175"/>
      <c r="K93" s="175"/>
      <c r="L93" s="175"/>
    </row>
    <row r="94" spans="5:12" ht="21" customHeight="1">
      <c r="E94" s="175"/>
      <c r="F94" s="175"/>
      <c r="G94" s="175"/>
      <c r="H94" s="175"/>
      <c r="I94" s="175"/>
      <c r="J94" s="175"/>
      <c r="K94" s="175"/>
      <c r="L94" s="175"/>
    </row>
    <row r="95" spans="5:12" ht="21" customHeight="1">
      <c r="E95" s="175"/>
      <c r="F95" s="175"/>
      <c r="G95" s="175"/>
      <c r="H95" s="175"/>
      <c r="I95" s="175"/>
      <c r="J95" s="175"/>
      <c r="K95" s="175"/>
      <c r="L95" s="175"/>
    </row>
    <row r="96" spans="5:12" ht="21" customHeight="1">
      <c r="E96" s="175"/>
      <c r="F96" s="175"/>
      <c r="G96" s="175"/>
      <c r="H96" s="175"/>
      <c r="I96" s="175"/>
      <c r="J96" s="175"/>
      <c r="K96" s="175"/>
      <c r="L96" s="175"/>
    </row>
    <row r="97" spans="5:12" ht="21" customHeight="1">
      <c r="E97" s="175"/>
      <c r="F97" s="175"/>
      <c r="G97" s="175"/>
      <c r="H97" s="175"/>
      <c r="I97" s="175"/>
      <c r="J97" s="175"/>
      <c r="K97" s="175"/>
      <c r="L97" s="175"/>
    </row>
    <row r="98" spans="5:12" ht="21" customHeight="1">
      <c r="E98" s="175"/>
      <c r="F98" s="175"/>
      <c r="G98" s="175"/>
      <c r="H98" s="175"/>
      <c r="I98" s="175"/>
      <c r="J98" s="175"/>
      <c r="K98" s="175"/>
      <c r="L98" s="175"/>
    </row>
    <row r="99" spans="5:12" ht="21" customHeight="1">
      <c r="E99" s="175"/>
      <c r="F99" s="175"/>
      <c r="G99" s="175"/>
      <c r="H99" s="175"/>
      <c r="I99" s="175"/>
      <c r="J99" s="175"/>
      <c r="K99" s="175"/>
      <c r="L99" s="175"/>
    </row>
    <row r="100" spans="5:12" ht="21" customHeight="1">
      <c r="E100" s="175"/>
      <c r="F100" s="175"/>
      <c r="G100" s="175"/>
      <c r="H100" s="175"/>
      <c r="I100" s="175"/>
      <c r="J100" s="175"/>
      <c r="K100" s="175"/>
      <c r="L100" s="175"/>
    </row>
    <row r="101" spans="5:12" ht="21" customHeight="1">
      <c r="E101" s="175"/>
      <c r="F101" s="175"/>
      <c r="G101" s="175"/>
      <c r="H101" s="175"/>
      <c r="I101" s="175"/>
      <c r="J101" s="175"/>
      <c r="K101" s="175"/>
      <c r="L101" s="175"/>
    </row>
    <row r="102" spans="5:12" ht="21" customHeight="1">
      <c r="E102" s="175"/>
      <c r="F102" s="175"/>
      <c r="G102" s="175"/>
      <c r="H102" s="175"/>
      <c r="I102" s="175"/>
      <c r="J102" s="175"/>
      <c r="K102" s="175"/>
      <c r="L102" s="175"/>
    </row>
    <row r="103" spans="5:12" ht="21" customHeight="1">
      <c r="E103" s="175"/>
      <c r="F103" s="175"/>
      <c r="G103" s="175"/>
      <c r="H103" s="175"/>
      <c r="I103" s="175"/>
      <c r="J103" s="175"/>
      <c r="K103" s="175"/>
      <c r="L103" s="175"/>
    </row>
    <row r="104" spans="5:12" ht="21" customHeight="1">
      <c r="E104" s="175"/>
      <c r="F104" s="175"/>
      <c r="G104" s="175"/>
      <c r="H104" s="175"/>
      <c r="I104" s="175"/>
      <c r="J104" s="175"/>
      <c r="K104" s="175"/>
      <c r="L104" s="175"/>
    </row>
    <row r="105" spans="5:12" ht="21" customHeight="1">
      <c r="E105" s="175"/>
      <c r="F105" s="175"/>
      <c r="G105" s="175"/>
      <c r="H105" s="175"/>
      <c r="I105" s="175"/>
      <c r="J105" s="175"/>
      <c r="K105" s="175"/>
      <c r="L105" s="175"/>
    </row>
    <row r="106" spans="5:12" ht="21" customHeight="1">
      <c r="E106" s="175"/>
      <c r="F106" s="175"/>
      <c r="G106" s="175"/>
      <c r="H106" s="175"/>
      <c r="I106" s="175"/>
      <c r="J106" s="175"/>
      <c r="K106" s="175"/>
      <c r="L106" s="175"/>
    </row>
    <row r="107" spans="5:12" ht="21" customHeight="1">
      <c r="E107" s="175"/>
      <c r="F107" s="175"/>
      <c r="G107" s="175"/>
      <c r="H107" s="175"/>
      <c r="I107" s="175"/>
      <c r="J107" s="175"/>
      <c r="K107" s="175"/>
      <c r="L107" s="175"/>
    </row>
    <row r="108" spans="5:12" ht="21" customHeight="1">
      <c r="E108" s="175"/>
      <c r="F108" s="175"/>
      <c r="G108" s="175"/>
      <c r="H108" s="175"/>
      <c r="I108" s="175"/>
      <c r="J108" s="175"/>
      <c r="K108" s="175"/>
      <c r="L108" s="175"/>
    </row>
    <row r="109" spans="5:12" ht="21" customHeight="1">
      <c r="E109" s="175"/>
      <c r="F109" s="175"/>
      <c r="G109" s="175"/>
      <c r="H109" s="175"/>
      <c r="I109" s="175"/>
      <c r="J109" s="175"/>
      <c r="K109" s="175"/>
      <c r="L109" s="175"/>
    </row>
    <row r="110" spans="5:12" ht="21" customHeight="1">
      <c r="E110" s="175"/>
      <c r="F110" s="175"/>
      <c r="G110" s="175"/>
      <c r="H110" s="175"/>
      <c r="I110" s="175"/>
      <c r="J110" s="175"/>
      <c r="K110" s="175"/>
      <c r="L110" s="175"/>
    </row>
    <row r="111" spans="5:12" ht="21" customHeight="1">
      <c r="E111" s="175"/>
      <c r="F111" s="175"/>
      <c r="G111" s="175"/>
      <c r="H111" s="175"/>
      <c r="I111" s="175"/>
      <c r="J111" s="175"/>
      <c r="K111" s="175"/>
      <c r="L111" s="175"/>
    </row>
    <row r="112" spans="5:12" ht="21" customHeight="1">
      <c r="E112" s="175"/>
      <c r="F112" s="175"/>
      <c r="G112" s="175"/>
      <c r="H112" s="175"/>
      <c r="I112" s="175"/>
      <c r="J112" s="175"/>
      <c r="K112" s="175"/>
      <c r="L112" s="175"/>
    </row>
    <row r="113" spans="5:12" ht="21" customHeight="1">
      <c r="E113" s="175"/>
      <c r="F113" s="175"/>
      <c r="G113" s="175"/>
      <c r="H113" s="175"/>
      <c r="I113" s="175"/>
      <c r="J113" s="175"/>
      <c r="K113" s="175"/>
      <c r="L113" s="175"/>
    </row>
    <row r="114" spans="5:12" ht="21" customHeight="1">
      <c r="E114" s="175"/>
      <c r="F114" s="175"/>
      <c r="G114" s="175"/>
      <c r="H114" s="175"/>
      <c r="I114" s="175"/>
      <c r="J114" s="175"/>
      <c r="K114" s="175"/>
      <c r="L114" s="175"/>
    </row>
    <row r="115" spans="5:12" ht="21" customHeight="1">
      <c r="E115" s="175"/>
      <c r="F115" s="175"/>
      <c r="G115" s="175"/>
      <c r="H115" s="175"/>
      <c r="I115" s="175"/>
      <c r="J115" s="175"/>
      <c r="K115" s="175"/>
      <c r="L115" s="175"/>
    </row>
    <row r="116" spans="5:12" ht="21" customHeight="1">
      <c r="E116" s="175"/>
      <c r="F116" s="175"/>
      <c r="G116" s="175"/>
      <c r="H116" s="175"/>
      <c r="I116" s="175"/>
      <c r="J116" s="175"/>
      <c r="K116" s="175"/>
      <c r="L116" s="175"/>
    </row>
    <row r="117" spans="5:12" ht="21" customHeight="1">
      <c r="E117" s="175"/>
      <c r="F117" s="175"/>
      <c r="G117" s="175"/>
      <c r="H117" s="175"/>
      <c r="I117" s="175"/>
      <c r="J117" s="175"/>
      <c r="K117" s="175"/>
      <c r="L117" s="175"/>
    </row>
    <row r="118" spans="5:12" ht="21" customHeight="1">
      <c r="E118" s="175"/>
      <c r="F118" s="175"/>
      <c r="G118" s="175"/>
      <c r="H118" s="175"/>
      <c r="I118" s="175"/>
      <c r="J118" s="175"/>
      <c r="K118" s="175"/>
      <c r="L118" s="175"/>
    </row>
    <row r="119" spans="5:12" ht="21" customHeight="1">
      <c r="E119" s="175"/>
      <c r="F119" s="175"/>
      <c r="G119" s="175"/>
      <c r="H119" s="175"/>
      <c r="I119" s="175"/>
      <c r="J119" s="175"/>
      <c r="K119" s="175"/>
      <c r="L119" s="175"/>
    </row>
    <row r="120" spans="5:12" ht="21" customHeight="1">
      <c r="E120" s="175"/>
      <c r="F120" s="175"/>
      <c r="G120" s="175"/>
      <c r="H120" s="175"/>
      <c r="I120" s="175"/>
      <c r="J120" s="175"/>
      <c r="K120" s="175"/>
      <c r="L120" s="175"/>
    </row>
    <row r="121" spans="5:12" ht="21" customHeight="1">
      <c r="E121" s="175"/>
      <c r="F121" s="175"/>
      <c r="G121" s="175"/>
      <c r="H121" s="175"/>
      <c r="I121" s="175"/>
      <c r="J121" s="175"/>
      <c r="K121" s="175"/>
      <c r="L121" s="175"/>
    </row>
    <row r="122" spans="5:12" ht="21" customHeight="1">
      <c r="E122" s="175"/>
      <c r="F122" s="175"/>
      <c r="G122" s="175"/>
      <c r="H122" s="175"/>
      <c r="I122" s="175"/>
      <c r="J122" s="175"/>
      <c r="K122" s="175"/>
      <c r="L122" s="175"/>
    </row>
    <row r="123" spans="5:12" ht="21" customHeight="1">
      <c r="E123" s="175"/>
      <c r="F123" s="175"/>
      <c r="G123" s="175"/>
      <c r="H123" s="175"/>
      <c r="I123" s="175"/>
      <c r="J123" s="175"/>
      <c r="K123" s="175"/>
      <c r="L123" s="175"/>
    </row>
    <row r="124" spans="5:12" ht="21" customHeight="1">
      <c r="E124" s="175"/>
      <c r="F124" s="175"/>
      <c r="G124" s="175"/>
      <c r="H124" s="175"/>
      <c r="I124" s="175"/>
      <c r="J124" s="175"/>
      <c r="K124" s="175"/>
      <c r="L124" s="175"/>
    </row>
    <row r="125" spans="5:12" ht="21" customHeight="1">
      <c r="E125" s="175"/>
      <c r="F125" s="175"/>
      <c r="G125" s="175"/>
      <c r="H125" s="175"/>
      <c r="I125" s="175"/>
      <c r="J125" s="175"/>
      <c r="K125" s="175"/>
      <c r="L125" s="175"/>
    </row>
    <row r="126" spans="5:12" ht="21" customHeight="1">
      <c r="E126" s="175"/>
      <c r="F126" s="175"/>
      <c r="G126" s="175"/>
      <c r="H126" s="175"/>
      <c r="I126" s="175"/>
      <c r="J126" s="175"/>
      <c r="K126" s="175"/>
      <c r="L126" s="175"/>
    </row>
    <row r="127" spans="5:12" ht="21" customHeight="1">
      <c r="E127" s="175"/>
      <c r="F127" s="175"/>
      <c r="G127" s="175"/>
      <c r="H127" s="175"/>
      <c r="I127" s="175"/>
      <c r="J127" s="175"/>
      <c r="K127" s="175"/>
      <c r="L127" s="175"/>
    </row>
    <row r="128" spans="5:12" ht="21" customHeight="1">
      <c r="E128" s="175"/>
      <c r="F128" s="175"/>
      <c r="G128" s="175"/>
      <c r="H128" s="175"/>
      <c r="I128" s="175"/>
      <c r="J128" s="175"/>
      <c r="K128" s="175"/>
      <c r="L128" s="175"/>
    </row>
    <row r="129" spans="5:12" ht="21" customHeight="1">
      <c r="E129" s="175"/>
      <c r="F129" s="175"/>
      <c r="G129" s="175"/>
      <c r="H129" s="175"/>
      <c r="I129" s="175"/>
      <c r="J129" s="175"/>
      <c r="K129" s="175"/>
      <c r="L129" s="175"/>
    </row>
    <row r="130" spans="5:12" ht="21" customHeight="1">
      <c r="E130" s="175"/>
      <c r="F130" s="175"/>
      <c r="G130" s="175"/>
      <c r="H130" s="175"/>
      <c r="I130" s="175"/>
      <c r="J130" s="175"/>
      <c r="K130" s="175"/>
      <c r="L130" s="175"/>
    </row>
    <row r="131" spans="5:12" ht="21" customHeight="1">
      <c r="E131" s="175"/>
      <c r="F131" s="175"/>
      <c r="G131" s="175"/>
      <c r="H131" s="175"/>
      <c r="I131" s="175"/>
      <c r="J131" s="175"/>
      <c r="K131" s="175"/>
      <c r="L131" s="175"/>
    </row>
    <row r="132" spans="5:12" ht="21" customHeight="1">
      <c r="E132" s="175"/>
      <c r="F132" s="175"/>
      <c r="G132" s="175"/>
      <c r="H132" s="175"/>
      <c r="I132" s="175"/>
      <c r="J132" s="175"/>
      <c r="K132" s="175"/>
      <c r="L132" s="175"/>
    </row>
    <row r="133" spans="5:12" ht="21" customHeight="1">
      <c r="E133" s="175"/>
      <c r="F133" s="175"/>
      <c r="G133" s="175"/>
      <c r="H133" s="175"/>
      <c r="I133" s="175"/>
      <c r="J133" s="175"/>
      <c r="K133" s="175"/>
      <c r="L133" s="175"/>
    </row>
    <row r="134" spans="5:12" ht="21" customHeight="1">
      <c r="E134" s="175"/>
      <c r="F134" s="175"/>
      <c r="G134" s="175"/>
      <c r="H134" s="175"/>
      <c r="I134" s="175"/>
      <c r="J134" s="175"/>
      <c r="K134" s="175"/>
      <c r="L134" s="175"/>
    </row>
    <row r="135" spans="5:12" ht="21" customHeight="1">
      <c r="E135" s="175"/>
      <c r="F135" s="175"/>
      <c r="G135" s="175"/>
      <c r="H135" s="175"/>
      <c r="I135" s="175"/>
      <c r="J135" s="175"/>
      <c r="K135" s="175"/>
      <c r="L135" s="175"/>
    </row>
    <row r="136" spans="5:12" ht="21" customHeight="1">
      <c r="E136" s="175"/>
      <c r="F136" s="175"/>
      <c r="G136" s="175"/>
      <c r="H136" s="175"/>
      <c r="I136" s="175"/>
      <c r="J136" s="175"/>
      <c r="K136" s="175"/>
      <c r="L136" s="175"/>
    </row>
    <row r="137" spans="5:12" ht="21" customHeight="1">
      <c r="E137" s="175"/>
      <c r="F137" s="175"/>
      <c r="G137" s="175"/>
      <c r="H137" s="175"/>
      <c r="I137" s="175"/>
      <c r="J137" s="175"/>
      <c r="K137" s="175"/>
      <c r="L137" s="175"/>
    </row>
    <row r="138" spans="5:12" ht="21" customHeight="1">
      <c r="E138" s="175"/>
      <c r="F138" s="175"/>
      <c r="G138" s="175"/>
      <c r="H138" s="175"/>
      <c r="I138" s="175"/>
      <c r="J138" s="175"/>
      <c r="K138" s="175"/>
      <c r="L138" s="175"/>
    </row>
    <row r="139" spans="5:12" ht="21" customHeight="1">
      <c r="E139" s="175"/>
      <c r="F139" s="175"/>
      <c r="G139" s="175"/>
      <c r="H139" s="175"/>
      <c r="I139" s="175"/>
      <c r="J139" s="175"/>
      <c r="K139" s="175"/>
      <c r="L139" s="175"/>
    </row>
    <row r="140" spans="5:12" ht="21" customHeight="1">
      <c r="E140" s="175"/>
      <c r="F140" s="175"/>
      <c r="G140" s="175"/>
      <c r="H140" s="175"/>
      <c r="I140" s="175"/>
      <c r="J140" s="175"/>
      <c r="K140" s="175"/>
      <c r="L140" s="175"/>
    </row>
    <row r="141" spans="5:12" ht="21" customHeight="1">
      <c r="E141" s="175"/>
      <c r="F141" s="175"/>
      <c r="G141" s="175"/>
      <c r="H141" s="175"/>
      <c r="I141" s="175"/>
      <c r="J141" s="175"/>
      <c r="K141" s="175"/>
      <c r="L141" s="175"/>
    </row>
    <row r="142" spans="5:12" ht="21" customHeight="1">
      <c r="E142" s="175"/>
      <c r="F142" s="175"/>
      <c r="G142" s="175"/>
      <c r="H142" s="175"/>
      <c r="I142" s="175"/>
      <c r="J142" s="175"/>
      <c r="K142" s="175"/>
      <c r="L142" s="175"/>
    </row>
    <row r="143" spans="5:12" ht="21" customHeight="1">
      <c r="E143" s="175"/>
      <c r="F143" s="175"/>
      <c r="G143" s="175"/>
      <c r="H143" s="175"/>
      <c r="I143" s="175"/>
      <c r="J143" s="175"/>
      <c r="K143" s="175"/>
      <c r="L143" s="175"/>
    </row>
    <row r="144" spans="5:12" ht="21" customHeight="1">
      <c r="E144" s="175"/>
      <c r="F144" s="175"/>
      <c r="G144" s="175"/>
      <c r="H144" s="175"/>
      <c r="I144" s="175"/>
      <c r="J144" s="175"/>
      <c r="K144" s="175"/>
      <c r="L144" s="175"/>
    </row>
    <row r="145" spans="5:12" ht="21" customHeight="1">
      <c r="E145" s="175"/>
      <c r="F145" s="175"/>
      <c r="G145" s="175"/>
      <c r="H145" s="175"/>
      <c r="I145" s="175"/>
      <c r="J145" s="175"/>
      <c r="K145" s="175"/>
      <c r="L145" s="175"/>
    </row>
    <row r="146" spans="5:12" ht="21" customHeight="1">
      <c r="E146" s="175"/>
      <c r="F146" s="175"/>
      <c r="G146" s="175"/>
      <c r="H146" s="175"/>
      <c r="I146" s="175"/>
      <c r="J146" s="175"/>
      <c r="K146" s="175"/>
      <c r="L146" s="175"/>
    </row>
    <row r="147" spans="5:12" ht="21" customHeight="1">
      <c r="E147" s="175"/>
      <c r="F147" s="175"/>
      <c r="G147" s="175"/>
      <c r="H147" s="175"/>
      <c r="I147" s="175"/>
      <c r="J147" s="175"/>
      <c r="K147" s="175"/>
      <c r="L147" s="175"/>
    </row>
    <row r="148" spans="5:12" ht="21" customHeight="1">
      <c r="E148" s="175"/>
      <c r="F148" s="175"/>
      <c r="G148" s="175"/>
      <c r="H148" s="175"/>
      <c r="I148" s="175"/>
      <c r="J148" s="175"/>
      <c r="K148" s="175"/>
      <c r="L148" s="175"/>
    </row>
    <row r="149" spans="5:12" ht="21" customHeight="1">
      <c r="E149" s="175"/>
      <c r="F149" s="175"/>
      <c r="G149" s="175"/>
      <c r="H149" s="175"/>
      <c r="I149" s="175"/>
      <c r="J149" s="175"/>
      <c r="K149" s="175"/>
      <c r="L149" s="175"/>
    </row>
    <row r="150" spans="5:12" ht="21" customHeight="1">
      <c r="E150" s="175"/>
      <c r="F150" s="175"/>
      <c r="G150" s="175"/>
      <c r="H150" s="175"/>
      <c r="I150" s="175"/>
      <c r="J150" s="175"/>
      <c r="K150" s="175"/>
      <c r="L150" s="175"/>
    </row>
    <row r="151" spans="5:12" ht="21" customHeight="1">
      <c r="E151" s="175"/>
      <c r="F151" s="175"/>
      <c r="G151" s="175"/>
      <c r="H151" s="175"/>
      <c r="I151" s="175"/>
      <c r="J151" s="175"/>
      <c r="K151" s="175"/>
      <c r="L151" s="175"/>
    </row>
    <row r="152" spans="5:12" ht="21" customHeight="1">
      <c r="E152" s="175"/>
      <c r="F152" s="175"/>
      <c r="G152" s="175"/>
      <c r="H152" s="175"/>
      <c r="I152" s="175"/>
      <c r="J152" s="175"/>
      <c r="K152" s="175"/>
      <c r="L152" s="175"/>
    </row>
    <row r="153" spans="5:12" ht="21" customHeight="1">
      <c r="E153" s="175"/>
      <c r="F153" s="175"/>
      <c r="G153" s="175"/>
      <c r="H153" s="175"/>
      <c r="I153" s="175"/>
      <c r="J153" s="175"/>
      <c r="K153" s="175"/>
      <c r="L153" s="175"/>
    </row>
    <row r="154" spans="5:12" ht="21" customHeight="1">
      <c r="E154" s="175"/>
      <c r="F154" s="175"/>
      <c r="G154" s="175"/>
      <c r="H154" s="175"/>
      <c r="I154" s="175"/>
      <c r="J154" s="175"/>
      <c r="K154" s="175"/>
      <c r="L154" s="175"/>
    </row>
    <row r="155" spans="5:12" ht="21" customHeight="1">
      <c r="E155" s="175"/>
      <c r="F155" s="175"/>
      <c r="G155" s="175"/>
      <c r="H155" s="175"/>
      <c r="I155" s="175"/>
      <c r="J155" s="175"/>
      <c r="K155" s="175"/>
      <c r="L155" s="175"/>
    </row>
    <row r="156" spans="5:12" ht="21" customHeight="1">
      <c r="E156" s="175"/>
      <c r="F156" s="175"/>
      <c r="G156" s="175"/>
      <c r="H156" s="175"/>
      <c r="I156" s="175"/>
      <c r="J156" s="175"/>
      <c r="K156" s="175"/>
      <c r="L156" s="175"/>
    </row>
    <row r="157" spans="5:12" ht="21" customHeight="1">
      <c r="E157" s="175"/>
      <c r="F157" s="175"/>
      <c r="G157" s="175"/>
      <c r="H157" s="175"/>
      <c r="I157" s="175"/>
      <c r="J157" s="175"/>
      <c r="K157" s="175"/>
      <c r="L157" s="175"/>
    </row>
    <row r="158" spans="5:12" ht="21" customHeight="1">
      <c r="E158" s="175"/>
      <c r="F158" s="175"/>
      <c r="G158" s="175"/>
      <c r="H158" s="175"/>
      <c r="I158" s="175"/>
      <c r="J158" s="175"/>
      <c r="K158" s="175"/>
      <c r="L158" s="175"/>
    </row>
    <row r="159" spans="5:12" ht="21" customHeight="1">
      <c r="E159" s="175"/>
      <c r="F159" s="175"/>
      <c r="G159" s="175"/>
      <c r="H159" s="175"/>
      <c r="I159" s="175"/>
      <c r="J159" s="175"/>
      <c r="K159" s="175"/>
      <c r="L159" s="175"/>
    </row>
    <row r="160" spans="5:12" ht="21" customHeight="1">
      <c r="E160" s="175"/>
      <c r="F160" s="175"/>
      <c r="G160" s="175"/>
      <c r="H160" s="175"/>
      <c r="I160" s="175"/>
      <c r="J160" s="175"/>
      <c r="K160" s="175"/>
      <c r="L160" s="175"/>
    </row>
    <row r="161" spans="5:12" ht="21" customHeight="1">
      <c r="E161" s="175"/>
      <c r="F161" s="175"/>
      <c r="G161" s="175"/>
      <c r="H161" s="175"/>
      <c r="I161" s="175"/>
      <c r="J161" s="175"/>
      <c r="K161" s="175"/>
      <c r="L161" s="175"/>
    </row>
    <row r="162" spans="5:12" ht="21" customHeight="1">
      <c r="E162" s="175"/>
      <c r="F162" s="175"/>
      <c r="G162" s="175"/>
      <c r="H162" s="175"/>
      <c r="I162" s="175"/>
      <c r="J162" s="175"/>
      <c r="K162" s="175"/>
      <c r="L162" s="175"/>
    </row>
    <row r="163" spans="5:12" ht="21" customHeight="1">
      <c r="E163" s="175"/>
      <c r="F163" s="175"/>
      <c r="G163" s="175"/>
      <c r="H163" s="175"/>
      <c r="I163" s="175"/>
      <c r="J163" s="175"/>
      <c r="K163" s="175"/>
      <c r="L163" s="175"/>
    </row>
    <row r="164" spans="5:12" ht="21" customHeight="1">
      <c r="E164" s="175"/>
      <c r="F164" s="175"/>
      <c r="G164" s="175"/>
      <c r="H164" s="175"/>
      <c r="I164" s="175"/>
      <c r="J164" s="175"/>
      <c r="K164" s="175"/>
      <c r="L164" s="175"/>
    </row>
    <row r="165" spans="5:12" ht="21" customHeight="1">
      <c r="E165" s="175"/>
      <c r="F165" s="175"/>
      <c r="G165" s="175"/>
      <c r="H165" s="175"/>
      <c r="I165" s="175"/>
      <c r="J165" s="175"/>
      <c r="K165" s="175"/>
      <c r="L165" s="175"/>
    </row>
    <row r="166" spans="5:12" ht="21" customHeight="1">
      <c r="E166" s="175"/>
      <c r="F166" s="175"/>
      <c r="G166" s="175"/>
      <c r="H166" s="175"/>
      <c r="I166" s="175"/>
      <c r="J166" s="175"/>
      <c r="K166" s="175"/>
      <c r="L166" s="175"/>
    </row>
    <row r="167" spans="5:12" ht="21" customHeight="1">
      <c r="E167" s="175"/>
      <c r="F167" s="175"/>
      <c r="G167" s="175"/>
      <c r="H167" s="175"/>
      <c r="I167" s="175"/>
      <c r="J167" s="175"/>
      <c r="K167" s="175"/>
      <c r="L167" s="175"/>
    </row>
    <row r="168" spans="5:12" ht="21" customHeight="1">
      <c r="E168" s="175"/>
      <c r="F168" s="175"/>
      <c r="G168" s="175"/>
      <c r="H168" s="175"/>
      <c r="I168" s="175"/>
      <c r="J168" s="175"/>
      <c r="K168" s="175"/>
      <c r="L168" s="175"/>
    </row>
    <row r="169" spans="5:12" ht="21" customHeight="1">
      <c r="E169" s="175"/>
      <c r="F169" s="175"/>
      <c r="G169" s="175"/>
      <c r="H169" s="175"/>
      <c r="I169" s="175"/>
      <c r="J169" s="175"/>
      <c r="K169" s="175"/>
      <c r="L169" s="175"/>
    </row>
    <row r="170" spans="5:12" ht="21" customHeight="1">
      <c r="E170" s="175"/>
      <c r="F170" s="175"/>
      <c r="G170" s="175"/>
      <c r="H170" s="175"/>
      <c r="I170" s="175"/>
      <c r="J170" s="175"/>
      <c r="K170" s="175"/>
      <c r="L170" s="175"/>
    </row>
    <row r="171" spans="5:12" ht="21" customHeight="1">
      <c r="E171" s="175"/>
      <c r="F171" s="175"/>
      <c r="G171" s="175"/>
      <c r="H171" s="175"/>
      <c r="I171" s="175"/>
      <c r="J171" s="175"/>
      <c r="K171" s="175"/>
      <c r="L171" s="175"/>
    </row>
    <row r="172" spans="5:12" ht="21" customHeight="1">
      <c r="E172" s="175"/>
      <c r="F172" s="175"/>
      <c r="G172" s="175"/>
      <c r="H172" s="175"/>
      <c r="I172" s="175"/>
      <c r="J172" s="175"/>
      <c r="K172" s="175"/>
      <c r="L172" s="175"/>
    </row>
    <row r="173" spans="5:12" ht="21" customHeight="1">
      <c r="E173" s="175"/>
      <c r="F173" s="175"/>
      <c r="G173" s="175"/>
      <c r="H173" s="175"/>
      <c r="I173" s="175"/>
      <c r="J173" s="175"/>
      <c r="K173" s="175"/>
      <c r="L173" s="175"/>
    </row>
    <row r="174" spans="5:12" ht="21" customHeight="1">
      <c r="E174" s="175"/>
      <c r="F174" s="175"/>
      <c r="G174" s="175"/>
      <c r="H174" s="175"/>
      <c r="I174" s="175"/>
      <c r="J174" s="175"/>
      <c r="K174" s="175"/>
      <c r="L174" s="175"/>
    </row>
    <row r="175" spans="5:12" ht="21" customHeight="1">
      <c r="E175" s="175"/>
      <c r="F175" s="175"/>
      <c r="G175" s="175"/>
      <c r="H175" s="175"/>
      <c r="I175" s="175"/>
      <c r="J175" s="175"/>
      <c r="K175" s="175"/>
      <c r="L175" s="175"/>
    </row>
    <row r="176" spans="5:12" ht="21" customHeight="1">
      <c r="E176" s="175"/>
      <c r="F176" s="175"/>
      <c r="G176" s="175"/>
      <c r="H176" s="175"/>
      <c r="I176" s="175"/>
      <c r="J176" s="175"/>
      <c r="K176" s="175"/>
      <c r="L176" s="175"/>
    </row>
    <row r="177" spans="5:12" ht="21" customHeight="1">
      <c r="E177" s="175"/>
      <c r="F177" s="175"/>
      <c r="G177" s="175"/>
      <c r="H177" s="175"/>
      <c r="I177" s="175"/>
      <c r="J177" s="175"/>
      <c r="K177" s="175"/>
      <c r="L177" s="175"/>
    </row>
    <row r="178" spans="5:12" ht="21" customHeight="1">
      <c r="E178" s="175"/>
      <c r="F178" s="175"/>
      <c r="G178" s="175"/>
      <c r="H178" s="175"/>
      <c r="I178" s="175"/>
      <c r="J178" s="175"/>
      <c r="K178" s="175"/>
      <c r="L178" s="175"/>
    </row>
    <row r="179" spans="5:12" ht="21" customHeight="1">
      <c r="E179" s="175"/>
      <c r="F179" s="175"/>
      <c r="G179" s="175"/>
      <c r="H179" s="175"/>
      <c r="I179" s="175"/>
      <c r="J179" s="175"/>
      <c r="K179" s="175"/>
      <c r="L179" s="175"/>
    </row>
    <row r="180" spans="5:12" ht="21" customHeight="1">
      <c r="E180" s="175"/>
      <c r="F180" s="175"/>
      <c r="G180" s="175"/>
      <c r="H180" s="175"/>
      <c r="I180" s="175"/>
      <c r="J180" s="175"/>
      <c r="K180" s="175"/>
      <c r="L180" s="175"/>
    </row>
    <row r="181" spans="5:12" ht="21" customHeight="1">
      <c r="E181" s="175"/>
      <c r="F181" s="175"/>
      <c r="G181" s="175"/>
      <c r="H181" s="175"/>
      <c r="I181" s="175"/>
      <c r="J181" s="175"/>
      <c r="K181" s="175"/>
      <c r="L181" s="175"/>
    </row>
    <row r="182" spans="5:12" ht="21" customHeight="1">
      <c r="E182" s="175"/>
      <c r="F182" s="175"/>
      <c r="G182" s="175"/>
      <c r="H182" s="175"/>
      <c r="I182" s="175"/>
      <c r="J182" s="175"/>
      <c r="K182" s="175"/>
      <c r="L182" s="175"/>
    </row>
    <row r="183" spans="5:12" ht="21" customHeight="1">
      <c r="E183" s="175"/>
      <c r="F183" s="175"/>
      <c r="G183" s="175"/>
      <c r="H183" s="175"/>
      <c r="I183" s="175"/>
      <c r="J183" s="175"/>
      <c r="K183" s="175"/>
      <c r="L183" s="175"/>
    </row>
    <row r="184" spans="5:12" ht="21" customHeight="1">
      <c r="E184" s="175"/>
      <c r="F184" s="175"/>
      <c r="G184" s="175"/>
      <c r="H184" s="175"/>
      <c r="I184" s="175"/>
      <c r="J184" s="175"/>
      <c r="K184" s="175"/>
      <c r="L184" s="175"/>
    </row>
    <row r="185" spans="5:12" ht="21" customHeight="1">
      <c r="E185" s="175"/>
      <c r="F185" s="175"/>
      <c r="G185" s="175"/>
      <c r="H185" s="175"/>
      <c r="I185" s="175"/>
      <c r="J185" s="175"/>
      <c r="K185" s="175"/>
      <c r="L185" s="175"/>
    </row>
    <row r="186" spans="5:12" ht="21" customHeight="1">
      <c r="E186" s="175"/>
      <c r="F186" s="175"/>
      <c r="G186" s="175"/>
      <c r="H186" s="175"/>
      <c r="I186" s="175"/>
      <c r="J186" s="175"/>
      <c r="K186" s="175"/>
      <c r="L186" s="175"/>
    </row>
    <row r="187" spans="5:12" ht="21" customHeight="1">
      <c r="E187" s="175"/>
      <c r="F187" s="175"/>
      <c r="G187" s="175"/>
      <c r="H187" s="175"/>
      <c r="I187" s="175"/>
      <c r="J187" s="175"/>
      <c r="K187" s="175"/>
      <c r="L187" s="175"/>
    </row>
    <row r="188" spans="5:12" ht="21" customHeight="1">
      <c r="E188" s="175"/>
      <c r="F188" s="175"/>
      <c r="G188" s="175"/>
      <c r="H188" s="175"/>
      <c r="I188" s="175"/>
      <c r="J188" s="175"/>
      <c r="K188" s="175"/>
      <c r="L188" s="175"/>
    </row>
    <row r="189" spans="5:12" ht="21" customHeight="1">
      <c r="E189" s="175"/>
      <c r="F189" s="175"/>
      <c r="G189" s="175"/>
      <c r="H189" s="175"/>
      <c r="I189" s="175"/>
      <c r="J189" s="175"/>
      <c r="K189" s="175"/>
      <c r="L189" s="175"/>
    </row>
    <row r="190" spans="5:12" ht="21" customHeight="1">
      <c r="E190" s="175"/>
      <c r="F190" s="175"/>
      <c r="G190" s="175"/>
      <c r="H190" s="175"/>
      <c r="I190" s="175"/>
      <c r="J190" s="175"/>
      <c r="K190" s="175"/>
      <c r="L190" s="175"/>
    </row>
    <row r="191" spans="5:12" ht="21" customHeight="1">
      <c r="E191" s="175"/>
      <c r="F191" s="175"/>
      <c r="G191" s="175"/>
      <c r="H191" s="175"/>
      <c r="I191" s="175"/>
      <c r="J191" s="175"/>
      <c r="K191" s="175"/>
      <c r="L191" s="175"/>
    </row>
    <row r="192" spans="5:12" ht="21" customHeight="1">
      <c r="E192" s="175"/>
      <c r="F192" s="175"/>
      <c r="G192" s="175"/>
      <c r="H192" s="175"/>
      <c r="I192" s="175"/>
      <c r="J192" s="175"/>
      <c r="K192" s="175"/>
      <c r="L192" s="175"/>
    </row>
    <row r="193" spans="5:12" ht="21" customHeight="1">
      <c r="E193" s="175"/>
      <c r="F193" s="175"/>
      <c r="G193" s="175"/>
      <c r="H193" s="175"/>
      <c r="I193" s="175"/>
      <c r="J193" s="175"/>
      <c r="K193" s="175"/>
      <c r="L193" s="175"/>
    </row>
    <row r="194" spans="5:12" ht="21" customHeight="1">
      <c r="E194" s="175"/>
      <c r="F194" s="175"/>
      <c r="G194" s="175"/>
      <c r="H194" s="175"/>
      <c r="I194" s="175"/>
      <c r="J194" s="175"/>
      <c r="K194" s="175"/>
      <c r="L194" s="175"/>
    </row>
    <row r="195" spans="5:12" ht="21" customHeight="1">
      <c r="E195" s="175"/>
      <c r="F195" s="175"/>
      <c r="G195" s="175"/>
      <c r="H195" s="175"/>
      <c r="I195" s="175"/>
      <c r="J195" s="175"/>
      <c r="K195" s="175"/>
      <c r="L195" s="175"/>
    </row>
    <row r="196" spans="5:12" ht="21" customHeight="1">
      <c r="E196" s="175"/>
      <c r="F196" s="175"/>
      <c r="G196" s="175"/>
      <c r="H196" s="175"/>
      <c r="I196" s="175"/>
      <c r="J196" s="175"/>
      <c r="K196" s="175"/>
      <c r="L196" s="175"/>
    </row>
    <row r="197" spans="5:12" ht="21" customHeight="1">
      <c r="E197" s="175"/>
      <c r="F197" s="175"/>
      <c r="G197" s="175"/>
      <c r="H197" s="175"/>
      <c r="I197" s="175"/>
      <c r="J197" s="175"/>
      <c r="K197" s="175"/>
      <c r="L197" s="175"/>
    </row>
    <row r="198" spans="5:12" ht="21" customHeight="1">
      <c r="E198" s="175"/>
      <c r="F198" s="175"/>
      <c r="G198" s="175"/>
      <c r="H198" s="175"/>
      <c r="I198" s="175"/>
      <c r="J198" s="175"/>
      <c r="K198" s="175"/>
      <c r="L198" s="175"/>
    </row>
    <row r="199" spans="5:12" ht="21" customHeight="1">
      <c r="E199" s="175"/>
      <c r="F199" s="175"/>
      <c r="G199" s="175"/>
      <c r="H199" s="175"/>
      <c r="I199" s="175"/>
      <c r="J199" s="175"/>
      <c r="K199" s="175"/>
      <c r="L199" s="175"/>
    </row>
    <row r="200" spans="5:12" ht="21" customHeight="1">
      <c r="E200" s="175"/>
      <c r="F200" s="175"/>
      <c r="G200" s="175"/>
      <c r="H200" s="175"/>
      <c r="I200" s="175"/>
      <c r="J200" s="175"/>
      <c r="K200" s="175"/>
      <c r="L200" s="175"/>
    </row>
    <row r="201" spans="5:12" ht="21" customHeight="1">
      <c r="E201" s="175"/>
      <c r="F201" s="175"/>
      <c r="G201" s="175"/>
      <c r="H201" s="175"/>
      <c r="I201" s="175"/>
      <c r="J201" s="175"/>
      <c r="K201" s="175"/>
      <c r="L201" s="175"/>
    </row>
    <row r="202" spans="5:12" ht="21" customHeight="1">
      <c r="E202" s="175"/>
      <c r="F202" s="175"/>
      <c r="G202" s="175"/>
      <c r="H202" s="175"/>
      <c r="I202" s="175"/>
      <c r="J202" s="175"/>
      <c r="K202" s="175"/>
      <c r="L202" s="175"/>
    </row>
    <row r="203" spans="5:12" ht="21" customHeight="1">
      <c r="E203" s="175"/>
      <c r="F203" s="175"/>
      <c r="G203" s="175"/>
      <c r="H203" s="175"/>
      <c r="I203" s="175"/>
      <c r="J203" s="175"/>
      <c r="K203" s="175"/>
      <c r="L203" s="175"/>
    </row>
    <row r="204" spans="5:12" ht="21" customHeight="1">
      <c r="E204" s="175"/>
      <c r="F204" s="175"/>
      <c r="G204" s="175"/>
      <c r="H204" s="175"/>
      <c r="I204" s="175"/>
      <c r="J204" s="175"/>
      <c r="K204" s="175"/>
      <c r="L204" s="175"/>
    </row>
    <row r="205" spans="5:12" ht="21" customHeight="1">
      <c r="E205" s="175"/>
      <c r="F205" s="175"/>
      <c r="G205" s="175"/>
      <c r="H205" s="175"/>
      <c r="I205" s="175"/>
      <c r="J205" s="175"/>
      <c r="K205" s="175"/>
      <c r="L205" s="175"/>
    </row>
    <row r="206" spans="5:12" ht="21" customHeight="1">
      <c r="E206" s="175"/>
      <c r="F206" s="175"/>
      <c r="G206" s="175"/>
      <c r="H206" s="175"/>
      <c r="I206" s="175"/>
      <c r="J206" s="175"/>
      <c r="K206" s="175"/>
      <c r="L206" s="175"/>
    </row>
    <row r="207" spans="5:12" ht="21" customHeight="1">
      <c r="E207" s="175"/>
      <c r="F207" s="175"/>
      <c r="G207" s="175"/>
      <c r="H207" s="175"/>
      <c r="I207" s="175"/>
      <c r="J207" s="175"/>
      <c r="K207" s="175"/>
      <c r="L207" s="175"/>
    </row>
    <row r="208" spans="5:12" ht="21" customHeight="1">
      <c r="E208" s="175"/>
      <c r="F208" s="175"/>
      <c r="G208" s="175"/>
      <c r="H208" s="175"/>
      <c r="I208" s="175"/>
      <c r="J208" s="175"/>
      <c r="K208" s="175"/>
      <c r="L208" s="175"/>
    </row>
    <row r="209" spans="5:12" ht="21" customHeight="1">
      <c r="E209" s="175"/>
      <c r="F209" s="175"/>
      <c r="G209" s="175"/>
      <c r="H209" s="175"/>
      <c r="I209" s="175"/>
      <c r="J209" s="175"/>
      <c r="K209" s="175"/>
      <c r="L209" s="175"/>
    </row>
    <row r="210" spans="5:12" ht="21" customHeight="1">
      <c r="E210" s="175"/>
      <c r="F210" s="175"/>
      <c r="G210" s="175"/>
      <c r="H210" s="175"/>
      <c r="I210" s="175"/>
      <c r="J210" s="175"/>
      <c r="K210" s="175"/>
      <c r="L210" s="175"/>
    </row>
    <row r="211" spans="5:12" ht="21" customHeight="1">
      <c r="E211" s="175"/>
      <c r="F211" s="175"/>
      <c r="G211" s="175"/>
      <c r="H211" s="175"/>
      <c r="I211" s="175"/>
      <c r="J211" s="175"/>
      <c r="K211" s="175"/>
      <c r="L211" s="175"/>
    </row>
    <row r="212" spans="5:12" ht="21" customHeight="1">
      <c r="E212" s="175"/>
      <c r="F212" s="175"/>
      <c r="G212" s="175"/>
      <c r="H212" s="175"/>
      <c r="I212" s="175"/>
      <c r="J212" s="175"/>
      <c r="K212" s="175"/>
      <c r="L212" s="175"/>
    </row>
    <row r="213" spans="5:12" ht="21" customHeight="1">
      <c r="E213" s="175"/>
      <c r="F213" s="175"/>
      <c r="G213" s="175"/>
      <c r="H213" s="175"/>
      <c r="I213" s="175"/>
      <c r="J213" s="175"/>
      <c r="K213" s="175"/>
      <c r="L213" s="175"/>
    </row>
    <row r="214" spans="5:12" ht="21" customHeight="1">
      <c r="E214" s="175"/>
      <c r="F214" s="175"/>
      <c r="G214" s="175"/>
      <c r="H214" s="175"/>
      <c r="I214" s="175"/>
      <c r="J214" s="175"/>
      <c r="K214" s="175"/>
      <c r="L214" s="175"/>
    </row>
    <row r="215" spans="5:12" ht="21" customHeight="1">
      <c r="E215" s="175"/>
      <c r="F215" s="175"/>
      <c r="G215" s="175"/>
      <c r="H215" s="175"/>
      <c r="I215" s="175"/>
      <c r="J215" s="175"/>
      <c r="K215" s="175"/>
      <c r="L215" s="175"/>
    </row>
    <row r="216" spans="5:12" ht="21" customHeight="1">
      <c r="E216" s="175"/>
      <c r="F216" s="175"/>
      <c r="G216" s="175"/>
      <c r="H216" s="175"/>
      <c r="I216" s="175"/>
      <c r="J216" s="175"/>
      <c r="K216" s="175"/>
      <c r="L216" s="175"/>
    </row>
    <row r="217" spans="5:12" ht="21" customHeight="1">
      <c r="E217" s="175"/>
      <c r="F217" s="175"/>
      <c r="G217" s="175"/>
      <c r="H217" s="175"/>
      <c r="I217" s="175"/>
      <c r="J217" s="175"/>
      <c r="K217" s="175"/>
      <c r="L217" s="175"/>
    </row>
    <row r="218" spans="5:12" ht="21" customHeight="1">
      <c r="E218" s="175"/>
      <c r="F218" s="175"/>
      <c r="G218" s="175"/>
      <c r="H218" s="175"/>
      <c r="I218" s="175"/>
      <c r="J218" s="175"/>
      <c r="K218" s="175"/>
      <c r="L218" s="175"/>
    </row>
    <row r="219" spans="5:12" ht="21" customHeight="1">
      <c r="E219" s="175"/>
      <c r="F219" s="175"/>
      <c r="G219" s="175"/>
      <c r="H219" s="175"/>
      <c r="I219" s="175"/>
      <c r="J219" s="175"/>
      <c r="K219" s="175"/>
      <c r="L219" s="175"/>
    </row>
    <row r="220" spans="5:12" ht="21" customHeight="1">
      <c r="E220" s="175"/>
      <c r="F220" s="175"/>
      <c r="G220" s="175"/>
      <c r="H220" s="175"/>
      <c r="I220" s="175"/>
      <c r="J220" s="175"/>
      <c r="K220" s="175"/>
      <c r="L220" s="175"/>
    </row>
    <row r="221" spans="5:12" ht="21" customHeight="1">
      <c r="E221" s="175"/>
      <c r="F221" s="175"/>
      <c r="G221" s="175"/>
      <c r="H221" s="175"/>
      <c r="I221" s="175"/>
      <c r="J221" s="175"/>
      <c r="K221" s="175"/>
      <c r="L221" s="175"/>
    </row>
    <row r="222" spans="5:12" ht="21" customHeight="1">
      <c r="E222" s="175"/>
      <c r="F222" s="175"/>
      <c r="G222" s="175"/>
      <c r="H222" s="175"/>
      <c r="I222" s="175"/>
      <c r="J222" s="175"/>
      <c r="K222" s="175"/>
      <c r="L222" s="175"/>
    </row>
    <row r="223" spans="5:12" ht="21" customHeight="1">
      <c r="E223" s="175"/>
      <c r="F223" s="175"/>
      <c r="G223" s="175"/>
      <c r="H223" s="175"/>
      <c r="I223" s="175"/>
      <c r="J223" s="175"/>
      <c r="K223" s="175"/>
      <c r="L223" s="175"/>
    </row>
    <row r="224" spans="5:12" ht="21" customHeight="1">
      <c r="E224" s="175"/>
      <c r="F224" s="175"/>
      <c r="G224" s="175"/>
      <c r="H224" s="175"/>
      <c r="I224" s="175"/>
      <c r="J224" s="175"/>
      <c r="K224" s="175"/>
      <c r="L224" s="175"/>
    </row>
    <row r="225" spans="5:12" ht="21" customHeight="1">
      <c r="E225" s="175"/>
      <c r="F225" s="175"/>
      <c r="G225" s="175"/>
      <c r="H225" s="175"/>
      <c r="I225" s="175"/>
      <c r="J225" s="175"/>
      <c r="K225" s="175"/>
      <c r="L225" s="175"/>
    </row>
    <row r="226" spans="5:12" ht="21" customHeight="1">
      <c r="E226" s="175"/>
      <c r="F226" s="175"/>
      <c r="G226" s="175"/>
      <c r="H226" s="175"/>
      <c r="I226" s="175"/>
      <c r="J226" s="175"/>
      <c r="K226" s="175"/>
      <c r="L226" s="175"/>
    </row>
    <row r="227" spans="5:12" ht="21" customHeight="1">
      <c r="E227" s="175"/>
      <c r="F227" s="175"/>
      <c r="G227" s="175"/>
      <c r="H227" s="175"/>
      <c r="I227" s="175"/>
      <c r="J227" s="175"/>
      <c r="K227" s="175"/>
      <c r="L227" s="175"/>
    </row>
    <row r="228" spans="5:12" ht="21" customHeight="1">
      <c r="E228" s="175"/>
      <c r="F228" s="175"/>
      <c r="G228" s="175"/>
      <c r="H228" s="175"/>
      <c r="I228" s="175"/>
      <c r="J228" s="175"/>
      <c r="K228" s="175"/>
      <c r="L228" s="175"/>
    </row>
    <row r="229" spans="5:12" ht="21" customHeight="1">
      <c r="E229" s="175"/>
      <c r="F229" s="175"/>
      <c r="G229" s="175"/>
      <c r="H229" s="175"/>
      <c r="I229" s="175"/>
      <c r="J229" s="175"/>
      <c r="K229" s="175"/>
      <c r="L229" s="175"/>
    </row>
    <row r="230" spans="5:12" ht="21" customHeight="1">
      <c r="E230" s="175"/>
      <c r="F230" s="175"/>
      <c r="G230" s="175"/>
      <c r="H230" s="175"/>
      <c r="I230" s="175"/>
      <c r="J230" s="175"/>
      <c r="K230" s="175"/>
      <c r="L230" s="175"/>
    </row>
    <row r="231" spans="5:12" ht="21" customHeight="1">
      <c r="E231" s="175"/>
      <c r="F231" s="175"/>
      <c r="G231" s="175"/>
      <c r="H231" s="175"/>
      <c r="I231" s="175"/>
      <c r="J231" s="175"/>
      <c r="K231" s="175"/>
      <c r="L231" s="175"/>
    </row>
    <row r="232" spans="5:12" ht="21" customHeight="1">
      <c r="E232" s="175"/>
      <c r="F232" s="175"/>
      <c r="G232" s="175"/>
      <c r="H232" s="175"/>
      <c r="I232" s="175"/>
      <c r="J232" s="175"/>
      <c r="K232" s="175"/>
      <c r="L232" s="175"/>
    </row>
    <row r="233" spans="5:12" ht="21" customHeight="1">
      <c r="E233" s="175"/>
      <c r="F233" s="175"/>
      <c r="G233" s="175"/>
      <c r="H233" s="175"/>
      <c r="I233" s="175"/>
      <c r="J233" s="175"/>
      <c r="K233" s="175"/>
      <c r="L233" s="175"/>
    </row>
    <row r="234" spans="5:12" ht="21" customHeight="1">
      <c r="E234" s="175"/>
      <c r="F234" s="175"/>
      <c r="G234" s="175"/>
      <c r="H234" s="175"/>
      <c r="I234" s="175"/>
      <c r="J234" s="175"/>
      <c r="K234" s="175"/>
      <c r="L234" s="175"/>
    </row>
    <row r="235" spans="5:12" ht="21" customHeight="1">
      <c r="E235" s="175"/>
      <c r="F235" s="175"/>
      <c r="G235" s="175"/>
      <c r="H235" s="175"/>
      <c r="I235" s="175"/>
      <c r="J235" s="175"/>
      <c r="K235" s="175"/>
      <c r="L235" s="175"/>
    </row>
    <row r="236" spans="5:12" ht="21" customHeight="1">
      <c r="E236" s="175"/>
      <c r="F236" s="175"/>
      <c r="G236" s="175"/>
      <c r="H236" s="175"/>
      <c r="I236" s="175"/>
      <c r="J236" s="175"/>
      <c r="K236" s="175"/>
      <c r="L236" s="175"/>
    </row>
    <row r="237" spans="5:12" ht="21" customHeight="1">
      <c r="E237" s="175"/>
      <c r="F237" s="175"/>
      <c r="G237" s="175"/>
      <c r="H237" s="175"/>
      <c r="I237" s="175"/>
      <c r="J237" s="175"/>
      <c r="K237" s="175"/>
      <c r="L237" s="175"/>
    </row>
    <row r="238" spans="5:12" ht="21" customHeight="1">
      <c r="E238" s="175"/>
      <c r="F238" s="175"/>
      <c r="G238" s="175"/>
      <c r="H238" s="175"/>
      <c r="I238" s="175"/>
      <c r="J238" s="175"/>
      <c r="K238" s="175"/>
      <c r="L238" s="175"/>
    </row>
    <row r="239" spans="5:12" ht="21" customHeight="1">
      <c r="E239" s="175"/>
      <c r="F239" s="175"/>
      <c r="G239" s="175"/>
      <c r="H239" s="175"/>
      <c r="I239" s="175"/>
      <c r="J239" s="175"/>
      <c r="K239" s="175"/>
      <c r="L239" s="175"/>
    </row>
    <row r="240" spans="5:12" ht="21" customHeight="1">
      <c r="E240" s="175"/>
      <c r="F240" s="175"/>
      <c r="G240" s="175"/>
      <c r="H240" s="175"/>
      <c r="I240" s="175"/>
      <c r="J240" s="175"/>
      <c r="K240" s="175"/>
      <c r="L240" s="175"/>
    </row>
    <row r="241" spans="5:12" ht="21" customHeight="1">
      <c r="E241" s="175"/>
      <c r="F241" s="175"/>
      <c r="G241" s="175"/>
      <c r="H241" s="175"/>
      <c r="I241" s="175"/>
      <c r="J241" s="175"/>
      <c r="K241" s="175"/>
      <c r="L241" s="175"/>
    </row>
    <row r="242" spans="5:12" ht="21" customHeight="1">
      <c r="E242" s="175"/>
      <c r="F242" s="175"/>
      <c r="G242" s="175"/>
      <c r="H242" s="175"/>
      <c r="I242" s="175"/>
      <c r="J242" s="175"/>
      <c r="K242" s="175"/>
      <c r="L242" s="175"/>
    </row>
    <row r="243" spans="5:12" ht="21" customHeight="1">
      <c r="E243" s="175"/>
      <c r="F243" s="175"/>
      <c r="G243" s="175"/>
      <c r="H243" s="175"/>
      <c r="I243" s="175"/>
      <c r="J243" s="175"/>
      <c r="K243" s="175"/>
      <c r="L243" s="175"/>
    </row>
    <row r="244" spans="5:12" ht="21" customHeight="1">
      <c r="E244" s="175"/>
      <c r="F244" s="175"/>
      <c r="G244" s="175"/>
      <c r="H244" s="175"/>
      <c r="I244" s="175"/>
      <c r="J244" s="175"/>
      <c r="K244" s="175"/>
      <c r="L244" s="175"/>
    </row>
    <row r="245" spans="5:12" ht="21" customHeight="1">
      <c r="E245" s="175"/>
      <c r="F245" s="175"/>
      <c r="G245" s="175"/>
      <c r="H245" s="175"/>
      <c r="I245" s="175"/>
      <c r="J245" s="175"/>
      <c r="K245" s="175"/>
      <c r="L245" s="175"/>
    </row>
    <row r="246" spans="5:12" ht="21" customHeight="1">
      <c r="E246" s="175"/>
      <c r="F246" s="175"/>
      <c r="G246" s="175"/>
      <c r="H246" s="175"/>
      <c r="I246" s="175"/>
      <c r="J246" s="175"/>
      <c r="K246" s="175"/>
      <c r="L246" s="175"/>
    </row>
    <row r="247" spans="5:12" ht="21" customHeight="1">
      <c r="E247" s="175"/>
      <c r="F247" s="175"/>
      <c r="G247" s="175"/>
      <c r="H247" s="175"/>
      <c r="I247" s="175"/>
      <c r="J247" s="175"/>
      <c r="K247" s="175"/>
      <c r="L247" s="175"/>
    </row>
    <row r="248" spans="5:12" ht="21" customHeight="1">
      <c r="E248" s="175"/>
      <c r="F248" s="175"/>
      <c r="G248" s="175"/>
      <c r="H248" s="175"/>
      <c r="I248" s="175"/>
      <c r="J248" s="175"/>
      <c r="K248" s="175"/>
      <c r="L248" s="175"/>
    </row>
    <row r="249" spans="5:12" ht="21" customHeight="1">
      <c r="E249" s="175"/>
      <c r="F249" s="175"/>
      <c r="G249" s="175"/>
      <c r="H249" s="175"/>
      <c r="I249" s="175"/>
      <c r="J249" s="175"/>
      <c r="K249" s="175"/>
      <c r="L249" s="175"/>
    </row>
    <row r="250" spans="5:12" ht="21" customHeight="1">
      <c r="E250" s="175"/>
      <c r="F250" s="175"/>
      <c r="G250" s="175"/>
      <c r="H250" s="175"/>
      <c r="I250" s="175"/>
      <c r="J250" s="175"/>
      <c r="K250" s="175"/>
      <c r="L250" s="175"/>
    </row>
    <row r="251" spans="5:12" ht="21" customHeight="1">
      <c r="E251" s="175"/>
      <c r="F251" s="175"/>
      <c r="G251" s="175"/>
      <c r="H251" s="175"/>
      <c r="I251" s="175"/>
      <c r="J251" s="175"/>
      <c r="K251" s="175"/>
      <c r="L251" s="175"/>
    </row>
    <row r="252" spans="5:12" ht="21" customHeight="1">
      <c r="E252" s="175"/>
      <c r="F252" s="175"/>
      <c r="G252" s="175"/>
      <c r="H252" s="175"/>
      <c r="I252" s="175"/>
      <c r="J252" s="175"/>
      <c r="K252" s="175"/>
      <c r="L252" s="175"/>
    </row>
    <row r="253" spans="5:12" ht="21" customHeight="1">
      <c r="E253" s="175"/>
      <c r="F253" s="175"/>
      <c r="G253" s="175"/>
      <c r="H253" s="175"/>
      <c r="I253" s="175"/>
      <c r="J253" s="175"/>
      <c r="K253" s="175"/>
      <c r="L253" s="175"/>
    </row>
    <row r="254" spans="5:12" ht="21" customHeight="1">
      <c r="E254" s="175"/>
      <c r="F254" s="175"/>
      <c r="G254" s="175"/>
      <c r="H254" s="175"/>
      <c r="I254" s="175"/>
      <c r="J254" s="175"/>
      <c r="K254" s="175"/>
      <c r="L254" s="175"/>
    </row>
    <row r="255" spans="5:12" ht="21" customHeight="1">
      <c r="E255" s="175"/>
      <c r="F255" s="175"/>
      <c r="G255" s="175"/>
      <c r="H255" s="175"/>
      <c r="I255" s="175"/>
      <c r="J255" s="175"/>
      <c r="K255" s="175"/>
      <c r="L255" s="175"/>
    </row>
    <row r="256" spans="5:12" ht="21" customHeight="1">
      <c r="E256" s="175"/>
      <c r="F256" s="175"/>
      <c r="G256" s="175"/>
      <c r="H256" s="175"/>
      <c r="I256" s="175"/>
      <c r="J256" s="175"/>
      <c r="K256" s="175"/>
      <c r="L256" s="175"/>
    </row>
    <row r="257" spans="5:12" ht="21" customHeight="1">
      <c r="E257" s="175"/>
      <c r="F257" s="175"/>
      <c r="G257" s="175"/>
      <c r="H257" s="175"/>
      <c r="I257" s="175"/>
      <c r="J257" s="175"/>
      <c r="K257" s="175"/>
      <c r="L257" s="175"/>
    </row>
    <row r="258" spans="5:12" ht="21" customHeight="1">
      <c r="E258" s="175"/>
      <c r="F258" s="175"/>
      <c r="G258" s="175"/>
      <c r="H258" s="175"/>
      <c r="I258" s="175"/>
      <c r="J258" s="175"/>
      <c r="K258" s="175"/>
      <c r="L258" s="175"/>
    </row>
    <row r="259" spans="5:12" ht="21" customHeight="1">
      <c r="E259" s="175"/>
      <c r="F259" s="175"/>
      <c r="G259" s="175"/>
      <c r="H259" s="175"/>
      <c r="I259" s="175"/>
      <c r="J259" s="175"/>
      <c r="K259" s="175"/>
      <c r="L259" s="175"/>
    </row>
    <row r="260" spans="5:12" ht="21" customHeight="1">
      <c r="E260" s="175"/>
      <c r="F260" s="175"/>
      <c r="G260" s="175"/>
      <c r="H260" s="175"/>
      <c r="I260" s="175"/>
      <c r="J260" s="175"/>
      <c r="K260" s="175"/>
      <c r="L260" s="175"/>
    </row>
    <row r="261" spans="5:12" ht="21" customHeight="1">
      <c r="E261" s="175"/>
      <c r="F261" s="175"/>
      <c r="G261" s="175"/>
      <c r="H261" s="175"/>
      <c r="I261" s="175"/>
      <c r="J261" s="175"/>
      <c r="K261" s="175"/>
      <c r="L261" s="175"/>
    </row>
    <row r="262" spans="5:12" ht="21" customHeight="1">
      <c r="E262" s="175"/>
      <c r="F262" s="175"/>
      <c r="G262" s="175"/>
      <c r="H262" s="175"/>
      <c r="I262" s="175"/>
      <c r="J262" s="175"/>
      <c r="K262" s="175"/>
      <c r="L262" s="175"/>
    </row>
    <row r="263" spans="5:12" ht="21" customHeight="1">
      <c r="E263" s="175"/>
      <c r="F263" s="175"/>
      <c r="G263" s="175"/>
      <c r="H263" s="175"/>
      <c r="I263" s="175"/>
      <c r="J263" s="175"/>
      <c r="K263" s="175"/>
      <c r="L263" s="175"/>
    </row>
    <row r="264" spans="5:12" ht="21" customHeight="1">
      <c r="E264" s="175"/>
      <c r="F264" s="175"/>
      <c r="G264" s="175"/>
      <c r="H264" s="175"/>
      <c r="I264" s="175"/>
      <c r="J264" s="175"/>
      <c r="K264" s="175"/>
      <c r="L264" s="175"/>
    </row>
    <row r="265" spans="5:12" ht="21" customHeight="1">
      <c r="E265" s="175"/>
      <c r="F265" s="175"/>
      <c r="G265" s="175"/>
      <c r="H265" s="175"/>
      <c r="I265" s="175"/>
      <c r="J265" s="175"/>
      <c r="K265" s="175"/>
      <c r="L265" s="175"/>
    </row>
    <row r="266" spans="5:12" ht="21" customHeight="1">
      <c r="E266" s="175"/>
      <c r="F266" s="175"/>
      <c r="G266" s="175"/>
      <c r="H266" s="175"/>
      <c r="I266" s="175"/>
      <c r="J266" s="175"/>
      <c r="K266" s="175"/>
      <c r="L266" s="175"/>
    </row>
    <row r="267" spans="5:12" ht="21" customHeight="1">
      <c r="E267" s="175"/>
      <c r="F267" s="175"/>
      <c r="G267" s="175"/>
      <c r="H267" s="175"/>
      <c r="I267" s="175"/>
      <c r="J267" s="175"/>
      <c r="K267" s="175"/>
      <c r="L267" s="175"/>
    </row>
    <row r="268" spans="5:12" ht="21" customHeight="1">
      <c r="E268" s="175"/>
      <c r="F268" s="175"/>
      <c r="G268" s="175"/>
      <c r="H268" s="175"/>
      <c r="I268" s="175"/>
      <c r="J268" s="175"/>
      <c r="K268" s="175"/>
      <c r="L268" s="175"/>
    </row>
    <row r="269" spans="5:12" ht="21" customHeight="1">
      <c r="E269" s="175"/>
      <c r="F269" s="175"/>
      <c r="G269" s="175"/>
      <c r="H269" s="175"/>
      <c r="I269" s="175"/>
      <c r="J269" s="175"/>
      <c r="K269" s="175"/>
      <c r="L269" s="175"/>
    </row>
    <row r="270" spans="5:12" ht="21" customHeight="1">
      <c r="E270" s="175"/>
      <c r="F270" s="175"/>
      <c r="G270" s="175"/>
      <c r="H270" s="175"/>
      <c r="I270" s="175"/>
      <c r="J270" s="175"/>
      <c r="K270" s="175"/>
      <c r="L270" s="175"/>
    </row>
    <row r="271" spans="5:12" ht="21" customHeight="1">
      <c r="E271" s="175"/>
      <c r="F271" s="175"/>
      <c r="G271" s="175"/>
      <c r="H271" s="175"/>
      <c r="I271" s="175"/>
      <c r="J271" s="175"/>
      <c r="K271" s="175"/>
      <c r="L271" s="175"/>
    </row>
    <row r="272" spans="5:12" ht="21" customHeight="1">
      <c r="E272" s="175"/>
      <c r="F272" s="175"/>
      <c r="G272" s="175"/>
      <c r="H272" s="175"/>
      <c r="I272" s="175"/>
      <c r="J272" s="175"/>
      <c r="K272" s="175"/>
      <c r="L272" s="175"/>
    </row>
    <row r="273" spans="5:12" ht="21" customHeight="1">
      <c r="E273" s="175"/>
      <c r="F273" s="175"/>
      <c r="G273" s="175"/>
      <c r="H273" s="175"/>
      <c r="I273" s="175"/>
      <c r="J273" s="175"/>
      <c r="K273" s="175"/>
      <c r="L273" s="175"/>
    </row>
    <row r="274" spans="5:12" ht="21" customHeight="1">
      <c r="E274" s="175"/>
      <c r="F274" s="175"/>
      <c r="G274" s="175"/>
      <c r="H274" s="175"/>
      <c r="I274" s="175"/>
      <c r="J274" s="175"/>
      <c r="K274" s="175"/>
      <c r="L274" s="175"/>
    </row>
    <row r="275" spans="5:12" ht="21" customHeight="1">
      <c r="E275" s="175"/>
      <c r="F275" s="175"/>
      <c r="G275" s="175"/>
      <c r="H275" s="175"/>
      <c r="I275" s="175"/>
      <c r="J275" s="175"/>
      <c r="K275" s="175"/>
      <c r="L275" s="175"/>
    </row>
    <row r="276" spans="5:12" ht="21" customHeight="1">
      <c r="E276" s="175"/>
      <c r="F276" s="175"/>
      <c r="G276" s="175"/>
      <c r="H276" s="175"/>
      <c r="I276" s="175"/>
      <c r="J276" s="175"/>
      <c r="K276" s="175"/>
      <c r="L276" s="175"/>
    </row>
    <row r="277" spans="5:12" ht="21" customHeight="1">
      <c r="E277" s="175"/>
      <c r="F277" s="175"/>
      <c r="G277" s="175"/>
      <c r="H277" s="175"/>
      <c r="I277" s="175"/>
      <c r="J277" s="175"/>
      <c r="K277" s="175"/>
      <c r="L277" s="175"/>
    </row>
    <row r="278" spans="5:12" ht="21" customHeight="1">
      <c r="E278" s="175"/>
      <c r="F278" s="175"/>
      <c r="G278" s="175"/>
      <c r="H278" s="175"/>
      <c r="I278" s="175"/>
      <c r="J278" s="175"/>
      <c r="K278" s="175"/>
      <c r="L278" s="175"/>
    </row>
    <row r="279" spans="5:12" ht="21" customHeight="1">
      <c r="E279" s="175"/>
      <c r="F279" s="175"/>
      <c r="G279" s="175"/>
      <c r="H279" s="175"/>
      <c r="I279" s="175"/>
      <c r="J279" s="175"/>
      <c r="K279" s="175"/>
      <c r="L279" s="175"/>
    </row>
    <row r="280" spans="5:12" ht="21" customHeight="1">
      <c r="E280" s="175"/>
      <c r="F280" s="175"/>
      <c r="G280" s="175"/>
      <c r="H280" s="175"/>
      <c r="I280" s="175"/>
      <c r="J280" s="175"/>
      <c r="K280" s="175"/>
      <c r="L280" s="175"/>
    </row>
    <row r="281" spans="5:12" ht="21" customHeight="1">
      <c r="E281" s="175"/>
      <c r="F281" s="175"/>
      <c r="G281" s="175"/>
      <c r="H281" s="175"/>
      <c r="I281" s="175"/>
      <c r="J281" s="175"/>
      <c r="K281" s="175"/>
      <c r="L281" s="175"/>
    </row>
    <row r="282" spans="5:12" ht="21" customHeight="1">
      <c r="E282" s="175"/>
      <c r="F282" s="175"/>
      <c r="G282" s="175"/>
      <c r="H282" s="175"/>
      <c r="I282" s="175"/>
      <c r="J282" s="175"/>
      <c r="K282" s="175"/>
      <c r="L282" s="175"/>
    </row>
    <row r="283" spans="5:12" ht="21" customHeight="1">
      <c r="E283" s="175"/>
      <c r="F283" s="175"/>
      <c r="G283" s="175"/>
      <c r="H283" s="175"/>
      <c r="I283" s="175"/>
      <c r="J283" s="175"/>
      <c r="K283" s="175"/>
      <c r="L283" s="175"/>
    </row>
    <row r="284" spans="5:12" ht="21" customHeight="1">
      <c r="E284" s="175"/>
      <c r="F284" s="175"/>
      <c r="G284" s="175"/>
      <c r="H284" s="175"/>
      <c r="I284" s="175"/>
      <c r="J284" s="175"/>
      <c r="K284" s="175"/>
      <c r="L284" s="175"/>
    </row>
    <row r="285" spans="5:12" ht="21" customHeight="1">
      <c r="E285" s="175"/>
      <c r="F285" s="175"/>
      <c r="G285" s="175"/>
      <c r="H285" s="175"/>
      <c r="I285" s="175"/>
      <c r="J285" s="175"/>
      <c r="K285" s="175"/>
      <c r="L285" s="175"/>
    </row>
    <row r="286" spans="5:12" ht="21" customHeight="1">
      <c r="E286" s="175"/>
      <c r="F286" s="175"/>
      <c r="G286" s="175"/>
      <c r="H286" s="175"/>
      <c r="I286" s="175"/>
      <c r="J286" s="175"/>
      <c r="K286" s="175"/>
      <c r="L286" s="175"/>
    </row>
    <row r="287" spans="5:12" ht="21" customHeight="1">
      <c r="E287" s="175"/>
      <c r="F287" s="175"/>
      <c r="G287" s="175"/>
      <c r="H287" s="175"/>
      <c r="I287" s="175"/>
      <c r="J287" s="175"/>
      <c r="K287" s="175"/>
      <c r="L287" s="175"/>
    </row>
    <row r="288" spans="5:12" ht="21" customHeight="1">
      <c r="E288" s="175"/>
      <c r="F288" s="175"/>
      <c r="G288" s="175"/>
      <c r="H288" s="175"/>
      <c r="I288" s="175"/>
      <c r="J288" s="175"/>
      <c r="K288" s="175"/>
      <c r="L288" s="175"/>
    </row>
    <row r="289" spans="5:12" ht="21" customHeight="1">
      <c r="E289" s="175"/>
      <c r="F289" s="175"/>
      <c r="G289" s="175"/>
      <c r="H289" s="175"/>
      <c r="I289" s="175"/>
      <c r="J289" s="175"/>
      <c r="K289" s="175"/>
      <c r="L289" s="175"/>
    </row>
    <row r="290" spans="5:12" ht="21" customHeight="1">
      <c r="E290" s="175"/>
      <c r="F290" s="175"/>
      <c r="G290" s="175"/>
      <c r="H290" s="175"/>
      <c r="I290" s="175"/>
      <c r="J290" s="175"/>
      <c r="K290" s="175"/>
      <c r="L290" s="175"/>
    </row>
    <row r="291" spans="5:12" ht="21" customHeight="1">
      <c r="E291" s="175"/>
      <c r="F291" s="175"/>
      <c r="G291" s="175"/>
      <c r="H291" s="175"/>
      <c r="I291" s="175"/>
      <c r="J291" s="175"/>
      <c r="K291" s="175"/>
      <c r="L291" s="175"/>
    </row>
    <row r="292" spans="5:12" ht="21" customHeight="1">
      <c r="E292" s="175"/>
      <c r="F292" s="175"/>
      <c r="G292" s="175"/>
      <c r="H292" s="175"/>
      <c r="I292" s="175"/>
      <c r="J292" s="175"/>
      <c r="K292" s="175"/>
      <c r="L292" s="175"/>
    </row>
    <row r="293" spans="5:12" ht="21" customHeight="1">
      <c r="E293" s="175"/>
      <c r="F293" s="175"/>
      <c r="G293" s="175"/>
      <c r="H293" s="175"/>
      <c r="I293" s="175"/>
      <c r="J293" s="175"/>
      <c r="K293" s="175"/>
      <c r="L293" s="175"/>
    </row>
    <row r="294" spans="5:12" ht="21" customHeight="1">
      <c r="E294" s="175"/>
      <c r="F294" s="175"/>
      <c r="G294" s="175"/>
      <c r="H294" s="175"/>
      <c r="I294" s="175"/>
      <c r="J294" s="175"/>
      <c r="K294" s="175"/>
      <c r="L294" s="175"/>
    </row>
    <row r="295" spans="5:12" ht="21" customHeight="1">
      <c r="E295" s="175"/>
      <c r="F295" s="175"/>
      <c r="G295" s="175"/>
      <c r="H295" s="175"/>
      <c r="I295" s="175"/>
      <c r="J295" s="175"/>
      <c r="K295" s="175"/>
      <c r="L295" s="175"/>
    </row>
    <row r="296" spans="5:12" ht="21" customHeight="1">
      <c r="E296" s="175"/>
      <c r="F296" s="175"/>
      <c r="G296" s="175"/>
      <c r="H296" s="175"/>
      <c r="I296" s="175"/>
      <c r="J296" s="175"/>
      <c r="K296" s="175"/>
      <c r="L296" s="175"/>
    </row>
    <row r="297" spans="5:12" ht="21" customHeight="1">
      <c r="E297" s="175"/>
      <c r="F297" s="175"/>
      <c r="G297" s="175"/>
      <c r="H297" s="175"/>
      <c r="I297" s="175"/>
      <c r="J297" s="175"/>
      <c r="K297" s="175"/>
      <c r="L297" s="175"/>
    </row>
    <row r="298" spans="5:12" ht="21" customHeight="1">
      <c r="E298" s="175"/>
      <c r="F298" s="175"/>
      <c r="G298" s="175"/>
      <c r="H298" s="175"/>
      <c r="I298" s="175"/>
      <c r="J298" s="175"/>
      <c r="K298" s="175"/>
      <c r="L298" s="175"/>
    </row>
    <row r="299" spans="5:12" ht="21" customHeight="1">
      <c r="E299" s="175"/>
      <c r="F299" s="175"/>
      <c r="G299" s="175"/>
      <c r="H299" s="175"/>
      <c r="I299" s="175"/>
      <c r="J299" s="175"/>
      <c r="K299" s="175"/>
      <c r="L299" s="175"/>
    </row>
    <row r="300" spans="5:12" ht="21" customHeight="1">
      <c r="E300" s="175"/>
      <c r="F300" s="175"/>
      <c r="G300" s="175"/>
      <c r="H300" s="175"/>
      <c r="I300" s="175"/>
      <c r="J300" s="175"/>
      <c r="K300" s="175"/>
      <c r="L300" s="175"/>
    </row>
    <row r="301" spans="5:12" ht="21" customHeight="1">
      <c r="E301" s="175"/>
      <c r="F301" s="175"/>
      <c r="G301" s="175"/>
      <c r="H301" s="175"/>
      <c r="I301" s="175"/>
      <c r="J301" s="175"/>
      <c r="K301" s="175"/>
      <c r="L301" s="175"/>
    </row>
    <row r="302" spans="5:12" ht="21" customHeight="1">
      <c r="E302" s="175"/>
      <c r="F302" s="175"/>
      <c r="G302" s="175"/>
      <c r="H302" s="175"/>
      <c r="I302" s="175"/>
      <c r="J302" s="175"/>
      <c r="K302" s="175"/>
      <c r="L302" s="175"/>
    </row>
    <row r="303" spans="5:12" ht="21" customHeight="1">
      <c r="E303" s="175"/>
      <c r="F303" s="175"/>
      <c r="G303" s="175"/>
      <c r="H303" s="175"/>
      <c r="I303" s="175"/>
      <c r="J303" s="175"/>
      <c r="K303" s="175"/>
      <c r="L303" s="175"/>
    </row>
    <row r="304" spans="5:12" ht="21" customHeight="1">
      <c r="E304" s="175"/>
      <c r="F304" s="175"/>
      <c r="G304" s="175"/>
      <c r="H304" s="175"/>
      <c r="I304" s="175"/>
      <c r="J304" s="175"/>
      <c r="K304" s="175"/>
      <c r="L304" s="175"/>
    </row>
    <row r="305" spans="5:12" ht="21" customHeight="1">
      <c r="E305" s="175"/>
      <c r="F305" s="175"/>
      <c r="G305" s="175"/>
      <c r="H305" s="175"/>
      <c r="I305" s="175"/>
      <c r="J305" s="175"/>
      <c r="K305" s="175"/>
      <c r="L305" s="175"/>
    </row>
    <row r="306" spans="5:12" ht="21" customHeight="1">
      <c r="E306" s="175"/>
      <c r="F306" s="175"/>
      <c r="G306" s="175"/>
      <c r="H306" s="175"/>
      <c r="I306" s="175"/>
      <c r="J306" s="175"/>
      <c r="K306" s="175"/>
      <c r="L306" s="175"/>
    </row>
    <row r="307" spans="5:12" ht="21" customHeight="1">
      <c r="E307" s="175"/>
      <c r="F307" s="175"/>
      <c r="G307" s="175"/>
      <c r="H307" s="175"/>
      <c r="I307" s="175"/>
      <c r="J307" s="175"/>
      <c r="K307" s="175"/>
      <c r="L307" s="175"/>
    </row>
    <row r="308" spans="5:12" ht="21" customHeight="1">
      <c r="E308" s="175"/>
      <c r="F308" s="175"/>
      <c r="G308" s="175"/>
      <c r="H308" s="175"/>
      <c r="I308" s="175"/>
      <c r="J308" s="175"/>
      <c r="K308" s="175"/>
      <c r="L308" s="175"/>
    </row>
    <row r="309" spans="5:12" ht="21" customHeight="1">
      <c r="E309" s="175"/>
      <c r="F309" s="175"/>
      <c r="G309" s="175"/>
      <c r="H309" s="175"/>
      <c r="I309" s="175"/>
      <c r="J309" s="175"/>
      <c r="K309" s="175"/>
      <c r="L309" s="175"/>
    </row>
    <row r="310" spans="5:12" ht="21" customHeight="1">
      <c r="E310" s="175"/>
      <c r="F310" s="175"/>
      <c r="G310" s="175"/>
      <c r="H310" s="175"/>
      <c r="I310" s="175"/>
      <c r="J310" s="175"/>
      <c r="K310" s="175"/>
      <c r="L310" s="175"/>
    </row>
    <row r="311" spans="5:12" ht="21" customHeight="1">
      <c r="E311" s="175"/>
      <c r="F311" s="175"/>
      <c r="G311" s="175"/>
      <c r="H311" s="175"/>
      <c r="I311" s="175"/>
      <c r="J311" s="175"/>
      <c r="K311" s="175"/>
      <c r="L311" s="175"/>
    </row>
    <row r="312" spans="5:12" ht="21" customHeight="1">
      <c r="E312" s="175"/>
      <c r="F312" s="175"/>
      <c r="G312" s="175"/>
      <c r="H312" s="175"/>
      <c r="I312" s="175"/>
      <c r="J312" s="175"/>
      <c r="K312" s="175"/>
      <c r="L312" s="175"/>
    </row>
    <row r="313" spans="5:12" ht="21" customHeight="1">
      <c r="E313" s="175"/>
      <c r="F313" s="175"/>
      <c r="G313" s="175"/>
      <c r="H313" s="175"/>
      <c r="I313" s="175"/>
      <c r="J313" s="175"/>
      <c r="K313" s="175"/>
      <c r="L313" s="175"/>
    </row>
    <row r="314" spans="5:12" ht="21" customHeight="1">
      <c r="E314" s="175"/>
      <c r="F314" s="175"/>
      <c r="G314" s="175"/>
      <c r="H314" s="175"/>
      <c r="I314" s="175"/>
      <c r="J314" s="175"/>
      <c r="K314" s="175"/>
      <c r="L314" s="175"/>
    </row>
    <row r="315" spans="5:12" ht="21" customHeight="1">
      <c r="E315" s="175"/>
      <c r="F315" s="175"/>
      <c r="G315" s="175"/>
      <c r="H315" s="175"/>
      <c r="I315" s="175"/>
      <c r="J315" s="175"/>
      <c r="K315" s="175"/>
      <c r="L315" s="175"/>
    </row>
    <row r="316" spans="5:12" ht="21" customHeight="1">
      <c r="E316" s="175"/>
      <c r="F316" s="175"/>
      <c r="G316" s="175"/>
      <c r="H316" s="175"/>
      <c r="I316" s="175"/>
      <c r="J316" s="175"/>
      <c r="K316" s="175"/>
      <c r="L316" s="175"/>
    </row>
    <row r="317" spans="5:12" ht="21" customHeight="1">
      <c r="E317" s="175"/>
      <c r="F317" s="175"/>
      <c r="G317" s="175"/>
      <c r="H317" s="175"/>
      <c r="I317" s="175"/>
      <c r="J317" s="175"/>
      <c r="K317" s="175"/>
      <c r="L317" s="175"/>
    </row>
    <row r="318" spans="5:12" ht="21" customHeight="1">
      <c r="E318" s="175"/>
      <c r="F318" s="175"/>
      <c r="G318" s="175"/>
      <c r="H318" s="175"/>
      <c r="I318" s="175"/>
      <c r="J318" s="175"/>
      <c r="K318" s="175"/>
      <c r="L318" s="175"/>
    </row>
    <row r="319" spans="5:12" ht="21" customHeight="1">
      <c r="E319" s="175"/>
      <c r="F319" s="175"/>
      <c r="G319" s="175"/>
      <c r="H319" s="175"/>
      <c r="I319" s="175"/>
      <c r="J319" s="175"/>
      <c r="K319" s="175"/>
      <c r="L319" s="175"/>
    </row>
    <row r="320" spans="5:12" ht="21" customHeight="1">
      <c r="E320" s="175"/>
      <c r="F320" s="175"/>
      <c r="G320" s="175"/>
      <c r="H320" s="175"/>
      <c r="I320" s="175"/>
      <c r="J320" s="175"/>
      <c r="K320" s="175"/>
      <c r="L320" s="175"/>
    </row>
    <row r="321" spans="5:12" ht="21" customHeight="1">
      <c r="E321" s="175"/>
      <c r="F321" s="175"/>
      <c r="G321" s="175"/>
      <c r="H321" s="175"/>
      <c r="I321" s="175"/>
      <c r="J321" s="175"/>
      <c r="K321" s="175"/>
      <c r="L321" s="175"/>
    </row>
    <row r="322" spans="5:12" ht="21" customHeight="1">
      <c r="E322" s="175"/>
      <c r="F322" s="175"/>
      <c r="G322" s="175"/>
      <c r="H322" s="175"/>
      <c r="I322" s="175"/>
      <c r="J322" s="175"/>
      <c r="K322" s="175"/>
      <c r="L322" s="175"/>
    </row>
    <row r="323" spans="5:12" ht="21" customHeight="1">
      <c r="E323" s="175"/>
      <c r="F323" s="175"/>
      <c r="G323" s="175"/>
      <c r="H323" s="175"/>
      <c r="I323" s="175"/>
      <c r="J323" s="175"/>
      <c r="K323" s="175"/>
      <c r="L323" s="175"/>
    </row>
    <row r="324" spans="5:12" ht="21" customHeight="1">
      <c r="E324" s="175"/>
      <c r="F324" s="175"/>
      <c r="G324" s="175"/>
      <c r="H324" s="175"/>
      <c r="I324" s="175"/>
      <c r="J324" s="175"/>
      <c r="K324" s="175"/>
      <c r="L324" s="175"/>
    </row>
    <row r="325" spans="5:12" ht="21" customHeight="1">
      <c r="E325" s="175"/>
      <c r="F325" s="175"/>
      <c r="G325" s="175"/>
      <c r="H325" s="175"/>
      <c r="I325" s="175"/>
      <c r="J325" s="175"/>
      <c r="K325" s="175"/>
      <c r="L325" s="175"/>
    </row>
    <row r="326" spans="5:12" ht="21" customHeight="1">
      <c r="E326" s="175"/>
      <c r="F326" s="175"/>
      <c r="G326" s="175"/>
      <c r="H326" s="175"/>
      <c r="I326" s="175"/>
      <c r="J326" s="175"/>
      <c r="K326" s="175"/>
      <c r="L326" s="175"/>
    </row>
    <row r="327" spans="5:12" ht="21" customHeight="1">
      <c r="E327" s="175"/>
      <c r="F327" s="175"/>
      <c r="G327" s="175"/>
      <c r="H327" s="175"/>
      <c r="I327" s="175"/>
      <c r="J327" s="175"/>
      <c r="K327" s="175"/>
      <c r="L327" s="175"/>
    </row>
    <row r="328" spans="5:12" ht="21" customHeight="1">
      <c r="E328" s="175"/>
      <c r="F328" s="175"/>
      <c r="G328" s="175"/>
      <c r="H328" s="175"/>
      <c r="I328" s="175"/>
      <c r="J328" s="175"/>
      <c r="K328" s="175"/>
      <c r="L328" s="175"/>
    </row>
    <row r="329" spans="5:12" ht="21" customHeight="1">
      <c r="E329" s="175"/>
      <c r="F329" s="175"/>
      <c r="G329" s="175"/>
      <c r="H329" s="175"/>
      <c r="I329" s="175"/>
      <c r="J329" s="175"/>
      <c r="K329" s="175"/>
      <c r="L329" s="175"/>
    </row>
    <row r="330" spans="5:12" ht="21" customHeight="1">
      <c r="E330" s="175"/>
      <c r="F330" s="175"/>
      <c r="G330" s="175"/>
      <c r="H330" s="175"/>
      <c r="I330" s="175"/>
      <c r="J330" s="175"/>
      <c r="K330" s="175"/>
      <c r="L330" s="175"/>
    </row>
    <row r="331" spans="5:12" ht="21" customHeight="1">
      <c r="E331" s="175"/>
      <c r="F331" s="175"/>
      <c r="G331" s="175"/>
      <c r="H331" s="175"/>
      <c r="I331" s="175"/>
      <c r="J331" s="175"/>
      <c r="K331" s="175"/>
      <c r="L331" s="175"/>
    </row>
    <row r="332" spans="5:12" ht="21" customHeight="1">
      <c r="E332" s="175"/>
      <c r="F332" s="175"/>
      <c r="G332" s="175"/>
      <c r="H332" s="175"/>
      <c r="I332" s="175"/>
      <c r="J332" s="175"/>
      <c r="K332" s="175"/>
      <c r="L332" s="175"/>
    </row>
    <row r="333" spans="5:12" ht="21" customHeight="1">
      <c r="E333" s="175"/>
      <c r="F333" s="175"/>
      <c r="G333" s="175"/>
      <c r="H333" s="175"/>
      <c r="I333" s="175"/>
      <c r="J333" s="175"/>
      <c r="K333" s="175"/>
      <c r="L333" s="175"/>
    </row>
    <row r="334" spans="5:12" ht="21" customHeight="1">
      <c r="E334" s="175"/>
      <c r="F334" s="175"/>
      <c r="G334" s="175"/>
      <c r="H334" s="175"/>
      <c r="I334" s="175"/>
      <c r="J334" s="175"/>
      <c r="K334" s="175"/>
      <c r="L334" s="175"/>
    </row>
    <row r="335" spans="5:12" ht="21" customHeight="1">
      <c r="E335" s="175"/>
      <c r="F335" s="175"/>
      <c r="G335" s="175"/>
      <c r="H335" s="175"/>
      <c r="I335" s="175"/>
      <c r="J335" s="175"/>
      <c r="K335" s="175"/>
      <c r="L335" s="175"/>
    </row>
    <row r="336" spans="5:12" ht="21" customHeight="1">
      <c r="E336" s="175"/>
      <c r="F336" s="175"/>
      <c r="G336" s="175"/>
      <c r="H336" s="175"/>
      <c r="I336" s="175"/>
      <c r="J336" s="175"/>
      <c r="K336" s="175"/>
      <c r="L336" s="175"/>
    </row>
    <row r="337" spans="5:12" ht="21" customHeight="1">
      <c r="E337" s="175"/>
      <c r="F337" s="175"/>
      <c r="G337" s="175"/>
      <c r="H337" s="175"/>
      <c r="I337" s="175"/>
      <c r="J337" s="175"/>
      <c r="K337" s="175"/>
      <c r="L337" s="175"/>
    </row>
    <row r="338" spans="5:12" ht="21" customHeight="1">
      <c r="E338" s="175"/>
      <c r="F338" s="175"/>
      <c r="G338" s="175"/>
      <c r="H338" s="175"/>
      <c r="I338" s="175"/>
      <c r="J338" s="175"/>
      <c r="K338" s="175"/>
      <c r="L338" s="175"/>
    </row>
    <row r="339" spans="5:12" ht="21" customHeight="1">
      <c r="E339" s="175"/>
      <c r="F339" s="175"/>
      <c r="G339" s="175"/>
      <c r="H339" s="175"/>
      <c r="I339" s="175"/>
      <c r="J339" s="175"/>
      <c r="K339" s="175"/>
      <c r="L339" s="175"/>
    </row>
    <row r="340" spans="5:12" ht="21" customHeight="1">
      <c r="E340" s="175"/>
      <c r="F340" s="175"/>
      <c r="G340" s="175"/>
      <c r="H340" s="175"/>
      <c r="I340" s="175"/>
      <c r="J340" s="175"/>
      <c r="K340" s="175"/>
      <c r="L340" s="175"/>
    </row>
    <row r="341" spans="5:12" ht="21" customHeight="1">
      <c r="E341" s="175"/>
      <c r="F341" s="175"/>
      <c r="G341" s="175"/>
      <c r="H341" s="175"/>
      <c r="I341" s="175"/>
      <c r="J341" s="175"/>
      <c r="K341" s="175"/>
      <c r="L341" s="175"/>
    </row>
    <row r="342" spans="5:12" ht="21" customHeight="1">
      <c r="E342" s="175"/>
      <c r="F342" s="175"/>
      <c r="G342" s="175"/>
      <c r="H342" s="175"/>
      <c r="I342" s="175"/>
      <c r="J342" s="175"/>
      <c r="K342" s="175"/>
      <c r="L342" s="175"/>
    </row>
    <row r="343" spans="5:12" ht="21" customHeight="1">
      <c r="E343" s="175"/>
      <c r="F343" s="175"/>
      <c r="G343" s="175"/>
      <c r="H343" s="175"/>
      <c r="I343" s="175"/>
      <c r="J343" s="175"/>
      <c r="K343" s="175"/>
      <c r="L343" s="175"/>
    </row>
    <row r="344" spans="5:12" ht="21" customHeight="1">
      <c r="E344" s="175"/>
      <c r="F344" s="175"/>
      <c r="G344" s="175"/>
      <c r="H344" s="175"/>
      <c r="I344" s="175"/>
      <c r="J344" s="175"/>
      <c r="K344" s="175"/>
      <c r="L344" s="175"/>
    </row>
    <row r="345" spans="5:12" ht="21" customHeight="1">
      <c r="E345" s="175"/>
      <c r="F345" s="175"/>
      <c r="G345" s="175"/>
      <c r="H345" s="175"/>
      <c r="I345" s="175"/>
      <c r="J345" s="175"/>
      <c r="K345" s="175"/>
      <c r="L345" s="175"/>
    </row>
    <row r="346" spans="5:12" ht="21" customHeight="1">
      <c r="E346" s="175"/>
      <c r="F346" s="175"/>
      <c r="G346" s="175"/>
      <c r="H346" s="175"/>
      <c r="I346" s="175"/>
      <c r="J346" s="175"/>
      <c r="K346" s="175"/>
      <c r="L346" s="175"/>
    </row>
    <row r="347" spans="5:12" ht="21" customHeight="1">
      <c r="E347" s="175"/>
      <c r="F347" s="175"/>
      <c r="G347" s="175"/>
      <c r="H347" s="175"/>
      <c r="I347" s="175"/>
      <c r="J347" s="175"/>
      <c r="K347" s="175"/>
      <c r="L347" s="175"/>
    </row>
    <row r="348" spans="5:12" ht="21" customHeight="1">
      <c r="E348" s="175"/>
      <c r="F348" s="175"/>
      <c r="G348" s="175"/>
      <c r="H348" s="175"/>
      <c r="I348" s="175"/>
      <c r="J348" s="175"/>
      <c r="K348" s="175"/>
      <c r="L348" s="175"/>
    </row>
    <row r="349" spans="5:12" ht="21" customHeight="1">
      <c r="E349" s="175"/>
      <c r="F349" s="175"/>
      <c r="G349" s="175"/>
      <c r="H349" s="175"/>
      <c r="I349" s="175"/>
      <c r="J349" s="175"/>
      <c r="K349" s="175"/>
      <c r="L349" s="175"/>
    </row>
    <row r="350" spans="5:12" ht="21" customHeight="1">
      <c r="E350" s="175"/>
      <c r="F350" s="175"/>
      <c r="G350" s="175"/>
      <c r="H350" s="175"/>
      <c r="I350" s="175"/>
      <c r="J350" s="175"/>
      <c r="K350" s="175"/>
      <c r="L350" s="175"/>
    </row>
    <row r="351" spans="5:12" ht="21" customHeight="1">
      <c r="E351" s="175"/>
      <c r="F351" s="175"/>
      <c r="G351" s="175"/>
      <c r="H351" s="175"/>
      <c r="I351" s="175"/>
      <c r="J351" s="175"/>
      <c r="K351" s="175"/>
      <c r="L351" s="175"/>
    </row>
    <row r="352" spans="5:12" ht="21" customHeight="1">
      <c r="E352" s="175"/>
      <c r="F352" s="175"/>
      <c r="G352" s="175"/>
      <c r="H352" s="175"/>
      <c r="I352" s="175"/>
      <c r="J352" s="175"/>
      <c r="K352" s="175"/>
      <c r="L352" s="175"/>
    </row>
    <row r="353" spans="5:12" ht="21" customHeight="1">
      <c r="E353" s="175"/>
      <c r="F353" s="175"/>
      <c r="G353" s="175"/>
      <c r="H353" s="175"/>
      <c r="I353" s="175"/>
      <c r="J353" s="175"/>
      <c r="K353" s="175"/>
      <c r="L353" s="175"/>
    </row>
    <row r="354" spans="5:12" ht="21" customHeight="1">
      <c r="E354" s="175"/>
      <c r="F354" s="175"/>
      <c r="G354" s="175"/>
      <c r="H354" s="175"/>
      <c r="I354" s="175"/>
      <c r="J354" s="175"/>
      <c r="K354" s="175"/>
      <c r="L354" s="175"/>
    </row>
    <row r="355" spans="5:12" ht="21" customHeight="1">
      <c r="E355" s="175"/>
      <c r="F355" s="175"/>
      <c r="G355" s="175"/>
      <c r="H355" s="175"/>
      <c r="I355" s="175"/>
      <c r="J355" s="175"/>
      <c r="K355" s="175"/>
      <c r="L355" s="175"/>
    </row>
    <row r="356" spans="5:12" ht="21" customHeight="1">
      <c r="E356" s="175"/>
      <c r="F356" s="175"/>
      <c r="G356" s="175"/>
      <c r="H356" s="175"/>
      <c r="I356" s="175"/>
      <c r="J356" s="175"/>
      <c r="K356" s="175"/>
      <c r="L356" s="175"/>
    </row>
    <row r="357" spans="5:12" ht="21" customHeight="1">
      <c r="E357" s="175"/>
      <c r="F357" s="175"/>
      <c r="G357" s="175"/>
      <c r="H357" s="175"/>
      <c r="I357" s="175"/>
      <c r="J357" s="175"/>
      <c r="K357" s="175"/>
      <c r="L357" s="175"/>
    </row>
    <row r="358" spans="5:12" ht="21" customHeight="1">
      <c r="E358" s="175"/>
      <c r="F358" s="175"/>
      <c r="G358" s="175"/>
      <c r="H358" s="175"/>
      <c r="I358" s="175"/>
      <c r="J358" s="175"/>
      <c r="K358" s="175"/>
      <c r="L358" s="175"/>
    </row>
    <row r="359" spans="5:12" ht="21" customHeight="1">
      <c r="E359" s="175"/>
      <c r="F359" s="175"/>
      <c r="G359" s="175"/>
      <c r="H359" s="175"/>
      <c r="I359" s="175"/>
      <c r="J359" s="175"/>
      <c r="K359" s="175"/>
      <c r="L359" s="175"/>
    </row>
    <row r="360" spans="5:12" ht="21" customHeight="1">
      <c r="E360" s="175"/>
      <c r="F360" s="175"/>
      <c r="G360" s="175"/>
      <c r="H360" s="175"/>
      <c r="I360" s="175"/>
      <c r="J360" s="175"/>
      <c r="K360" s="175"/>
      <c r="L360" s="175"/>
    </row>
    <row r="361" spans="5:12" ht="21" customHeight="1">
      <c r="E361" s="175"/>
      <c r="F361" s="175"/>
      <c r="G361" s="175"/>
      <c r="H361" s="175"/>
      <c r="I361" s="175"/>
      <c r="J361" s="175"/>
      <c r="K361" s="175"/>
      <c r="L361" s="175"/>
    </row>
    <row r="362" spans="5:12" ht="21" customHeight="1">
      <c r="E362" s="175"/>
      <c r="F362" s="175"/>
      <c r="G362" s="175"/>
      <c r="H362" s="175"/>
      <c r="I362" s="175"/>
      <c r="J362" s="175"/>
      <c r="K362" s="175"/>
      <c r="L362" s="175"/>
    </row>
    <row r="363" spans="5:12" ht="21" customHeight="1">
      <c r="E363" s="175"/>
      <c r="F363" s="175"/>
      <c r="G363" s="175"/>
      <c r="H363" s="175"/>
      <c r="I363" s="175"/>
      <c r="J363" s="175"/>
      <c r="K363" s="175"/>
      <c r="L363" s="175"/>
    </row>
    <row r="364" spans="5:12" ht="21" customHeight="1">
      <c r="E364" s="175"/>
      <c r="F364" s="175"/>
      <c r="G364" s="175"/>
      <c r="H364" s="175"/>
      <c r="I364" s="175"/>
      <c r="J364" s="175"/>
      <c r="K364" s="175"/>
      <c r="L364" s="175"/>
    </row>
    <row r="365" spans="5:12" ht="21" customHeight="1">
      <c r="E365" s="175"/>
      <c r="F365" s="175"/>
      <c r="G365" s="175"/>
      <c r="H365" s="175"/>
      <c r="I365" s="175"/>
      <c r="J365" s="175"/>
      <c r="K365" s="175"/>
      <c r="L365" s="175"/>
    </row>
    <row r="366" spans="5:12" ht="21" customHeight="1">
      <c r="E366" s="175"/>
      <c r="F366" s="175"/>
      <c r="G366" s="175"/>
      <c r="H366" s="175"/>
      <c r="I366" s="175"/>
      <c r="J366" s="175"/>
      <c r="K366" s="175"/>
      <c r="L366" s="175"/>
    </row>
    <row r="367" spans="5:12" ht="21" customHeight="1">
      <c r="E367" s="175"/>
      <c r="F367" s="175"/>
      <c r="G367" s="175"/>
      <c r="H367" s="175"/>
      <c r="I367" s="175"/>
      <c r="J367" s="175"/>
      <c r="K367" s="175"/>
      <c r="L367" s="175"/>
    </row>
    <row r="368" spans="5:12">
      <c r="E368" s="175"/>
      <c r="F368" s="175"/>
      <c r="G368" s="175"/>
      <c r="H368" s="175"/>
      <c r="I368" s="175"/>
      <c r="J368" s="175"/>
      <c r="K368" s="175"/>
      <c r="L368" s="175"/>
    </row>
    <row r="369" spans="5:12">
      <c r="E369" s="175"/>
      <c r="F369" s="175"/>
      <c r="G369" s="175"/>
      <c r="H369" s="175"/>
      <c r="I369" s="175"/>
      <c r="J369" s="175"/>
      <c r="K369" s="175"/>
      <c r="L369" s="175"/>
    </row>
    <row r="370" spans="5:12">
      <c r="E370" s="175"/>
      <c r="F370" s="175"/>
      <c r="G370" s="175"/>
      <c r="H370" s="175"/>
      <c r="I370" s="175"/>
      <c r="J370" s="175"/>
      <c r="K370" s="175"/>
      <c r="L370" s="175"/>
    </row>
    <row r="371" spans="5:12">
      <c r="E371" s="175"/>
      <c r="F371" s="175"/>
      <c r="G371" s="175"/>
      <c r="H371" s="175"/>
      <c r="I371" s="175"/>
      <c r="J371" s="175"/>
      <c r="K371" s="175"/>
      <c r="L371" s="175"/>
    </row>
    <row r="372" spans="5:12">
      <c r="E372" s="175"/>
      <c r="F372" s="175"/>
      <c r="G372" s="175"/>
      <c r="H372" s="175"/>
      <c r="I372" s="175"/>
      <c r="J372" s="175"/>
      <c r="K372" s="175"/>
      <c r="L372" s="175"/>
    </row>
    <row r="373" spans="5:12">
      <c r="E373" s="175"/>
      <c r="F373" s="175"/>
      <c r="G373" s="175"/>
      <c r="H373" s="175"/>
      <c r="I373" s="175"/>
      <c r="J373" s="175"/>
      <c r="K373" s="175"/>
      <c r="L373" s="175"/>
    </row>
    <row r="374" spans="5:12">
      <c r="E374" s="175"/>
      <c r="F374" s="175"/>
      <c r="G374" s="175"/>
      <c r="H374" s="175"/>
      <c r="I374" s="175"/>
      <c r="J374" s="175"/>
      <c r="K374" s="175"/>
      <c r="L374" s="175"/>
    </row>
    <row r="375" spans="5:12">
      <c r="E375" s="175"/>
      <c r="F375" s="175"/>
      <c r="G375" s="175"/>
      <c r="H375" s="175"/>
      <c r="I375" s="175"/>
      <c r="J375" s="175"/>
      <c r="K375" s="175"/>
      <c r="L375" s="175"/>
    </row>
    <row r="376" spans="5:12">
      <c r="E376" s="175"/>
      <c r="F376" s="175"/>
      <c r="G376" s="175"/>
      <c r="H376" s="175"/>
      <c r="I376" s="175"/>
      <c r="J376" s="175"/>
      <c r="K376" s="175"/>
      <c r="L376" s="175"/>
    </row>
    <row r="377" spans="5:12">
      <c r="E377" s="175"/>
      <c r="F377" s="175"/>
      <c r="G377" s="175"/>
      <c r="H377" s="175"/>
      <c r="I377" s="175"/>
      <c r="J377" s="175"/>
      <c r="K377" s="175"/>
      <c r="L377" s="175"/>
    </row>
    <row r="378" spans="5:12">
      <c r="E378" s="175"/>
      <c r="F378" s="175"/>
      <c r="G378" s="175"/>
      <c r="H378" s="175"/>
      <c r="I378" s="175"/>
      <c r="J378" s="175"/>
      <c r="K378" s="175"/>
      <c r="L378" s="175"/>
    </row>
    <row r="379" spans="5:12">
      <c r="E379" s="175"/>
      <c r="F379" s="175"/>
      <c r="G379" s="175"/>
      <c r="H379" s="175"/>
      <c r="I379" s="175"/>
      <c r="J379" s="175"/>
      <c r="K379" s="175"/>
      <c r="L379" s="175"/>
    </row>
    <row r="380" spans="5:12">
      <c r="E380" s="175"/>
      <c r="F380" s="175"/>
      <c r="G380" s="175"/>
      <c r="H380" s="175"/>
      <c r="I380" s="175"/>
      <c r="J380" s="175"/>
      <c r="K380" s="175"/>
      <c r="L380" s="175"/>
    </row>
    <row r="381" spans="5:12">
      <c r="E381" s="175"/>
      <c r="F381" s="175"/>
      <c r="G381" s="175"/>
      <c r="H381" s="175"/>
      <c r="I381" s="175"/>
      <c r="J381" s="175"/>
      <c r="K381" s="175"/>
      <c r="L381" s="175"/>
    </row>
    <row r="382" spans="5:12">
      <c r="E382" s="175"/>
      <c r="F382" s="175"/>
      <c r="G382" s="175"/>
      <c r="H382" s="175"/>
      <c r="I382" s="175"/>
      <c r="J382" s="175"/>
      <c r="K382" s="175"/>
      <c r="L382" s="175"/>
    </row>
    <row r="383" spans="5:12">
      <c r="E383" s="175"/>
      <c r="F383" s="175"/>
      <c r="G383" s="175"/>
      <c r="H383" s="175"/>
      <c r="I383" s="175"/>
      <c r="J383" s="175"/>
      <c r="K383" s="175"/>
      <c r="L383" s="175"/>
    </row>
    <row r="384" spans="5:12">
      <c r="E384" s="175"/>
      <c r="F384" s="175"/>
      <c r="G384" s="175"/>
      <c r="H384" s="175"/>
      <c r="I384" s="175"/>
      <c r="J384" s="175"/>
      <c r="K384" s="175"/>
      <c r="L384" s="175"/>
    </row>
    <row r="385" spans="5:12">
      <c r="E385" s="175"/>
      <c r="F385" s="175"/>
      <c r="G385" s="175"/>
      <c r="H385" s="175"/>
      <c r="I385" s="175"/>
      <c r="J385" s="175"/>
      <c r="K385" s="175"/>
      <c r="L385" s="175"/>
    </row>
    <row r="386" spans="5:12">
      <c r="E386" s="175"/>
      <c r="F386" s="175"/>
      <c r="G386" s="175"/>
      <c r="H386" s="175"/>
      <c r="I386" s="175"/>
      <c r="J386" s="175"/>
      <c r="K386" s="175"/>
      <c r="L386" s="175"/>
    </row>
    <row r="387" spans="5:12">
      <c r="E387" s="175"/>
      <c r="F387" s="175"/>
      <c r="G387" s="175"/>
      <c r="H387" s="175"/>
      <c r="I387" s="175"/>
      <c r="J387" s="175"/>
      <c r="K387" s="175"/>
      <c r="L387" s="175"/>
    </row>
    <row r="388" spans="5:12">
      <c r="E388" s="175"/>
      <c r="F388" s="175"/>
      <c r="G388" s="175"/>
      <c r="H388" s="175"/>
      <c r="I388" s="175"/>
      <c r="J388" s="175"/>
      <c r="K388" s="175"/>
      <c r="L388" s="175"/>
    </row>
    <row r="389" spans="5:12">
      <c r="E389" s="175"/>
      <c r="F389" s="175"/>
      <c r="G389" s="175"/>
      <c r="H389" s="175"/>
      <c r="I389" s="175"/>
      <c r="J389" s="175"/>
      <c r="K389" s="175"/>
      <c r="L389" s="175"/>
    </row>
    <row r="390" spans="5:12">
      <c r="E390" s="175"/>
      <c r="F390" s="175"/>
      <c r="G390" s="175"/>
      <c r="H390" s="175"/>
      <c r="I390" s="175"/>
      <c r="J390" s="175"/>
      <c r="K390" s="175"/>
      <c r="L390" s="175"/>
    </row>
    <row r="391" spans="5:12">
      <c r="E391" s="175"/>
      <c r="F391" s="175"/>
      <c r="G391" s="175"/>
      <c r="H391" s="175"/>
      <c r="I391" s="175"/>
      <c r="J391" s="175"/>
      <c r="K391" s="175"/>
      <c r="L391" s="175"/>
    </row>
    <row r="392" spans="5:12">
      <c r="E392" s="175"/>
      <c r="F392" s="175"/>
      <c r="G392" s="175"/>
      <c r="H392" s="175"/>
      <c r="I392" s="175"/>
      <c r="J392" s="175"/>
      <c r="K392" s="175"/>
      <c r="L392" s="175"/>
    </row>
    <row r="393" spans="5:12">
      <c r="E393" s="175"/>
      <c r="F393" s="175"/>
      <c r="G393" s="175"/>
      <c r="H393" s="175"/>
      <c r="I393" s="175"/>
      <c r="J393" s="175"/>
      <c r="K393" s="175"/>
      <c r="L393" s="175"/>
    </row>
    <row r="394" spans="5:12">
      <c r="E394" s="175"/>
      <c r="F394" s="175"/>
      <c r="G394" s="175"/>
      <c r="H394" s="175"/>
      <c r="I394" s="175"/>
      <c r="J394" s="175"/>
      <c r="K394" s="175"/>
      <c r="L394" s="175"/>
    </row>
    <row r="395" spans="5:12">
      <c r="E395" s="175"/>
      <c r="F395" s="175"/>
      <c r="G395" s="175"/>
      <c r="H395" s="175"/>
      <c r="I395" s="175"/>
      <c r="J395" s="175"/>
      <c r="K395" s="175"/>
      <c r="L395" s="175"/>
    </row>
    <row r="396" spans="5:12">
      <c r="E396" s="175"/>
      <c r="F396" s="175"/>
      <c r="G396" s="175"/>
      <c r="H396" s="175"/>
      <c r="I396" s="175"/>
      <c r="J396" s="175"/>
      <c r="K396" s="175"/>
      <c r="L396" s="175"/>
    </row>
    <row r="397" spans="5:12">
      <c r="E397" s="175"/>
      <c r="F397" s="175"/>
      <c r="G397" s="175"/>
      <c r="H397" s="175"/>
      <c r="I397" s="175"/>
      <c r="J397" s="175"/>
      <c r="K397" s="175"/>
      <c r="L397" s="175"/>
    </row>
    <row r="398" spans="5:12">
      <c r="E398" s="175"/>
      <c r="F398" s="175"/>
      <c r="G398" s="175"/>
      <c r="H398" s="175"/>
      <c r="I398" s="175"/>
      <c r="J398" s="175"/>
      <c r="K398" s="175"/>
      <c r="L398" s="175"/>
    </row>
    <row r="399" spans="5:12">
      <c r="E399" s="175"/>
      <c r="F399" s="175"/>
      <c r="G399" s="175"/>
      <c r="H399" s="175"/>
      <c r="I399" s="175"/>
      <c r="J399" s="175"/>
      <c r="K399" s="175"/>
      <c r="L399" s="175"/>
    </row>
    <row r="400" spans="5:12">
      <c r="E400" s="175"/>
      <c r="F400" s="175"/>
      <c r="G400" s="175"/>
      <c r="H400" s="175"/>
      <c r="I400" s="175"/>
      <c r="J400" s="175"/>
      <c r="K400" s="175"/>
      <c r="L400" s="175"/>
    </row>
    <row r="401" spans="5:12">
      <c r="E401" s="175"/>
      <c r="F401" s="175"/>
      <c r="G401" s="175"/>
      <c r="H401" s="175"/>
      <c r="I401" s="175"/>
      <c r="J401" s="175"/>
      <c r="K401" s="175"/>
      <c r="L401" s="175"/>
    </row>
    <row r="402" spans="5:12">
      <c r="E402" s="175"/>
      <c r="F402" s="175"/>
      <c r="G402" s="175"/>
      <c r="H402" s="175"/>
      <c r="I402" s="175"/>
      <c r="J402" s="175"/>
      <c r="K402" s="175"/>
      <c r="L402" s="175"/>
    </row>
    <row r="403" spans="5:12">
      <c r="E403" s="175"/>
      <c r="F403" s="175"/>
      <c r="G403" s="175"/>
      <c r="H403" s="175"/>
      <c r="I403" s="175"/>
      <c r="J403" s="175"/>
      <c r="K403" s="175"/>
      <c r="L403" s="175"/>
    </row>
    <row r="404" spans="5:12">
      <c r="E404" s="175"/>
      <c r="F404" s="175"/>
      <c r="G404" s="175"/>
      <c r="H404" s="175"/>
      <c r="I404" s="175"/>
      <c r="J404" s="175"/>
      <c r="K404" s="175"/>
      <c r="L404" s="175"/>
    </row>
    <row r="405" spans="5:12">
      <c r="E405" s="175"/>
      <c r="F405" s="175"/>
      <c r="G405" s="175"/>
      <c r="H405" s="175"/>
      <c r="I405" s="175"/>
      <c r="J405" s="175"/>
      <c r="K405" s="175"/>
      <c r="L405" s="175"/>
    </row>
    <row r="406" spans="5:12">
      <c r="E406" s="175"/>
      <c r="F406" s="175"/>
      <c r="G406" s="175"/>
      <c r="H406" s="175"/>
      <c r="I406" s="175"/>
      <c r="J406" s="175"/>
      <c r="K406" s="175"/>
      <c r="L406" s="175"/>
    </row>
    <row r="407" spans="5:12">
      <c r="E407" s="175"/>
      <c r="F407" s="175"/>
      <c r="G407" s="175"/>
      <c r="H407" s="175"/>
      <c r="I407" s="175"/>
      <c r="J407" s="175"/>
      <c r="K407" s="175"/>
      <c r="L407" s="175"/>
    </row>
    <row r="408" spans="5:12">
      <c r="E408" s="175"/>
      <c r="F408" s="175"/>
      <c r="G408" s="175"/>
      <c r="H408" s="175"/>
      <c r="I408" s="175"/>
      <c r="J408" s="175"/>
      <c r="K408" s="175"/>
      <c r="L408" s="175"/>
    </row>
    <row r="409" spans="5:12">
      <c r="E409" s="175"/>
      <c r="F409" s="175"/>
      <c r="G409" s="175"/>
      <c r="H409" s="175"/>
      <c r="I409" s="175"/>
      <c r="J409" s="175"/>
      <c r="K409" s="175"/>
      <c r="L409" s="175"/>
    </row>
    <row r="410" spans="5:12">
      <c r="E410" s="175"/>
      <c r="F410" s="175"/>
      <c r="G410" s="175"/>
      <c r="H410" s="175"/>
      <c r="I410" s="175"/>
      <c r="J410" s="175"/>
      <c r="K410" s="175"/>
      <c r="L410" s="175"/>
    </row>
    <row r="411" spans="5:12">
      <c r="E411" s="175"/>
      <c r="F411" s="175"/>
      <c r="G411" s="175"/>
      <c r="H411" s="175"/>
      <c r="I411" s="175"/>
      <c r="J411" s="175"/>
      <c r="K411" s="175"/>
      <c r="L411" s="175"/>
    </row>
    <row r="412" spans="5:12">
      <c r="E412" s="175"/>
      <c r="F412" s="175"/>
      <c r="G412" s="175"/>
      <c r="H412" s="175"/>
      <c r="I412" s="175"/>
      <c r="J412" s="175"/>
      <c r="K412" s="175"/>
      <c r="L412" s="175"/>
    </row>
    <row r="413" spans="5:12">
      <c r="E413" s="175"/>
      <c r="F413" s="175"/>
      <c r="G413" s="175"/>
      <c r="H413" s="175"/>
      <c r="I413" s="175"/>
      <c r="J413" s="175"/>
      <c r="K413" s="175"/>
      <c r="L413" s="175"/>
    </row>
    <row r="414" spans="5:12">
      <c r="E414" s="175"/>
      <c r="F414" s="175"/>
      <c r="G414" s="175"/>
      <c r="H414" s="175"/>
      <c r="I414" s="175"/>
      <c r="J414" s="175"/>
      <c r="K414" s="175"/>
      <c r="L414" s="175"/>
    </row>
    <row r="415" spans="5:12">
      <c r="E415" s="175"/>
      <c r="F415" s="175"/>
      <c r="G415" s="175"/>
      <c r="H415" s="175"/>
      <c r="I415" s="175"/>
      <c r="J415" s="175"/>
      <c r="K415" s="175"/>
      <c r="L415" s="175"/>
    </row>
    <row r="416" spans="5:12">
      <c r="E416" s="175"/>
      <c r="F416" s="175"/>
      <c r="G416" s="175"/>
      <c r="H416" s="175"/>
      <c r="I416" s="175"/>
      <c r="J416" s="175"/>
      <c r="K416" s="175"/>
      <c r="L416" s="175"/>
    </row>
    <row r="417" spans="5:12">
      <c r="E417" s="175"/>
      <c r="F417" s="175"/>
      <c r="G417" s="175"/>
      <c r="H417" s="175"/>
      <c r="I417" s="175"/>
      <c r="J417" s="175"/>
      <c r="K417" s="175"/>
      <c r="L417" s="175"/>
    </row>
    <row r="418" spans="5:12">
      <c r="E418" s="175"/>
      <c r="F418" s="175"/>
      <c r="G418" s="175"/>
      <c r="H418" s="175"/>
      <c r="I418" s="175"/>
      <c r="J418" s="175"/>
      <c r="K418" s="175"/>
      <c r="L418" s="175"/>
    </row>
    <row r="419" spans="5:12">
      <c r="E419" s="175"/>
      <c r="F419" s="175"/>
      <c r="G419" s="175"/>
      <c r="H419" s="175"/>
      <c r="I419" s="175"/>
      <c r="J419" s="175"/>
      <c r="K419" s="175"/>
      <c r="L419" s="175"/>
    </row>
    <row r="420" spans="5:12">
      <c r="E420" s="175"/>
      <c r="F420" s="175"/>
      <c r="G420" s="175"/>
      <c r="H420" s="175"/>
      <c r="I420" s="175"/>
      <c r="J420" s="175"/>
      <c r="K420" s="175"/>
      <c r="L420" s="175"/>
    </row>
    <row r="421" spans="5:12">
      <c r="E421" s="175"/>
      <c r="F421" s="175"/>
      <c r="G421" s="175"/>
      <c r="H421" s="175"/>
      <c r="I421" s="175"/>
      <c r="J421" s="175"/>
      <c r="K421" s="175"/>
      <c r="L421" s="175"/>
    </row>
    <row r="422" spans="5:12">
      <c r="E422" s="175"/>
      <c r="F422" s="175"/>
      <c r="G422" s="175"/>
      <c r="H422" s="175"/>
      <c r="I422" s="175"/>
      <c r="J422" s="175"/>
      <c r="K422" s="175"/>
      <c r="L422" s="175"/>
    </row>
    <row r="423" spans="5:12">
      <c r="E423" s="175"/>
      <c r="F423" s="175"/>
      <c r="G423" s="175"/>
      <c r="H423" s="175"/>
      <c r="I423" s="175"/>
      <c r="J423" s="175"/>
      <c r="K423" s="175"/>
      <c r="L423" s="175"/>
    </row>
    <row r="424" spans="5:12">
      <c r="E424" s="175"/>
      <c r="F424" s="175"/>
      <c r="G424" s="175"/>
      <c r="H424" s="175"/>
      <c r="I424" s="175"/>
      <c r="J424" s="175"/>
      <c r="K424" s="175"/>
      <c r="L424" s="175"/>
    </row>
    <row r="425" spans="5:12">
      <c r="E425" s="175"/>
      <c r="F425" s="175"/>
      <c r="G425" s="175"/>
      <c r="H425" s="175"/>
      <c r="I425" s="175"/>
      <c r="J425" s="175"/>
      <c r="K425" s="175"/>
      <c r="L425" s="175"/>
    </row>
    <row r="426" spans="5:12">
      <c r="E426" s="175"/>
      <c r="F426" s="175"/>
      <c r="G426" s="175"/>
      <c r="H426" s="175"/>
      <c r="I426" s="175"/>
      <c r="J426" s="175"/>
      <c r="K426" s="175"/>
      <c r="L426" s="175"/>
    </row>
    <row r="427" spans="5:12">
      <c r="E427" s="175"/>
      <c r="F427" s="175"/>
      <c r="G427" s="175"/>
      <c r="H427" s="175"/>
      <c r="I427" s="175"/>
      <c r="J427" s="175"/>
      <c r="K427" s="175"/>
      <c r="L427" s="175"/>
    </row>
    <row r="428" spans="5:12">
      <c r="E428" s="175"/>
      <c r="F428" s="175"/>
      <c r="G428" s="175"/>
      <c r="H428" s="175"/>
      <c r="I428" s="175"/>
      <c r="J428" s="175"/>
      <c r="K428" s="175"/>
      <c r="L428" s="175"/>
    </row>
    <row r="429" spans="5:12">
      <c r="E429" s="175"/>
      <c r="F429" s="175"/>
      <c r="G429" s="175"/>
      <c r="H429" s="175"/>
      <c r="I429" s="175"/>
      <c r="J429" s="175"/>
      <c r="K429" s="175"/>
      <c r="L429" s="175"/>
    </row>
    <row r="430" spans="5:12">
      <c r="E430" s="175"/>
      <c r="F430" s="175"/>
      <c r="G430" s="175"/>
      <c r="H430" s="175"/>
      <c r="I430" s="175"/>
      <c r="J430" s="175"/>
      <c r="K430" s="175"/>
      <c r="L430" s="175"/>
    </row>
    <row r="431" spans="5:12">
      <c r="E431" s="175"/>
      <c r="F431" s="175"/>
      <c r="G431" s="175"/>
      <c r="H431" s="175"/>
      <c r="I431" s="175"/>
      <c r="J431" s="175"/>
      <c r="K431" s="175"/>
      <c r="L431" s="175"/>
    </row>
    <row r="432" spans="5:12">
      <c r="E432" s="175"/>
      <c r="F432" s="175"/>
      <c r="G432" s="175"/>
      <c r="H432" s="175"/>
      <c r="I432" s="175"/>
      <c r="J432" s="175"/>
      <c r="K432" s="175"/>
      <c r="L432" s="175"/>
    </row>
    <row r="433" spans="5:12">
      <c r="E433" s="175"/>
      <c r="F433" s="175"/>
      <c r="G433" s="175"/>
      <c r="H433" s="175"/>
      <c r="I433" s="175"/>
      <c r="J433" s="175"/>
      <c r="K433" s="175"/>
      <c r="L433" s="175"/>
    </row>
    <row r="434" spans="5:12">
      <c r="E434" s="175"/>
      <c r="F434" s="175"/>
      <c r="G434" s="175"/>
      <c r="H434" s="175"/>
      <c r="I434" s="175"/>
      <c r="J434" s="175"/>
      <c r="K434" s="175"/>
      <c r="L434" s="175"/>
    </row>
    <row r="435" spans="5:12">
      <c r="E435" s="175"/>
      <c r="F435" s="175"/>
      <c r="G435" s="175"/>
      <c r="H435" s="175"/>
      <c r="I435" s="175"/>
      <c r="J435" s="175"/>
      <c r="K435" s="175"/>
      <c r="L435" s="175"/>
    </row>
    <row r="436" spans="5:12">
      <c r="E436" s="175"/>
      <c r="F436" s="175"/>
      <c r="G436" s="175"/>
      <c r="H436" s="175"/>
      <c r="I436" s="175"/>
      <c r="J436" s="175"/>
      <c r="K436" s="175"/>
      <c r="L436" s="175"/>
    </row>
    <row r="437" spans="5:12">
      <c r="E437" s="175"/>
      <c r="F437" s="175"/>
      <c r="G437" s="175"/>
      <c r="H437" s="175"/>
      <c r="I437" s="175"/>
      <c r="J437" s="175"/>
      <c r="K437" s="175"/>
      <c r="L437" s="175"/>
    </row>
    <row r="438" spans="5:12">
      <c r="E438" s="175"/>
      <c r="F438" s="175"/>
      <c r="G438" s="175"/>
      <c r="H438" s="175"/>
      <c r="I438" s="175"/>
      <c r="J438" s="175"/>
      <c r="K438" s="175"/>
      <c r="L438" s="175"/>
    </row>
    <row r="439" spans="5:12">
      <c r="E439" s="175"/>
      <c r="F439" s="175"/>
      <c r="G439" s="175"/>
      <c r="H439" s="175"/>
      <c r="I439" s="175"/>
      <c r="J439" s="175"/>
      <c r="K439" s="175"/>
      <c r="L439" s="175"/>
    </row>
    <row r="440" spans="5:12">
      <c r="E440" s="175"/>
      <c r="F440" s="175"/>
      <c r="G440" s="175"/>
      <c r="H440" s="175"/>
      <c r="I440" s="175"/>
      <c r="J440" s="175"/>
      <c r="K440" s="175"/>
      <c r="L440" s="175"/>
    </row>
    <row r="441" spans="5:12">
      <c r="E441" s="175"/>
      <c r="F441" s="175"/>
      <c r="G441" s="175"/>
      <c r="H441" s="175"/>
      <c r="I441" s="175"/>
      <c r="J441" s="175"/>
      <c r="K441" s="175"/>
      <c r="L441" s="175"/>
    </row>
    <row r="442" spans="5:12">
      <c r="E442" s="175"/>
      <c r="F442" s="175"/>
      <c r="G442" s="175"/>
      <c r="H442" s="175"/>
      <c r="I442" s="175"/>
      <c r="J442" s="175"/>
      <c r="K442" s="175"/>
      <c r="L442" s="175"/>
    </row>
    <row r="443" spans="5:12">
      <c r="E443" s="175"/>
      <c r="F443" s="175"/>
      <c r="G443" s="175"/>
      <c r="H443" s="175"/>
      <c r="I443" s="175"/>
      <c r="J443" s="175"/>
      <c r="K443" s="175"/>
      <c r="L443" s="175"/>
    </row>
    <row r="444" spans="5:12">
      <c r="E444" s="175"/>
      <c r="F444" s="175"/>
      <c r="G444" s="175"/>
      <c r="H444" s="175"/>
      <c r="I444" s="175"/>
      <c r="J444" s="175"/>
      <c r="K444" s="175"/>
      <c r="L444" s="175"/>
    </row>
    <row r="445" spans="5:12">
      <c r="E445" s="175"/>
      <c r="F445" s="175"/>
      <c r="G445" s="175"/>
      <c r="H445" s="175"/>
      <c r="I445" s="175"/>
      <c r="J445" s="175"/>
      <c r="K445" s="175"/>
      <c r="L445" s="175"/>
    </row>
    <row r="446" spans="5:12">
      <c r="E446" s="175"/>
      <c r="F446" s="175"/>
      <c r="G446" s="175"/>
      <c r="H446" s="175"/>
      <c r="I446" s="175"/>
      <c r="J446" s="175"/>
      <c r="K446" s="175"/>
      <c r="L446" s="175"/>
    </row>
    <row r="447" spans="5:12">
      <c r="E447" s="175"/>
      <c r="F447" s="175"/>
      <c r="G447" s="175"/>
      <c r="H447" s="175"/>
      <c r="I447" s="175"/>
      <c r="J447" s="175"/>
      <c r="K447" s="175"/>
      <c r="L447" s="175"/>
    </row>
    <row r="448" spans="5:12">
      <c r="E448" s="175"/>
      <c r="F448" s="175"/>
      <c r="G448" s="175"/>
      <c r="H448" s="175"/>
      <c r="I448" s="175"/>
      <c r="J448" s="175"/>
      <c r="K448" s="175"/>
      <c r="L448" s="175"/>
    </row>
    <row r="449" spans="5:12">
      <c r="E449" s="175"/>
      <c r="F449" s="175"/>
      <c r="G449" s="175"/>
      <c r="H449" s="175"/>
      <c r="I449" s="175"/>
      <c r="J449" s="175"/>
      <c r="K449" s="175"/>
      <c r="L449" s="175"/>
    </row>
    <row r="450" spans="5:12">
      <c r="E450" s="175"/>
      <c r="F450" s="175"/>
      <c r="G450" s="175"/>
      <c r="H450" s="175"/>
      <c r="I450" s="175"/>
      <c r="J450" s="175"/>
      <c r="K450" s="175"/>
      <c r="L450" s="175"/>
    </row>
    <row r="451" spans="5:12">
      <c r="E451" s="175"/>
      <c r="F451" s="175"/>
      <c r="G451" s="175"/>
      <c r="H451" s="175"/>
      <c r="I451" s="175"/>
      <c r="J451" s="175"/>
      <c r="K451" s="175"/>
      <c r="L451" s="175"/>
    </row>
    <row r="452" spans="5:12">
      <c r="E452" s="175"/>
      <c r="F452" s="175"/>
      <c r="G452" s="175"/>
      <c r="H452" s="175"/>
      <c r="I452" s="175"/>
      <c r="J452" s="175"/>
      <c r="K452" s="175"/>
      <c r="L452" s="175"/>
    </row>
    <row r="453" spans="5:12">
      <c r="E453" s="175"/>
      <c r="F453" s="175"/>
      <c r="G453" s="175"/>
      <c r="H453" s="175"/>
      <c r="I453" s="175"/>
      <c r="J453" s="175"/>
      <c r="K453" s="175"/>
      <c r="L453" s="175"/>
    </row>
    <row r="454" spans="5:12">
      <c r="E454" s="175"/>
      <c r="F454" s="175"/>
      <c r="G454" s="175"/>
      <c r="H454" s="175"/>
      <c r="I454" s="175"/>
      <c r="J454" s="175"/>
      <c r="K454" s="175"/>
      <c r="L454" s="175"/>
    </row>
    <row r="455" spans="5:12">
      <c r="E455" s="175"/>
      <c r="F455" s="175"/>
      <c r="G455" s="175"/>
      <c r="H455" s="175"/>
      <c r="I455" s="175"/>
      <c r="J455" s="175"/>
      <c r="K455" s="175"/>
      <c r="L455" s="175"/>
    </row>
    <row r="456" spans="5:12">
      <c r="E456" s="175"/>
      <c r="F456" s="175"/>
      <c r="G456" s="175"/>
      <c r="H456" s="175"/>
      <c r="I456" s="175"/>
      <c r="J456" s="175"/>
      <c r="K456" s="175"/>
      <c r="L456" s="175"/>
    </row>
    <row r="457" spans="5:12">
      <c r="E457" s="175"/>
      <c r="F457" s="175"/>
      <c r="G457" s="175"/>
      <c r="H457" s="175"/>
      <c r="I457" s="175"/>
      <c r="J457" s="175"/>
      <c r="K457" s="175"/>
      <c r="L457" s="175"/>
    </row>
    <row r="458" spans="5:12">
      <c r="E458" s="175"/>
      <c r="F458" s="175"/>
      <c r="G458" s="175"/>
      <c r="H458" s="175"/>
      <c r="I458" s="175"/>
      <c r="J458" s="175"/>
      <c r="K458" s="175"/>
      <c r="L458" s="175"/>
    </row>
    <row r="459" spans="5:12">
      <c r="E459" s="175"/>
      <c r="F459" s="175"/>
      <c r="G459" s="175"/>
      <c r="H459" s="175"/>
      <c r="I459" s="175"/>
      <c r="J459" s="175"/>
      <c r="K459" s="175"/>
      <c r="L459" s="175"/>
    </row>
    <row r="460" spans="5:12">
      <c r="E460" s="175"/>
      <c r="F460" s="175"/>
      <c r="G460" s="175"/>
      <c r="H460" s="175"/>
      <c r="I460" s="175"/>
      <c r="J460" s="175"/>
      <c r="K460" s="175"/>
      <c r="L460" s="175"/>
    </row>
    <row r="461" spans="5:12">
      <c r="E461" s="175"/>
      <c r="F461" s="175"/>
      <c r="G461" s="175"/>
      <c r="H461" s="175"/>
      <c r="I461" s="175"/>
      <c r="J461" s="175"/>
      <c r="K461" s="175"/>
      <c r="L461" s="175"/>
    </row>
    <row r="462" spans="5:12">
      <c r="E462" s="175"/>
      <c r="F462" s="175"/>
      <c r="G462" s="175"/>
      <c r="H462" s="175"/>
      <c r="I462" s="175"/>
      <c r="J462" s="175"/>
      <c r="K462" s="175"/>
      <c r="L462" s="175"/>
    </row>
    <row r="463" spans="5:12">
      <c r="E463" s="175"/>
      <c r="F463" s="175"/>
      <c r="G463" s="175"/>
      <c r="H463" s="175"/>
      <c r="I463" s="175"/>
      <c r="J463" s="175"/>
      <c r="K463" s="175"/>
      <c r="L463" s="175"/>
    </row>
    <row r="464" spans="5:12">
      <c r="E464" s="175"/>
      <c r="F464" s="175"/>
      <c r="G464" s="175"/>
      <c r="H464" s="175"/>
      <c r="I464" s="175"/>
      <c r="J464" s="175"/>
      <c r="K464" s="175"/>
      <c r="L464" s="175"/>
    </row>
    <row r="465" spans="5:12">
      <c r="E465" s="175"/>
      <c r="F465" s="175"/>
      <c r="G465" s="175"/>
      <c r="H465" s="175"/>
      <c r="I465" s="175"/>
      <c r="J465" s="175"/>
      <c r="K465" s="175"/>
      <c r="L465" s="175"/>
    </row>
    <row r="466" spans="5:12">
      <c r="E466" s="175"/>
      <c r="F466" s="175"/>
      <c r="G466" s="175"/>
      <c r="H466" s="175"/>
      <c r="I466" s="175"/>
      <c r="J466" s="175"/>
      <c r="K466" s="175"/>
      <c r="L466" s="175"/>
    </row>
    <row r="467" spans="5:12">
      <c r="E467" s="175"/>
      <c r="F467" s="175"/>
      <c r="G467" s="175"/>
      <c r="H467" s="175"/>
      <c r="I467" s="175"/>
      <c r="J467" s="175"/>
      <c r="K467" s="175"/>
      <c r="L467" s="175"/>
    </row>
    <row r="468" spans="5:12">
      <c r="E468" s="175"/>
      <c r="F468" s="175"/>
      <c r="G468" s="175"/>
      <c r="H468" s="175"/>
      <c r="I468" s="175"/>
      <c r="J468" s="175"/>
      <c r="K468" s="175"/>
      <c r="L468" s="175"/>
    </row>
    <row r="469" spans="5:12">
      <c r="E469" s="175"/>
      <c r="F469" s="175"/>
      <c r="G469" s="175"/>
      <c r="H469" s="175"/>
      <c r="I469" s="175"/>
      <c r="J469" s="175"/>
      <c r="K469" s="175"/>
      <c r="L469" s="175"/>
    </row>
    <row r="470" spans="5:12">
      <c r="E470" s="175"/>
      <c r="F470" s="175"/>
      <c r="G470" s="175"/>
      <c r="H470" s="175"/>
      <c r="I470" s="175"/>
      <c r="J470" s="175"/>
      <c r="K470" s="175"/>
      <c r="L470" s="175"/>
    </row>
    <row r="471" spans="5:12">
      <c r="E471" s="175"/>
      <c r="F471" s="175"/>
      <c r="G471" s="175"/>
      <c r="H471" s="175"/>
      <c r="I471" s="175"/>
      <c r="J471" s="175"/>
      <c r="K471" s="175"/>
      <c r="L471" s="175"/>
    </row>
    <row r="472" spans="5:12">
      <c r="E472" s="175"/>
      <c r="F472" s="175"/>
      <c r="G472" s="175"/>
      <c r="H472" s="175"/>
      <c r="I472" s="175"/>
      <c r="J472" s="175"/>
      <c r="K472" s="175"/>
      <c r="L472" s="175"/>
    </row>
    <row r="473" spans="5:12">
      <c r="E473" s="175"/>
      <c r="F473" s="175"/>
      <c r="G473" s="175"/>
      <c r="H473" s="175"/>
      <c r="I473" s="175"/>
      <c r="J473" s="175"/>
      <c r="K473" s="175"/>
      <c r="L473" s="175"/>
    </row>
    <row r="474" spans="5:12">
      <c r="E474" s="175"/>
      <c r="F474" s="175"/>
      <c r="G474" s="175"/>
      <c r="H474" s="175"/>
      <c r="I474" s="175"/>
      <c r="J474" s="175"/>
      <c r="K474" s="175"/>
      <c r="L474" s="175"/>
    </row>
    <row r="475" spans="5:12">
      <c r="E475" s="175"/>
      <c r="F475" s="175"/>
      <c r="G475" s="175"/>
      <c r="H475" s="175"/>
      <c r="I475" s="175"/>
      <c r="J475" s="175"/>
      <c r="K475" s="175"/>
      <c r="L475" s="175"/>
    </row>
    <row r="476" spans="5:12">
      <c r="E476" s="175"/>
      <c r="F476" s="175"/>
      <c r="G476" s="175"/>
      <c r="H476" s="175"/>
      <c r="I476" s="175"/>
      <c r="J476" s="175"/>
      <c r="K476" s="175"/>
      <c r="L476" s="175"/>
    </row>
    <row r="477" spans="5:12">
      <c r="E477" s="175"/>
      <c r="F477" s="175"/>
      <c r="G477" s="175"/>
      <c r="H477" s="175"/>
      <c r="I477" s="175"/>
      <c r="J477" s="175"/>
      <c r="K477" s="175"/>
      <c r="L477" s="175"/>
    </row>
    <row r="478" spans="5:12">
      <c r="E478" s="175"/>
      <c r="F478" s="175"/>
      <c r="G478" s="175"/>
      <c r="H478" s="175"/>
      <c r="I478" s="175"/>
      <c r="J478" s="175"/>
      <c r="K478" s="175"/>
      <c r="L478" s="175"/>
    </row>
    <row r="479" spans="5:12">
      <c r="E479" s="175"/>
      <c r="F479" s="175"/>
      <c r="G479" s="175"/>
      <c r="H479" s="175"/>
      <c r="I479" s="175"/>
      <c r="J479" s="175"/>
      <c r="K479" s="175"/>
      <c r="L479" s="175"/>
    </row>
    <row r="480" spans="5:12">
      <c r="E480" s="175"/>
      <c r="F480" s="175"/>
      <c r="G480" s="175"/>
      <c r="H480" s="175"/>
      <c r="I480" s="175"/>
      <c r="J480" s="175"/>
      <c r="K480" s="175"/>
      <c r="L480" s="175"/>
    </row>
    <row r="481" spans="5:12">
      <c r="E481" s="175"/>
      <c r="F481" s="175"/>
      <c r="G481" s="175"/>
      <c r="H481" s="175"/>
      <c r="I481" s="175"/>
      <c r="J481" s="175"/>
      <c r="K481" s="175"/>
      <c r="L481" s="175"/>
    </row>
    <row r="482" spans="5:12">
      <c r="E482" s="175"/>
      <c r="F482" s="175"/>
      <c r="G482" s="175"/>
      <c r="H482" s="175"/>
      <c r="I482" s="175"/>
      <c r="J482" s="175"/>
      <c r="K482" s="175"/>
      <c r="L482" s="175"/>
    </row>
    <row r="483" spans="5:12">
      <c r="E483" s="175"/>
      <c r="F483" s="175"/>
      <c r="G483" s="175"/>
      <c r="H483" s="175"/>
      <c r="I483" s="175"/>
      <c r="J483" s="175"/>
      <c r="K483" s="175"/>
      <c r="L483" s="175"/>
    </row>
    <row r="484" spans="5:12">
      <c r="E484" s="175"/>
      <c r="F484" s="175"/>
      <c r="G484" s="175"/>
      <c r="H484" s="175"/>
      <c r="I484" s="175"/>
      <c r="J484" s="175"/>
      <c r="K484" s="175"/>
      <c r="L484" s="175"/>
    </row>
    <row r="485" spans="5:12">
      <c r="E485" s="175"/>
      <c r="F485" s="175"/>
      <c r="G485" s="175"/>
      <c r="H485" s="175"/>
      <c r="I485" s="175"/>
      <c r="J485" s="175"/>
      <c r="K485" s="175"/>
      <c r="L485" s="175"/>
    </row>
    <row r="486" spans="5:12">
      <c r="E486" s="175"/>
      <c r="F486" s="175"/>
      <c r="G486" s="175"/>
      <c r="H486" s="175"/>
      <c r="I486" s="175"/>
      <c r="J486" s="175"/>
      <c r="K486" s="175"/>
      <c r="L486" s="175"/>
    </row>
    <row r="487" spans="5:12">
      <c r="E487" s="175"/>
      <c r="F487" s="175"/>
      <c r="G487" s="175"/>
      <c r="H487" s="175"/>
      <c r="I487" s="175"/>
      <c r="J487" s="175"/>
      <c r="K487" s="175"/>
      <c r="L487" s="175"/>
    </row>
    <row r="488" spans="5:12">
      <c r="E488" s="175"/>
      <c r="F488" s="175"/>
      <c r="G488" s="175"/>
      <c r="H488" s="175"/>
      <c r="I488" s="175"/>
      <c r="J488" s="175"/>
      <c r="K488" s="175"/>
      <c r="L488" s="175"/>
    </row>
    <row r="489" spans="5:12">
      <c r="E489" s="175"/>
      <c r="F489" s="175"/>
      <c r="G489" s="175"/>
      <c r="H489" s="175"/>
      <c r="I489" s="175"/>
      <c r="J489" s="175"/>
      <c r="K489" s="175"/>
      <c r="L489" s="175"/>
    </row>
    <row r="490" spans="5:12">
      <c r="E490" s="175"/>
      <c r="F490" s="175"/>
      <c r="G490" s="175"/>
      <c r="H490" s="175"/>
      <c r="I490" s="175"/>
      <c r="J490" s="175"/>
      <c r="K490" s="175"/>
      <c r="L490" s="175"/>
    </row>
    <row r="491" spans="5:12">
      <c r="E491" s="175"/>
      <c r="F491" s="175"/>
      <c r="G491" s="175"/>
      <c r="H491" s="175"/>
      <c r="I491" s="175"/>
      <c r="J491" s="175"/>
      <c r="K491" s="175"/>
      <c r="L491" s="175"/>
    </row>
    <row r="492" spans="5:12">
      <c r="E492" s="175"/>
      <c r="F492" s="175"/>
      <c r="G492" s="175"/>
      <c r="H492" s="175"/>
      <c r="I492" s="175"/>
      <c r="J492" s="175"/>
      <c r="K492" s="175"/>
      <c r="L492" s="175"/>
    </row>
    <row r="493" spans="5:12">
      <c r="E493" s="175"/>
      <c r="F493" s="175"/>
      <c r="G493" s="175"/>
      <c r="H493" s="175"/>
      <c r="I493" s="175"/>
      <c r="J493" s="175"/>
      <c r="K493" s="175"/>
      <c r="L493" s="175"/>
    </row>
    <row r="494" spans="5:12">
      <c r="E494" s="175"/>
      <c r="F494" s="175"/>
      <c r="G494" s="175"/>
      <c r="H494" s="175"/>
      <c r="I494" s="175"/>
      <c r="J494" s="175"/>
      <c r="K494" s="175"/>
      <c r="L494" s="175"/>
    </row>
    <row r="495" spans="5:12">
      <c r="E495" s="175"/>
      <c r="F495" s="175"/>
      <c r="G495" s="175"/>
      <c r="H495" s="175"/>
      <c r="I495" s="175"/>
      <c r="J495" s="175"/>
      <c r="K495" s="175"/>
      <c r="L495" s="175"/>
    </row>
    <row r="496" spans="5:12">
      <c r="E496" s="175"/>
      <c r="F496" s="175"/>
      <c r="G496" s="175"/>
      <c r="H496" s="175"/>
      <c r="I496" s="175"/>
      <c r="J496" s="175"/>
      <c r="K496" s="175"/>
      <c r="L496" s="175"/>
    </row>
    <row r="497" spans="5:12">
      <c r="E497" s="175"/>
      <c r="F497" s="175"/>
      <c r="G497" s="175"/>
      <c r="H497" s="175"/>
      <c r="I497" s="175"/>
      <c r="J497" s="175"/>
      <c r="K497" s="175"/>
      <c r="L497" s="175"/>
    </row>
    <row r="498" spans="5:12">
      <c r="E498" s="175"/>
      <c r="F498" s="175"/>
      <c r="G498" s="175"/>
      <c r="H498" s="175"/>
      <c r="I498" s="175"/>
      <c r="J498" s="175"/>
      <c r="K498" s="175"/>
      <c r="L498" s="175"/>
    </row>
    <row r="499" spans="5:12">
      <c r="E499" s="175"/>
      <c r="F499" s="175"/>
      <c r="G499" s="175"/>
      <c r="H499" s="175"/>
      <c r="I499" s="175"/>
      <c r="J499" s="175"/>
      <c r="K499" s="175"/>
      <c r="L499" s="175"/>
    </row>
    <row r="500" spans="5:12">
      <c r="E500" s="175"/>
      <c r="F500" s="175"/>
      <c r="G500" s="175"/>
      <c r="H500" s="175"/>
      <c r="I500" s="175"/>
      <c r="J500" s="175"/>
      <c r="K500" s="175"/>
      <c r="L500" s="175"/>
    </row>
    <row r="501" spans="5:12">
      <c r="E501" s="175"/>
      <c r="F501" s="175"/>
      <c r="G501" s="175"/>
      <c r="H501" s="175"/>
      <c r="I501" s="175"/>
      <c r="J501" s="175"/>
      <c r="K501" s="175"/>
      <c r="L501" s="175"/>
    </row>
    <row r="502" spans="5:12">
      <c r="E502" s="175"/>
      <c r="F502" s="175"/>
      <c r="G502" s="175"/>
      <c r="H502" s="175"/>
      <c r="I502" s="175"/>
      <c r="J502" s="175"/>
      <c r="K502" s="175"/>
      <c r="L502" s="175"/>
    </row>
    <row r="503" spans="5:12">
      <c r="E503" s="175"/>
      <c r="F503" s="175"/>
      <c r="G503" s="175"/>
      <c r="H503" s="175"/>
      <c r="I503" s="175"/>
      <c r="J503" s="175"/>
      <c r="K503" s="175"/>
      <c r="L503" s="175"/>
    </row>
    <row r="504" spans="5:12">
      <c r="E504" s="175"/>
      <c r="F504" s="175"/>
      <c r="G504" s="175"/>
      <c r="H504" s="175"/>
      <c r="I504" s="175"/>
      <c r="J504" s="175"/>
      <c r="K504" s="175"/>
      <c r="L504" s="175"/>
    </row>
    <row r="505" spans="5:12">
      <c r="E505" s="175"/>
      <c r="F505" s="175"/>
      <c r="G505" s="175"/>
      <c r="H505" s="175"/>
      <c r="I505" s="175"/>
      <c r="J505" s="175"/>
      <c r="K505" s="175"/>
      <c r="L505" s="175"/>
    </row>
    <row r="506" spans="5:12">
      <c r="E506" s="175"/>
      <c r="F506" s="175"/>
      <c r="G506" s="175"/>
      <c r="H506" s="175"/>
      <c r="I506" s="175"/>
      <c r="J506" s="175"/>
      <c r="K506" s="175"/>
      <c r="L506" s="175"/>
    </row>
    <row r="507" spans="5:12">
      <c r="E507" s="175"/>
      <c r="F507" s="175"/>
      <c r="G507" s="175"/>
      <c r="H507" s="175"/>
      <c r="I507" s="175"/>
      <c r="J507" s="175"/>
      <c r="K507" s="175"/>
      <c r="L507" s="175"/>
    </row>
    <row r="508" spans="5:12">
      <c r="E508" s="175"/>
      <c r="F508" s="175"/>
      <c r="G508" s="175"/>
      <c r="H508" s="175"/>
      <c r="I508" s="175"/>
      <c r="J508" s="175"/>
      <c r="K508" s="175"/>
      <c r="L508" s="175"/>
    </row>
    <row r="509" spans="5:12">
      <c r="E509" s="175"/>
      <c r="F509" s="175"/>
      <c r="G509" s="175"/>
      <c r="H509" s="175"/>
      <c r="I509" s="175"/>
      <c r="J509" s="175"/>
      <c r="K509" s="175"/>
      <c r="L509" s="175"/>
    </row>
    <row r="510" spans="5:12">
      <c r="E510" s="175"/>
      <c r="F510" s="175"/>
      <c r="G510" s="175"/>
      <c r="H510" s="175"/>
      <c r="I510" s="175"/>
      <c r="J510" s="175"/>
      <c r="K510" s="175"/>
      <c r="L510" s="175"/>
    </row>
    <row r="511" spans="5:12">
      <c r="E511" s="175"/>
      <c r="F511" s="175"/>
      <c r="G511" s="175"/>
      <c r="H511" s="175"/>
      <c r="I511" s="175"/>
      <c r="J511" s="175"/>
      <c r="K511" s="175"/>
      <c r="L511" s="175"/>
    </row>
    <row r="512" spans="5:12">
      <c r="E512" s="175"/>
      <c r="F512" s="175"/>
      <c r="G512" s="175"/>
      <c r="H512" s="175"/>
      <c r="I512" s="175"/>
      <c r="J512" s="175"/>
      <c r="K512" s="175"/>
      <c r="L512" s="175"/>
    </row>
    <row r="513" spans="5:12">
      <c r="E513" s="175"/>
      <c r="F513" s="175"/>
      <c r="G513" s="175"/>
      <c r="H513" s="175"/>
      <c r="I513" s="175"/>
      <c r="J513" s="175"/>
      <c r="K513" s="175"/>
      <c r="L513" s="175"/>
    </row>
    <row r="514" spans="5:12">
      <c r="E514" s="175"/>
      <c r="F514" s="175"/>
      <c r="G514" s="175"/>
      <c r="H514" s="175"/>
      <c r="I514" s="175"/>
      <c r="J514" s="175"/>
      <c r="K514" s="175"/>
      <c r="L514" s="175"/>
    </row>
    <row r="515" spans="5:12">
      <c r="E515" s="175"/>
      <c r="F515" s="175"/>
      <c r="G515" s="175"/>
      <c r="H515" s="175"/>
      <c r="I515" s="175"/>
      <c r="J515" s="175"/>
      <c r="K515" s="175"/>
      <c r="L515" s="175"/>
    </row>
    <row r="516" spans="5:12">
      <c r="E516" s="175"/>
      <c r="F516" s="175"/>
      <c r="G516" s="175"/>
      <c r="H516" s="175"/>
      <c r="I516" s="175"/>
      <c r="J516" s="175"/>
      <c r="K516" s="175"/>
      <c r="L516" s="175"/>
    </row>
    <row r="517" spans="5:12">
      <c r="E517" s="175"/>
      <c r="F517" s="175"/>
      <c r="G517" s="175"/>
      <c r="H517" s="175"/>
      <c r="I517" s="175"/>
      <c r="J517" s="175"/>
      <c r="K517" s="175"/>
      <c r="L517" s="175"/>
    </row>
    <row r="518" spans="5:12">
      <c r="E518" s="175"/>
      <c r="F518" s="175"/>
      <c r="G518" s="175"/>
      <c r="H518" s="175"/>
      <c r="I518" s="175"/>
      <c r="J518" s="175"/>
      <c r="K518" s="175"/>
      <c r="L518" s="175"/>
    </row>
    <row r="519" spans="5:12">
      <c r="E519" s="175"/>
      <c r="F519" s="175"/>
      <c r="G519" s="175"/>
      <c r="H519" s="175"/>
      <c r="I519" s="175"/>
      <c r="J519" s="175"/>
      <c r="K519" s="175"/>
      <c r="L519" s="175"/>
    </row>
    <row r="520" spans="5:12">
      <c r="E520" s="175"/>
      <c r="F520" s="175"/>
      <c r="G520" s="175"/>
      <c r="H520" s="175"/>
      <c r="I520" s="175"/>
      <c r="J520" s="175"/>
      <c r="K520" s="175"/>
      <c r="L520" s="175"/>
    </row>
    <row r="521" spans="5:12">
      <c r="E521" s="175"/>
      <c r="F521" s="175"/>
      <c r="G521" s="175"/>
      <c r="H521" s="175"/>
      <c r="I521" s="175"/>
      <c r="J521" s="175"/>
      <c r="K521" s="175"/>
      <c r="L521" s="175"/>
    </row>
    <row r="522" spans="5:12">
      <c r="E522" s="175"/>
      <c r="F522" s="175"/>
      <c r="G522" s="175"/>
      <c r="H522" s="175"/>
      <c r="I522" s="175"/>
      <c r="J522" s="175"/>
      <c r="K522" s="175"/>
      <c r="L522" s="175"/>
    </row>
    <row r="523" spans="5:12">
      <c r="E523" s="175"/>
      <c r="F523" s="175"/>
      <c r="G523" s="175"/>
      <c r="H523" s="175"/>
      <c r="I523" s="175"/>
      <c r="J523" s="175"/>
      <c r="K523" s="175"/>
      <c r="L523" s="175"/>
    </row>
    <row r="524" spans="5:12">
      <c r="E524" s="175"/>
      <c r="F524" s="175"/>
      <c r="G524" s="175"/>
      <c r="H524" s="175"/>
      <c r="I524" s="175"/>
      <c r="J524" s="175"/>
      <c r="K524" s="175"/>
      <c r="L524" s="175"/>
    </row>
    <row r="525" spans="5:12">
      <c r="E525" s="175"/>
      <c r="F525" s="175"/>
      <c r="G525" s="175"/>
      <c r="H525" s="175"/>
      <c r="I525" s="175"/>
      <c r="J525" s="175"/>
      <c r="K525" s="175"/>
      <c r="L525" s="175"/>
    </row>
    <row r="526" spans="5:12">
      <c r="E526" s="175"/>
      <c r="F526" s="175"/>
      <c r="G526" s="175"/>
      <c r="H526" s="175"/>
      <c r="I526" s="175"/>
      <c r="J526" s="175"/>
      <c r="K526" s="175"/>
      <c r="L526" s="175"/>
    </row>
    <row r="527" spans="5:12">
      <c r="E527" s="175"/>
      <c r="F527" s="175"/>
      <c r="G527" s="175"/>
      <c r="H527" s="175"/>
      <c r="I527" s="175"/>
      <c r="J527" s="175"/>
      <c r="K527" s="175"/>
      <c r="L527" s="175"/>
    </row>
    <row r="528" spans="5:12">
      <c r="E528" s="175"/>
      <c r="F528" s="175"/>
      <c r="G528" s="175"/>
      <c r="H528" s="175"/>
      <c r="I528" s="175"/>
      <c r="J528" s="175"/>
      <c r="K528" s="175"/>
      <c r="L528" s="175"/>
    </row>
    <row r="529" spans="5:12">
      <c r="E529" s="175"/>
      <c r="F529" s="175"/>
      <c r="G529" s="175"/>
      <c r="H529" s="175"/>
      <c r="I529" s="175"/>
      <c r="J529" s="175"/>
      <c r="K529" s="175"/>
      <c r="L529" s="175"/>
    </row>
    <row r="530" spans="5:12">
      <c r="E530" s="175"/>
      <c r="F530" s="175"/>
      <c r="G530" s="175"/>
      <c r="H530" s="175"/>
      <c r="I530" s="175"/>
      <c r="J530" s="175"/>
      <c r="K530" s="175"/>
      <c r="L530" s="175"/>
    </row>
    <row r="531" spans="5:12">
      <c r="E531" s="175"/>
      <c r="F531" s="175"/>
      <c r="G531" s="175"/>
      <c r="H531" s="175"/>
      <c r="I531" s="175"/>
      <c r="J531" s="175"/>
      <c r="K531" s="175"/>
      <c r="L531" s="175"/>
    </row>
    <row r="532" spans="5:12">
      <c r="E532" s="175"/>
      <c r="F532" s="175"/>
      <c r="G532" s="175"/>
      <c r="H532" s="175"/>
      <c r="I532" s="175"/>
      <c r="J532" s="175"/>
      <c r="K532" s="175"/>
      <c r="L532" s="175"/>
    </row>
    <row r="533" spans="5:12">
      <c r="E533" s="175"/>
      <c r="F533" s="175"/>
      <c r="G533" s="175"/>
      <c r="H533" s="175"/>
      <c r="I533" s="175"/>
      <c r="J533" s="175"/>
      <c r="K533" s="175"/>
      <c r="L533" s="175"/>
    </row>
    <row r="534" spans="5:12">
      <c r="E534" s="175"/>
      <c r="F534" s="175"/>
      <c r="G534" s="175"/>
      <c r="H534" s="175"/>
      <c r="I534" s="175"/>
      <c r="J534" s="175"/>
      <c r="K534" s="175"/>
      <c r="L534" s="175"/>
    </row>
    <row r="535" spans="5:12">
      <c r="E535" s="175"/>
      <c r="F535" s="175"/>
      <c r="G535" s="175"/>
      <c r="H535" s="175"/>
      <c r="I535" s="175"/>
      <c r="J535" s="175"/>
      <c r="K535" s="175"/>
      <c r="L535" s="175"/>
    </row>
    <row r="536" spans="5:12">
      <c r="E536" s="175"/>
      <c r="F536" s="175"/>
      <c r="G536" s="175"/>
      <c r="H536" s="175"/>
      <c r="I536" s="175"/>
      <c r="J536" s="175"/>
      <c r="K536" s="175"/>
      <c r="L536" s="175"/>
    </row>
    <row r="537" spans="5:12">
      <c r="E537" s="175"/>
      <c r="F537" s="175"/>
      <c r="G537" s="175"/>
      <c r="H537" s="175"/>
      <c r="I537" s="175"/>
      <c r="J537" s="175"/>
      <c r="K537" s="175"/>
      <c r="L537" s="175"/>
    </row>
    <row r="538" spans="5:12">
      <c r="E538" s="175"/>
      <c r="F538" s="175"/>
      <c r="G538" s="175"/>
      <c r="H538" s="175"/>
      <c r="I538" s="175"/>
      <c r="J538" s="175"/>
      <c r="K538" s="175"/>
      <c r="L538" s="175"/>
    </row>
    <row r="539" spans="5:12">
      <c r="E539" s="175"/>
      <c r="F539" s="175"/>
      <c r="G539" s="175"/>
      <c r="H539" s="175"/>
      <c r="I539" s="175"/>
      <c r="J539" s="175"/>
      <c r="K539" s="175"/>
      <c r="L539" s="175"/>
    </row>
    <row r="540" spans="5:12">
      <c r="E540" s="175"/>
      <c r="F540" s="175"/>
      <c r="G540" s="175"/>
      <c r="H540" s="175"/>
      <c r="I540" s="175"/>
      <c r="J540" s="175"/>
      <c r="K540" s="175"/>
      <c r="L540" s="175"/>
    </row>
    <row r="541" spans="5:12">
      <c r="E541" s="175"/>
      <c r="F541" s="175"/>
      <c r="G541" s="175"/>
      <c r="H541" s="175"/>
      <c r="I541" s="175"/>
      <c r="J541" s="175"/>
      <c r="K541" s="175"/>
      <c r="L541" s="175"/>
    </row>
    <row r="542" spans="5:12">
      <c r="E542" s="175"/>
      <c r="F542" s="175"/>
      <c r="G542" s="175"/>
      <c r="H542" s="175"/>
      <c r="I542" s="175"/>
      <c r="J542" s="175"/>
      <c r="K542" s="175"/>
      <c r="L542" s="175"/>
    </row>
    <row r="543" spans="5:12">
      <c r="E543" s="175"/>
      <c r="F543" s="175"/>
      <c r="G543" s="175"/>
      <c r="H543" s="175"/>
      <c r="I543" s="175"/>
      <c r="J543" s="175"/>
      <c r="K543" s="175"/>
      <c r="L543" s="175"/>
    </row>
    <row r="544" spans="5:12">
      <c r="E544" s="175"/>
      <c r="F544" s="175"/>
      <c r="G544" s="175"/>
      <c r="H544" s="175"/>
      <c r="I544" s="175"/>
      <c r="J544" s="175"/>
      <c r="K544" s="175"/>
      <c r="L544" s="175"/>
    </row>
    <row r="545" spans="5:12">
      <c r="E545" s="175"/>
      <c r="F545" s="175"/>
      <c r="G545" s="175"/>
      <c r="H545" s="175"/>
      <c r="I545" s="175"/>
      <c r="J545" s="175"/>
      <c r="K545" s="175"/>
      <c r="L545" s="175"/>
    </row>
    <row r="546" spans="5:12">
      <c r="E546" s="175"/>
      <c r="F546" s="175"/>
      <c r="G546" s="175"/>
      <c r="H546" s="175"/>
      <c r="I546" s="175"/>
      <c r="J546" s="175"/>
      <c r="K546" s="175"/>
      <c r="L546" s="175"/>
    </row>
    <row r="547" spans="5:12">
      <c r="E547" s="175"/>
      <c r="F547" s="175"/>
      <c r="G547" s="175"/>
      <c r="H547" s="175"/>
      <c r="I547" s="175"/>
      <c r="J547" s="175"/>
      <c r="K547" s="175"/>
      <c r="L547" s="175"/>
    </row>
    <row r="548" spans="5:12">
      <c r="E548" s="175"/>
      <c r="F548" s="175"/>
      <c r="G548" s="175"/>
      <c r="H548" s="175"/>
      <c r="I548" s="175"/>
      <c r="J548" s="175"/>
      <c r="K548" s="175"/>
      <c r="L548" s="175"/>
    </row>
    <row r="549" spans="5:12">
      <c r="E549" s="175"/>
      <c r="F549" s="175"/>
      <c r="G549" s="175"/>
      <c r="H549" s="175"/>
      <c r="I549" s="175"/>
      <c r="J549" s="175"/>
      <c r="K549" s="175"/>
      <c r="L549" s="175"/>
    </row>
    <row r="550" spans="5:12">
      <c r="E550" s="175"/>
      <c r="F550" s="175"/>
      <c r="G550" s="175"/>
      <c r="H550" s="175"/>
      <c r="I550" s="175"/>
      <c r="J550" s="175"/>
      <c r="K550" s="175"/>
      <c r="L550" s="175"/>
    </row>
    <row r="551" spans="5:12">
      <c r="E551" s="175"/>
      <c r="F551" s="175"/>
      <c r="G551" s="175"/>
      <c r="H551" s="175"/>
      <c r="I551" s="175"/>
      <c r="J551" s="175"/>
      <c r="K551" s="175"/>
      <c r="L551" s="175"/>
    </row>
    <row r="552" spans="5:12">
      <c r="E552" s="175"/>
      <c r="F552" s="175"/>
      <c r="G552" s="175"/>
      <c r="H552" s="175"/>
      <c r="I552" s="175"/>
      <c r="J552" s="175"/>
      <c r="K552" s="175"/>
      <c r="L552" s="175"/>
    </row>
    <row r="553" spans="5:12">
      <c r="E553" s="175"/>
      <c r="F553" s="175"/>
      <c r="G553" s="175"/>
      <c r="H553" s="175"/>
      <c r="I553" s="175"/>
      <c r="J553" s="175"/>
      <c r="K553" s="175"/>
      <c r="L553" s="175"/>
    </row>
    <row r="554" spans="5:12">
      <c r="E554" s="175"/>
      <c r="F554" s="175"/>
      <c r="G554" s="175"/>
      <c r="H554" s="175"/>
      <c r="I554" s="175"/>
      <c r="J554" s="175"/>
      <c r="K554" s="175"/>
      <c r="L554" s="175"/>
    </row>
    <row r="555" spans="5:12">
      <c r="E555" s="175"/>
      <c r="F555" s="175"/>
      <c r="G555" s="175"/>
      <c r="H555" s="175"/>
      <c r="I555" s="175"/>
      <c r="J555" s="175"/>
      <c r="K555" s="175"/>
      <c r="L555" s="175"/>
    </row>
    <row r="556" spans="5:12">
      <c r="E556" s="175"/>
      <c r="F556" s="175"/>
      <c r="G556" s="175"/>
      <c r="H556" s="175"/>
      <c r="I556" s="175"/>
      <c r="J556" s="175"/>
      <c r="K556" s="175"/>
      <c r="L556" s="175"/>
    </row>
    <row r="557" spans="5:12">
      <c r="E557" s="175"/>
      <c r="F557" s="175"/>
      <c r="G557" s="175"/>
      <c r="H557" s="175"/>
      <c r="I557" s="175"/>
      <c r="J557" s="175"/>
      <c r="K557" s="175"/>
      <c r="L557" s="175"/>
    </row>
    <row r="558" spans="5:12">
      <c r="E558" s="175"/>
      <c r="F558" s="175"/>
      <c r="G558" s="175"/>
      <c r="H558" s="175"/>
      <c r="I558" s="175"/>
      <c r="J558" s="175"/>
      <c r="K558" s="175"/>
      <c r="L558" s="175"/>
    </row>
    <row r="559" spans="5:12">
      <c r="E559" s="175"/>
      <c r="F559" s="175"/>
      <c r="G559" s="175"/>
      <c r="H559" s="175"/>
      <c r="I559" s="175"/>
      <c r="J559" s="175"/>
      <c r="K559" s="175"/>
      <c r="L559" s="175"/>
    </row>
    <row r="560" spans="5:12">
      <c r="E560" s="175"/>
      <c r="F560" s="175"/>
      <c r="G560" s="175"/>
      <c r="H560" s="175"/>
      <c r="I560" s="175"/>
      <c r="J560" s="175"/>
      <c r="K560" s="175"/>
      <c r="L560" s="175"/>
    </row>
    <row r="561" spans="5:12">
      <c r="E561" s="175"/>
      <c r="F561" s="175"/>
      <c r="G561" s="175"/>
      <c r="H561" s="175"/>
      <c r="I561" s="175"/>
      <c r="J561" s="175"/>
      <c r="K561" s="175"/>
      <c r="L561" s="175"/>
    </row>
    <row r="562" spans="5:12">
      <c r="E562" s="175"/>
      <c r="F562" s="175"/>
      <c r="G562" s="175"/>
      <c r="H562" s="175"/>
      <c r="I562" s="175"/>
      <c r="J562" s="175"/>
      <c r="K562" s="175"/>
      <c r="L562" s="175"/>
    </row>
    <row r="563" spans="5:12">
      <c r="E563" s="175"/>
      <c r="F563" s="175"/>
      <c r="G563" s="175"/>
      <c r="H563" s="175"/>
      <c r="I563" s="175"/>
      <c r="J563" s="175"/>
      <c r="K563" s="175"/>
      <c r="L563" s="175"/>
    </row>
    <row r="564" spans="5:12">
      <c r="E564" s="175"/>
      <c r="F564" s="175"/>
      <c r="G564" s="175"/>
      <c r="H564" s="175"/>
      <c r="I564" s="175"/>
      <c r="J564" s="175"/>
      <c r="K564" s="175"/>
      <c r="L564" s="175"/>
    </row>
    <row r="565" spans="5:12">
      <c r="E565" s="175"/>
      <c r="F565" s="175"/>
      <c r="G565" s="175"/>
      <c r="H565" s="175"/>
      <c r="I565" s="175"/>
      <c r="J565" s="175"/>
      <c r="K565" s="175"/>
      <c r="L565" s="175"/>
    </row>
    <row r="566" spans="5:12">
      <c r="E566" s="175"/>
      <c r="F566" s="175"/>
      <c r="G566" s="175"/>
      <c r="H566" s="175"/>
      <c r="I566" s="175"/>
      <c r="J566" s="175"/>
      <c r="K566" s="175"/>
      <c r="L566" s="175"/>
    </row>
    <row r="567" spans="5:12">
      <c r="E567" s="175"/>
      <c r="F567" s="175"/>
      <c r="G567" s="175"/>
      <c r="H567" s="175"/>
      <c r="I567" s="175"/>
      <c r="J567" s="175"/>
      <c r="K567" s="175"/>
      <c r="L567" s="175"/>
    </row>
    <row r="568" spans="5:12">
      <c r="E568" s="175"/>
      <c r="F568" s="175"/>
      <c r="G568" s="175"/>
      <c r="H568" s="175"/>
      <c r="I568" s="175"/>
      <c r="J568" s="175"/>
      <c r="K568" s="175"/>
      <c r="L568" s="175"/>
    </row>
    <row r="569" spans="5:12">
      <c r="E569" s="175"/>
      <c r="F569" s="175"/>
      <c r="G569" s="175"/>
      <c r="H569" s="175"/>
      <c r="I569" s="175"/>
      <c r="J569" s="175"/>
      <c r="K569" s="175"/>
      <c r="L569" s="175"/>
    </row>
    <row r="570" spans="5:12">
      <c r="E570" s="175"/>
      <c r="F570" s="175"/>
      <c r="G570" s="175"/>
      <c r="H570" s="175"/>
      <c r="I570" s="175"/>
      <c r="J570" s="175"/>
      <c r="K570" s="175"/>
      <c r="L570" s="175"/>
    </row>
    <row r="571" spans="5:12">
      <c r="E571" s="175"/>
      <c r="F571" s="175"/>
      <c r="G571" s="175"/>
      <c r="H571" s="175"/>
      <c r="I571" s="175"/>
      <c r="J571" s="175"/>
      <c r="K571" s="175"/>
      <c r="L571" s="175"/>
    </row>
    <row r="572" spans="5:12">
      <c r="E572" s="175"/>
      <c r="F572" s="175"/>
      <c r="G572" s="175"/>
      <c r="H572" s="175"/>
      <c r="I572" s="175"/>
      <c r="J572" s="175"/>
      <c r="K572" s="175"/>
      <c r="L572" s="175"/>
    </row>
    <row r="573" spans="5:12">
      <c r="E573" s="175"/>
      <c r="F573" s="175"/>
      <c r="G573" s="175"/>
      <c r="H573" s="175"/>
      <c r="I573" s="175"/>
      <c r="J573" s="175"/>
      <c r="K573" s="175"/>
      <c r="L573" s="175"/>
    </row>
    <row r="574" spans="5:12">
      <c r="E574" s="175"/>
      <c r="F574" s="175"/>
      <c r="G574" s="175"/>
      <c r="H574" s="175"/>
      <c r="I574" s="175"/>
      <c r="J574" s="175"/>
      <c r="K574" s="175"/>
      <c r="L574" s="175"/>
    </row>
    <row r="575" spans="5:12">
      <c r="E575" s="175"/>
      <c r="F575" s="175"/>
      <c r="G575" s="175"/>
      <c r="H575" s="175"/>
      <c r="I575" s="175"/>
      <c r="J575" s="175"/>
      <c r="K575" s="175"/>
      <c r="L575" s="175"/>
    </row>
    <row r="576" spans="5:12">
      <c r="E576" s="175"/>
      <c r="F576" s="175"/>
      <c r="G576" s="175"/>
      <c r="H576" s="175"/>
      <c r="I576" s="175"/>
      <c r="J576" s="175"/>
      <c r="K576" s="175"/>
      <c r="L576" s="175"/>
    </row>
    <row r="577" spans="5:12">
      <c r="E577" s="175"/>
      <c r="F577" s="175"/>
      <c r="G577" s="175"/>
      <c r="H577" s="175"/>
      <c r="I577" s="175"/>
      <c r="J577" s="175"/>
      <c r="K577" s="175"/>
      <c r="L577" s="175"/>
    </row>
    <row r="578" spans="5:12">
      <c r="E578" s="175"/>
      <c r="F578" s="175"/>
      <c r="G578" s="175"/>
      <c r="H578" s="175"/>
      <c r="I578" s="175"/>
      <c r="J578" s="175"/>
      <c r="K578" s="175"/>
      <c r="L578" s="175"/>
    </row>
    <row r="579" spans="5:12">
      <c r="E579" s="175"/>
      <c r="F579" s="175"/>
      <c r="G579" s="175"/>
      <c r="H579" s="175"/>
      <c r="I579" s="175"/>
      <c r="J579" s="175"/>
      <c r="K579" s="175"/>
      <c r="L579" s="175"/>
    </row>
    <row r="580" spans="5:12">
      <c r="E580" s="175"/>
      <c r="F580" s="175"/>
      <c r="G580" s="175"/>
      <c r="H580" s="175"/>
      <c r="I580" s="175"/>
      <c r="J580" s="175"/>
      <c r="K580" s="175"/>
      <c r="L580" s="175"/>
    </row>
    <row r="581" spans="5:12">
      <c r="E581" s="175"/>
      <c r="F581" s="175"/>
      <c r="G581" s="175"/>
      <c r="H581" s="175"/>
      <c r="I581" s="175"/>
      <c r="J581" s="175"/>
      <c r="K581" s="175"/>
      <c r="L581" s="175"/>
    </row>
    <row r="582" spans="5:12">
      <c r="E582" s="175"/>
      <c r="F582" s="175"/>
      <c r="G582" s="175"/>
      <c r="H582" s="175"/>
      <c r="I582" s="175"/>
      <c r="J582" s="175"/>
      <c r="K582" s="175"/>
      <c r="L582" s="175"/>
    </row>
    <row r="583" spans="5:12">
      <c r="E583" s="175"/>
      <c r="F583" s="175"/>
      <c r="G583" s="175"/>
      <c r="H583" s="175"/>
      <c r="I583" s="175"/>
      <c r="J583" s="175"/>
      <c r="K583" s="175"/>
      <c r="L583" s="175"/>
    </row>
    <row r="584" spans="5:12">
      <c r="E584" s="175"/>
      <c r="F584" s="175"/>
      <c r="G584" s="175"/>
      <c r="H584" s="175"/>
      <c r="I584" s="175"/>
      <c r="J584" s="175"/>
      <c r="K584" s="175"/>
      <c r="L584" s="175"/>
    </row>
    <row r="585" spans="5:12">
      <c r="E585" s="175"/>
      <c r="F585" s="175"/>
      <c r="G585" s="175"/>
      <c r="H585" s="175"/>
      <c r="I585" s="175"/>
      <c r="J585" s="175"/>
      <c r="K585" s="175"/>
      <c r="L585" s="175"/>
    </row>
    <row r="586" spans="5:12">
      <c r="E586" s="175"/>
      <c r="F586" s="175"/>
      <c r="G586" s="175"/>
      <c r="H586" s="175"/>
      <c r="I586" s="175"/>
      <c r="J586" s="175"/>
      <c r="K586" s="175"/>
      <c r="L586" s="175"/>
    </row>
    <row r="587" spans="5:12">
      <c r="E587" s="175"/>
      <c r="F587" s="175"/>
      <c r="G587" s="175"/>
      <c r="H587" s="175"/>
      <c r="I587" s="175"/>
      <c r="J587" s="175"/>
      <c r="K587" s="175"/>
      <c r="L587" s="175"/>
    </row>
    <row r="588" spans="5:12">
      <c r="E588" s="175"/>
      <c r="F588" s="175"/>
      <c r="G588" s="175"/>
      <c r="H588" s="175"/>
      <c r="I588" s="175"/>
      <c r="J588" s="175"/>
      <c r="K588" s="175"/>
      <c r="L588" s="175"/>
    </row>
    <row r="589" spans="5:12">
      <c r="E589" s="175"/>
      <c r="F589" s="175"/>
      <c r="G589" s="175"/>
      <c r="H589" s="175"/>
      <c r="I589" s="175"/>
      <c r="J589" s="175"/>
      <c r="K589" s="175"/>
      <c r="L589" s="175"/>
    </row>
    <row r="590" spans="5:12">
      <c r="E590" s="175"/>
      <c r="F590" s="175"/>
      <c r="G590" s="175"/>
      <c r="H590" s="175"/>
      <c r="I590" s="175"/>
      <c r="J590" s="175"/>
      <c r="K590" s="175"/>
      <c r="L590" s="175"/>
    </row>
    <row r="591" spans="5:12">
      <c r="E591" s="175"/>
      <c r="F591" s="175"/>
      <c r="G591" s="175"/>
      <c r="H591" s="175"/>
      <c r="I591" s="175"/>
      <c r="J591" s="175"/>
      <c r="K591" s="175"/>
      <c r="L591" s="175"/>
    </row>
    <row r="592" spans="5:12">
      <c r="E592" s="175"/>
      <c r="F592" s="175"/>
      <c r="G592" s="175"/>
      <c r="H592" s="175"/>
      <c r="I592" s="175"/>
      <c r="J592" s="175"/>
      <c r="K592" s="175"/>
      <c r="L592" s="175"/>
    </row>
    <row r="593" spans="5:12">
      <c r="E593" s="175"/>
      <c r="F593" s="175"/>
      <c r="G593" s="175"/>
      <c r="H593" s="175"/>
      <c r="I593" s="175"/>
      <c r="J593" s="175"/>
      <c r="K593" s="175"/>
      <c r="L593" s="175"/>
    </row>
    <row r="594" spans="5:12">
      <c r="E594" s="175"/>
      <c r="F594" s="175"/>
      <c r="G594" s="175"/>
      <c r="H594" s="175"/>
      <c r="I594" s="175"/>
      <c r="J594" s="175"/>
      <c r="K594" s="175"/>
      <c r="L594" s="175"/>
    </row>
    <row r="595" spans="5:12">
      <c r="E595" s="175"/>
      <c r="F595" s="175"/>
      <c r="G595" s="175"/>
      <c r="H595" s="175"/>
      <c r="I595" s="175"/>
      <c r="J595" s="175"/>
      <c r="K595" s="175"/>
      <c r="L595" s="175"/>
    </row>
    <row r="596" spans="5:12">
      <c r="E596" s="175"/>
      <c r="F596" s="175"/>
      <c r="G596" s="175"/>
      <c r="H596" s="175"/>
      <c r="I596" s="175"/>
      <c r="J596" s="175"/>
      <c r="K596" s="175"/>
      <c r="L596" s="175"/>
    </row>
    <row r="597" spans="5:12">
      <c r="E597" s="175"/>
      <c r="F597" s="175"/>
      <c r="G597" s="175"/>
      <c r="H597" s="175"/>
      <c r="I597" s="175"/>
      <c r="J597" s="175"/>
      <c r="K597" s="175"/>
      <c r="L597" s="175"/>
    </row>
    <row r="598" spans="5:12">
      <c r="E598" s="175"/>
      <c r="F598" s="175"/>
      <c r="G598" s="175"/>
      <c r="H598" s="175"/>
      <c r="I598" s="175"/>
      <c r="J598" s="175"/>
      <c r="K598" s="175"/>
      <c r="L598" s="175"/>
    </row>
    <row r="599" spans="5:12">
      <c r="E599" s="175"/>
      <c r="F599" s="175"/>
      <c r="G599" s="175"/>
      <c r="H599" s="175"/>
      <c r="I599" s="175"/>
      <c r="J599" s="175"/>
      <c r="K599" s="175"/>
      <c r="L599" s="175"/>
    </row>
    <row r="600" spans="5:12">
      <c r="E600" s="175"/>
      <c r="F600" s="175"/>
      <c r="G600" s="175"/>
      <c r="H600" s="175"/>
      <c r="I600" s="175"/>
      <c r="J600" s="175"/>
      <c r="K600" s="175"/>
      <c r="L600" s="175"/>
    </row>
    <row r="601" spans="5:12">
      <c r="E601" s="175"/>
      <c r="F601" s="175"/>
      <c r="G601" s="175"/>
      <c r="H601" s="175"/>
      <c r="I601" s="175"/>
      <c r="J601" s="175"/>
      <c r="K601" s="175"/>
      <c r="L601" s="175"/>
    </row>
    <row r="602" spans="5:12">
      <c r="E602" s="175"/>
      <c r="F602" s="175"/>
      <c r="G602" s="175"/>
      <c r="H602" s="175"/>
      <c r="I602" s="175"/>
      <c r="J602" s="175"/>
      <c r="K602" s="175"/>
      <c r="L602" s="175"/>
    </row>
    <row r="603" spans="5:12">
      <c r="E603" s="175"/>
      <c r="F603" s="175"/>
      <c r="G603" s="175"/>
      <c r="H603" s="175"/>
      <c r="I603" s="175"/>
      <c r="J603" s="175"/>
      <c r="K603" s="175"/>
      <c r="L603" s="175"/>
    </row>
    <row r="604" spans="5:12">
      <c r="E604" s="175"/>
      <c r="F604" s="175"/>
      <c r="G604" s="175"/>
      <c r="H604" s="175"/>
      <c r="I604" s="175"/>
      <c r="J604" s="175"/>
      <c r="K604" s="175"/>
      <c r="L604" s="175"/>
    </row>
    <row r="605" spans="5:12">
      <c r="E605" s="175"/>
      <c r="F605" s="175"/>
      <c r="G605" s="175"/>
      <c r="H605" s="175"/>
      <c r="I605" s="175"/>
      <c r="J605" s="175"/>
      <c r="K605" s="175"/>
      <c r="L605" s="175"/>
    </row>
    <row r="606" spans="5:12">
      <c r="E606" s="175"/>
      <c r="F606" s="175"/>
      <c r="G606" s="175"/>
      <c r="H606" s="175"/>
      <c r="I606" s="175"/>
      <c r="J606" s="175"/>
      <c r="K606" s="175"/>
      <c r="L606" s="175"/>
    </row>
    <row r="607" spans="5:12">
      <c r="E607" s="175"/>
      <c r="F607" s="175"/>
      <c r="G607" s="175"/>
      <c r="H607" s="175"/>
      <c r="I607" s="175"/>
      <c r="J607" s="175"/>
      <c r="K607" s="175"/>
      <c r="L607" s="175"/>
    </row>
    <row r="608" spans="5:12">
      <c r="E608" s="175"/>
      <c r="F608" s="175"/>
      <c r="G608" s="175"/>
      <c r="H608" s="175"/>
      <c r="I608" s="175"/>
      <c r="J608" s="175"/>
      <c r="K608" s="175"/>
      <c r="L608" s="175"/>
    </row>
    <row r="609" spans="5:12">
      <c r="E609" s="175"/>
      <c r="F609" s="175"/>
      <c r="G609" s="175"/>
      <c r="H609" s="175"/>
      <c r="I609" s="175"/>
      <c r="J609" s="175"/>
      <c r="K609" s="175"/>
      <c r="L609" s="175"/>
    </row>
    <row r="610" spans="5:12">
      <c r="E610" s="175"/>
      <c r="F610" s="175"/>
      <c r="G610" s="175"/>
      <c r="H610" s="175"/>
      <c r="I610" s="175"/>
      <c r="J610" s="175"/>
      <c r="K610" s="175"/>
      <c r="L610" s="175"/>
    </row>
    <row r="611" spans="5:12">
      <c r="E611" s="175"/>
      <c r="F611" s="175"/>
      <c r="G611" s="175"/>
      <c r="H611" s="175"/>
      <c r="I611" s="175"/>
      <c r="J611" s="175"/>
      <c r="K611" s="175"/>
      <c r="L611" s="175"/>
    </row>
    <row r="612" spans="5:12">
      <c r="E612" s="175"/>
      <c r="F612" s="175"/>
      <c r="G612" s="175"/>
      <c r="H612" s="175"/>
      <c r="I612" s="175"/>
      <c r="J612" s="175"/>
      <c r="K612" s="175"/>
      <c r="L612" s="175"/>
    </row>
    <row r="613" spans="5:12">
      <c r="E613" s="175"/>
      <c r="F613" s="175"/>
      <c r="G613" s="175"/>
      <c r="H613" s="175"/>
      <c r="I613" s="175"/>
      <c r="J613" s="175"/>
      <c r="K613" s="175"/>
      <c r="L613" s="175"/>
    </row>
    <row r="614" spans="5:12">
      <c r="E614" s="175"/>
      <c r="F614" s="175"/>
      <c r="G614" s="175"/>
      <c r="H614" s="175"/>
      <c r="I614" s="175"/>
      <c r="J614" s="175"/>
      <c r="K614" s="175"/>
      <c r="L614" s="175"/>
    </row>
    <row r="615" spans="5:12">
      <c r="E615" s="175"/>
      <c r="F615" s="175"/>
      <c r="G615" s="175"/>
      <c r="H615" s="175"/>
      <c r="I615" s="175"/>
      <c r="J615" s="175"/>
      <c r="K615" s="175"/>
      <c r="L615" s="175"/>
    </row>
    <row r="616" spans="5:12">
      <c r="E616" s="175"/>
      <c r="F616" s="175"/>
      <c r="G616" s="175"/>
      <c r="H616" s="175"/>
      <c r="I616" s="175"/>
      <c r="J616" s="175"/>
      <c r="K616" s="175"/>
      <c r="L616" s="175"/>
    </row>
    <row r="617" spans="5:12">
      <c r="E617" s="175"/>
      <c r="F617" s="175"/>
      <c r="G617" s="175"/>
      <c r="H617" s="175"/>
      <c r="I617" s="175"/>
      <c r="J617" s="175"/>
      <c r="K617" s="175"/>
      <c r="L617" s="175"/>
    </row>
    <row r="618" spans="5:12">
      <c r="E618" s="175"/>
      <c r="F618" s="175"/>
      <c r="G618" s="175"/>
      <c r="H618" s="175"/>
      <c r="I618" s="175"/>
      <c r="J618" s="175"/>
      <c r="K618" s="175"/>
      <c r="L618" s="175"/>
    </row>
    <row r="619" spans="5:12">
      <c r="E619" s="175"/>
      <c r="F619" s="175"/>
      <c r="G619" s="175"/>
      <c r="H619" s="175"/>
      <c r="I619" s="175"/>
      <c r="J619" s="175"/>
      <c r="K619" s="175"/>
      <c r="L619" s="175"/>
    </row>
    <row r="620" spans="5:12">
      <c r="E620" s="175"/>
      <c r="F620" s="175"/>
      <c r="G620" s="175"/>
      <c r="H620" s="175"/>
      <c r="I620" s="175"/>
      <c r="J620" s="175"/>
      <c r="K620" s="175"/>
      <c r="L620" s="175"/>
    </row>
    <row r="621" spans="5:12">
      <c r="E621" s="175"/>
      <c r="F621" s="175"/>
      <c r="G621" s="175"/>
      <c r="H621" s="175"/>
      <c r="I621" s="175"/>
      <c r="J621" s="175"/>
      <c r="K621" s="175"/>
      <c r="L621" s="175"/>
    </row>
    <row r="622" spans="5:12">
      <c r="E622" s="175"/>
      <c r="F622" s="175"/>
      <c r="G622" s="175"/>
      <c r="H622" s="175"/>
      <c r="I622" s="175"/>
      <c r="J622" s="175"/>
      <c r="K622" s="175"/>
      <c r="L622" s="175"/>
    </row>
    <row r="623" spans="5:12">
      <c r="E623" s="175"/>
      <c r="F623" s="175"/>
      <c r="G623" s="175"/>
      <c r="H623" s="175"/>
      <c r="I623" s="175"/>
      <c r="J623" s="175"/>
      <c r="K623" s="175"/>
      <c r="L623" s="175"/>
    </row>
  </sheetData>
  <mergeCells count="10">
    <mergeCell ref="A1:L1"/>
    <mergeCell ref="A3:A4"/>
    <mergeCell ref="B3:B4"/>
    <mergeCell ref="C3:C4"/>
    <mergeCell ref="D3:D4"/>
    <mergeCell ref="E3:E4"/>
    <mergeCell ref="F3:G3"/>
    <mergeCell ref="H3:I3"/>
    <mergeCell ref="J3:K3"/>
    <mergeCell ref="L3:L4"/>
  </mergeCells>
  <phoneticPr fontId="2" type="noConversion"/>
  <printOptions horizontalCentered="1"/>
  <pageMargins left="0.70866141732283472" right="0.70866141732283472" top="0.74803149606299213" bottom="0.74803149606299213" header="0.31496062992125984" footer="0.31496062992125984"/>
  <pageSetup paperSize="9" scale="79" orientation="landscape" r:id="rId1"/>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0"/>
  <sheetViews>
    <sheetView view="pageBreakPreview" topLeftCell="A4" zoomScaleNormal="85" zoomScaleSheetLayoutView="100" workbookViewId="0">
      <selection activeCell="I8" sqref="I8:K8"/>
    </sheetView>
  </sheetViews>
  <sheetFormatPr defaultRowHeight="22.15" customHeight="1"/>
  <cols>
    <col min="1" max="1" width="44" style="574" customWidth="1"/>
    <col min="2" max="7" width="14.375" style="574" customWidth="1"/>
    <col min="8" max="8" width="13.125" style="574" customWidth="1"/>
    <col min="9" max="9" width="12.375" style="574" bestFit="1" customWidth="1"/>
    <col min="10" max="10" width="9" style="574"/>
    <col min="11" max="11" width="3.625" style="574" customWidth="1"/>
    <col min="12" max="12" width="13.125" style="574" customWidth="1"/>
    <col min="13" max="256" width="9" style="574"/>
    <col min="257" max="257" width="44" style="574" customWidth="1"/>
    <col min="258" max="263" width="14.375" style="574" customWidth="1"/>
    <col min="264" max="264" width="13.125" style="574" customWidth="1"/>
    <col min="265" max="265" width="12.375" style="574" bestFit="1" customWidth="1"/>
    <col min="266" max="512" width="9" style="574"/>
    <col min="513" max="513" width="44" style="574" customWidth="1"/>
    <col min="514" max="519" width="14.375" style="574" customWidth="1"/>
    <col min="520" max="520" width="13.125" style="574" customWidth="1"/>
    <col min="521" max="521" width="12.375" style="574" bestFit="1" customWidth="1"/>
    <col min="522" max="768" width="9" style="574"/>
    <col min="769" max="769" width="44" style="574" customWidth="1"/>
    <col min="770" max="775" width="14.375" style="574" customWidth="1"/>
    <col min="776" max="776" width="13.125" style="574" customWidth="1"/>
    <col min="777" max="777" width="12.375" style="574" bestFit="1" customWidth="1"/>
    <col min="778" max="1024" width="9" style="574"/>
    <col min="1025" max="1025" width="44" style="574" customWidth="1"/>
    <col min="1026" max="1031" width="14.375" style="574" customWidth="1"/>
    <col min="1032" max="1032" width="13.125" style="574" customWidth="1"/>
    <col min="1033" max="1033" width="12.375" style="574" bestFit="1" customWidth="1"/>
    <col min="1034" max="1280" width="9" style="574"/>
    <col min="1281" max="1281" width="44" style="574" customWidth="1"/>
    <col min="1282" max="1287" width="14.375" style="574" customWidth="1"/>
    <col min="1288" max="1288" width="13.125" style="574" customWidth="1"/>
    <col min="1289" max="1289" width="12.375" style="574" bestFit="1" customWidth="1"/>
    <col min="1290" max="1536" width="9" style="574"/>
    <col min="1537" max="1537" width="44" style="574" customWidth="1"/>
    <col min="1538" max="1543" width="14.375" style="574" customWidth="1"/>
    <col min="1544" max="1544" width="13.125" style="574" customWidth="1"/>
    <col min="1545" max="1545" width="12.375" style="574" bestFit="1" customWidth="1"/>
    <col min="1546" max="1792" width="9" style="574"/>
    <col min="1793" max="1793" width="44" style="574" customWidth="1"/>
    <col min="1794" max="1799" width="14.375" style="574" customWidth="1"/>
    <col min="1800" max="1800" width="13.125" style="574" customWidth="1"/>
    <col min="1801" max="1801" width="12.375" style="574" bestFit="1" customWidth="1"/>
    <col min="1802" max="2048" width="9" style="574"/>
    <col min="2049" max="2049" width="44" style="574" customWidth="1"/>
    <col min="2050" max="2055" width="14.375" style="574" customWidth="1"/>
    <col min="2056" max="2056" width="13.125" style="574" customWidth="1"/>
    <col min="2057" max="2057" width="12.375" style="574" bestFit="1" customWidth="1"/>
    <col min="2058" max="2304" width="9" style="574"/>
    <col min="2305" max="2305" width="44" style="574" customWidth="1"/>
    <col min="2306" max="2311" width="14.375" style="574" customWidth="1"/>
    <col min="2312" max="2312" width="13.125" style="574" customWidth="1"/>
    <col min="2313" max="2313" width="12.375" style="574" bestFit="1" customWidth="1"/>
    <col min="2314" max="2560" width="9" style="574"/>
    <col min="2561" max="2561" width="44" style="574" customWidth="1"/>
    <col min="2562" max="2567" width="14.375" style="574" customWidth="1"/>
    <col min="2568" max="2568" width="13.125" style="574" customWidth="1"/>
    <col min="2569" max="2569" width="12.375" style="574" bestFit="1" customWidth="1"/>
    <col min="2570" max="2816" width="9" style="574"/>
    <col min="2817" max="2817" width="44" style="574" customWidth="1"/>
    <col min="2818" max="2823" width="14.375" style="574" customWidth="1"/>
    <col min="2824" max="2824" width="13.125" style="574" customWidth="1"/>
    <col min="2825" max="2825" width="12.375" style="574" bestFit="1" customWidth="1"/>
    <col min="2826" max="3072" width="9" style="574"/>
    <col min="3073" max="3073" width="44" style="574" customWidth="1"/>
    <col min="3074" max="3079" width="14.375" style="574" customWidth="1"/>
    <col min="3080" max="3080" width="13.125" style="574" customWidth="1"/>
    <col min="3081" max="3081" width="12.375" style="574" bestFit="1" customWidth="1"/>
    <col min="3082" max="3328" width="9" style="574"/>
    <col min="3329" max="3329" width="44" style="574" customWidth="1"/>
    <col min="3330" max="3335" width="14.375" style="574" customWidth="1"/>
    <col min="3336" max="3336" width="13.125" style="574" customWidth="1"/>
    <col min="3337" max="3337" width="12.375" style="574" bestFit="1" customWidth="1"/>
    <col min="3338" max="3584" width="9" style="574"/>
    <col min="3585" max="3585" width="44" style="574" customWidth="1"/>
    <col min="3586" max="3591" width="14.375" style="574" customWidth="1"/>
    <col min="3592" max="3592" width="13.125" style="574" customWidth="1"/>
    <col min="3593" max="3593" width="12.375" style="574" bestFit="1" customWidth="1"/>
    <col min="3594" max="3840" width="9" style="574"/>
    <col min="3841" max="3841" width="44" style="574" customWidth="1"/>
    <col min="3842" max="3847" width="14.375" style="574" customWidth="1"/>
    <col min="3848" max="3848" width="13.125" style="574" customWidth="1"/>
    <col min="3849" max="3849" width="12.375" style="574" bestFit="1" customWidth="1"/>
    <col min="3850" max="4096" width="9" style="574"/>
    <col min="4097" max="4097" width="44" style="574" customWidth="1"/>
    <col min="4098" max="4103" width="14.375" style="574" customWidth="1"/>
    <col min="4104" max="4104" width="13.125" style="574" customWidth="1"/>
    <col min="4105" max="4105" width="12.375" style="574" bestFit="1" customWidth="1"/>
    <col min="4106" max="4352" width="9" style="574"/>
    <col min="4353" max="4353" width="44" style="574" customWidth="1"/>
    <col min="4354" max="4359" width="14.375" style="574" customWidth="1"/>
    <col min="4360" max="4360" width="13.125" style="574" customWidth="1"/>
    <col min="4361" max="4361" width="12.375" style="574" bestFit="1" customWidth="1"/>
    <col min="4362" max="4608" width="9" style="574"/>
    <col min="4609" max="4609" width="44" style="574" customWidth="1"/>
    <col min="4610" max="4615" width="14.375" style="574" customWidth="1"/>
    <col min="4616" max="4616" width="13.125" style="574" customWidth="1"/>
    <col min="4617" max="4617" width="12.375" style="574" bestFit="1" customWidth="1"/>
    <col min="4618" max="4864" width="9" style="574"/>
    <col min="4865" max="4865" width="44" style="574" customWidth="1"/>
    <col min="4866" max="4871" width="14.375" style="574" customWidth="1"/>
    <col min="4872" max="4872" width="13.125" style="574" customWidth="1"/>
    <col min="4873" max="4873" width="12.375" style="574" bestFit="1" customWidth="1"/>
    <col min="4874" max="5120" width="9" style="574"/>
    <col min="5121" max="5121" width="44" style="574" customWidth="1"/>
    <col min="5122" max="5127" width="14.375" style="574" customWidth="1"/>
    <col min="5128" max="5128" width="13.125" style="574" customWidth="1"/>
    <col min="5129" max="5129" width="12.375" style="574" bestFit="1" customWidth="1"/>
    <col min="5130" max="5376" width="9" style="574"/>
    <col min="5377" max="5377" width="44" style="574" customWidth="1"/>
    <col min="5378" max="5383" width="14.375" style="574" customWidth="1"/>
    <col min="5384" max="5384" width="13.125" style="574" customWidth="1"/>
    <col min="5385" max="5385" width="12.375" style="574" bestFit="1" customWidth="1"/>
    <col min="5386" max="5632" width="9" style="574"/>
    <col min="5633" max="5633" width="44" style="574" customWidth="1"/>
    <col min="5634" max="5639" width="14.375" style="574" customWidth="1"/>
    <col min="5640" max="5640" width="13.125" style="574" customWidth="1"/>
    <col min="5641" max="5641" width="12.375" style="574" bestFit="1" customWidth="1"/>
    <col min="5642" max="5888" width="9" style="574"/>
    <col min="5889" max="5889" width="44" style="574" customWidth="1"/>
    <col min="5890" max="5895" width="14.375" style="574" customWidth="1"/>
    <col min="5896" max="5896" width="13.125" style="574" customWidth="1"/>
    <col min="5897" max="5897" width="12.375" style="574" bestFit="1" customWidth="1"/>
    <col min="5898" max="6144" width="9" style="574"/>
    <col min="6145" max="6145" width="44" style="574" customWidth="1"/>
    <col min="6146" max="6151" width="14.375" style="574" customWidth="1"/>
    <col min="6152" max="6152" width="13.125" style="574" customWidth="1"/>
    <col min="6153" max="6153" width="12.375" style="574" bestFit="1" customWidth="1"/>
    <col min="6154" max="6400" width="9" style="574"/>
    <col min="6401" max="6401" width="44" style="574" customWidth="1"/>
    <col min="6402" max="6407" width="14.375" style="574" customWidth="1"/>
    <col min="6408" max="6408" width="13.125" style="574" customWidth="1"/>
    <col min="6409" max="6409" width="12.375" style="574" bestFit="1" customWidth="1"/>
    <col min="6410" max="6656" width="9" style="574"/>
    <col min="6657" max="6657" width="44" style="574" customWidth="1"/>
    <col min="6658" max="6663" width="14.375" style="574" customWidth="1"/>
    <col min="6664" max="6664" width="13.125" style="574" customWidth="1"/>
    <col min="6665" max="6665" width="12.375" style="574" bestFit="1" customWidth="1"/>
    <col min="6666" max="6912" width="9" style="574"/>
    <col min="6913" max="6913" width="44" style="574" customWidth="1"/>
    <col min="6914" max="6919" width="14.375" style="574" customWidth="1"/>
    <col min="6920" max="6920" width="13.125" style="574" customWidth="1"/>
    <col min="6921" max="6921" width="12.375" style="574" bestFit="1" customWidth="1"/>
    <col min="6922" max="7168" width="9" style="574"/>
    <col min="7169" max="7169" width="44" style="574" customWidth="1"/>
    <col min="7170" max="7175" width="14.375" style="574" customWidth="1"/>
    <col min="7176" max="7176" width="13.125" style="574" customWidth="1"/>
    <col min="7177" max="7177" width="12.375" style="574" bestFit="1" customWidth="1"/>
    <col min="7178" max="7424" width="9" style="574"/>
    <col min="7425" max="7425" width="44" style="574" customWidth="1"/>
    <col min="7426" max="7431" width="14.375" style="574" customWidth="1"/>
    <col min="7432" max="7432" width="13.125" style="574" customWidth="1"/>
    <col min="7433" max="7433" width="12.375" style="574" bestFit="1" customWidth="1"/>
    <col min="7434" max="7680" width="9" style="574"/>
    <col min="7681" max="7681" width="44" style="574" customWidth="1"/>
    <col min="7682" max="7687" width="14.375" style="574" customWidth="1"/>
    <col min="7688" max="7688" width="13.125" style="574" customWidth="1"/>
    <col min="7689" max="7689" width="12.375" style="574" bestFit="1" customWidth="1"/>
    <col min="7690" max="7936" width="9" style="574"/>
    <col min="7937" max="7937" width="44" style="574" customWidth="1"/>
    <col min="7938" max="7943" width="14.375" style="574" customWidth="1"/>
    <col min="7944" max="7944" width="13.125" style="574" customWidth="1"/>
    <col min="7945" max="7945" width="12.375" style="574" bestFit="1" customWidth="1"/>
    <col min="7946" max="8192" width="9" style="574"/>
    <col min="8193" max="8193" width="44" style="574" customWidth="1"/>
    <col min="8194" max="8199" width="14.375" style="574" customWidth="1"/>
    <col min="8200" max="8200" width="13.125" style="574" customWidth="1"/>
    <col min="8201" max="8201" width="12.375" style="574" bestFit="1" customWidth="1"/>
    <col min="8202" max="8448" width="9" style="574"/>
    <col min="8449" max="8449" width="44" style="574" customWidth="1"/>
    <col min="8450" max="8455" width="14.375" style="574" customWidth="1"/>
    <col min="8456" max="8456" width="13.125" style="574" customWidth="1"/>
    <col min="8457" max="8457" width="12.375" style="574" bestFit="1" customWidth="1"/>
    <col min="8458" max="8704" width="9" style="574"/>
    <col min="8705" max="8705" width="44" style="574" customWidth="1"/>
    <col min="8706" max="8711" width="14.375" style="574" customWidth="1"/>
    <col min="8712" max="8712" width="13.125" style="574" customWidth="1"/>
    <col min="8713" max="8713" width="12.375" style="574" bestFit="1" customWidth="1"/>
    <col min="8714" max="8960" width="9" style="574"/>
    <col min="8961" max="8961" width="44" style="574" customWidth="1"/>
    <col min="8962" max="8967" width="14.375" style="574" customWidth="1"/>
    <col min="8968" max="8968" width="13.125" style="574" customWidth="1"/>
    <col min="8969" max="8969" width="12.375" style="574" bestFit="1" customWidth="1"/>
    <col min="8970" max="9216" width="9" style="574"/>
    <col min="9217" max="9217" width="44" style="574" customWidth="1"/>
    <col min="9218" max="9223" width="14.375" style="574" customWidth="1"/>
    <col min="9224" max="9224" width="13.125" style="574" customWidth="1"/>
    <col min="9225" max="9225" width="12.375" style="574" bestFit="1" customWidth="1"/>
    <col min="9226" max="9472" width="9" style="574"/>
    <col min="9473" max="9473" width="44" style="574" customWidth="1"/>
    <col min="9474" max="9479" width="14.375" style="574" customWidth="1"/>
    <col min="9480" max="9480" width="13.125" style="574" customWidth="1"/>
    <col min="9481" max="9481" width="12.375" style="574" bestFit="1" customWidth="1"/>
    <col min="9482" max="9728" width="9" style="574"/>
    <col min="9729" max="9729" width="44" style="574" customWidth="1"/>
    <col min="9730" max="9735" width="14.375" style="574" customWidth="1"/>
    <col min="9736" max="9736" width="13.125" style="574" customWidth="1"/>
    <col min="9737" max="9737" width="12.375" style="574" bestFit="1" customWidth="1"/>
    <col min="9738" max="9984" width="9" style="574"/>
    <col min="9985" max="9985" width="44" style="574" customWidth="1"/>
    <col min="9986" max="9991" width="14.375" style="574" customWidth="1"/>
    <col min="9992" max="9992" width="13.125" style="574" customWidth="1"/>
    <col min="9993" max="9993" width="12.375" style="574" bestFit="1" customWidth="1"/>
    <col min="9994" max="10240" width="9" style="574"/>
    <col min="10241" max="10241" width="44" style="574" customWidth="1"/>
    <col min="10242" max="10247" width="14.375" style="574" customWidth="1"/>
    <col min="10248" max="10248" width="13.125" style="574" customWidth="1"/>
    <col min="10249" max="10249" width="12.375" style="574" bestFit="1" customWidth="1"/>
    <col min="10250" max="10496" width="9" style="574"/>
    <col min="10497" max="10497" width="44" style="574" customWidth="1"/>
    <col min="10498" max="10503" width="14.375" style="574" customWidth="1"/>
    <col min="10504" max="10504" width="13.125" style="574" customWidth="1"/>
    <col min="10505" max="10505" width="12.375" style="574" bestFit="1" customWidth="1"/>
    <col min="10506" max="10752" width="9" style="574"/>
    <col min="10753" max="10753" width="44" style="574" customWidth="1"/>
    <col min="10754" max="10759" width="14.375" style="574" customWidth="1"/>
    <col min="10760" max="10760" width="13.125" style="574" customWidth="1"/>
    <col min="10761" max="10761" width="12.375" style="574" bestFit="1" customWidth="1"/>
    <col min="10762" max="11008" width="9" style="574"/>
    <col min="11009" max="11009" width="44" style="574" customWidth="1"/>
    <col min="11010" max="11015" width="14.375" style="574" customWidth="1"/>
    <col min="11016" max="11016" width="13.125" style="574" customWidth="1"/>
    <col min="11017" max="11017" width="12.375" style="574" bestFit="1" customWidth="1"/>
    <col min="11018" max="11264" width="9" style="574"/>
    <col min="11265" max="11265" width="44" style="574" customWidth="1"/>
    <col min="11266" max="11271" width="14.375" style="574" customWidth="1"/>
    <col min="11272" max="11272" width="13.125" style="574" customWidth="1"/>
    <col min="11273" max="11273" width="12.375" style="574" bestFit="1" customWidth="1"/>
    <col min="11274" max="11520" width="9" style="574"/>
    <col min="11521" max="11521" width="44" style="574" customWidth="1"/>
    <col min="11522" max="11527" width="14.375" style="574" customWidth="1"/>
    <col min="11528" max="11528" width="13.125" style="574" customWidth="1"/>
    <col min="11529" max="11529" width="12.375" style="574" bestFit="1" customWidth="1"/>
    <col min="11530" max="11776" width="9" style="574"/>
    <col min="11777" max="11777" width="44" style="574" customWidth="1"/>
    <col min="11778" max="11783" width="14.375" style="574" customWidth="1"/>
    <col min="11784" max="11784" width="13.125" style="574" customWidth="1"/>
    <col min="11785" max="11785" width="12.375" style="574" bestFit="1" customWidth="1"/>
    <col min="11786" max="12032" width="9" style="574"/>
    <col min="12033" max="12033" width="44" style="574" customWidth="1"/>
    <col min="12034" max="12039" width="14.375" style="574" customWidth="1"/>
    <col min="12040" max="12040" width="13.125" style="574" customWidth="1"/>
    <col min="12041" max="12041" width="12.375" style="574" bestFit="1" customWidth="1"/>
    <col min="12042" max="12288" width="9" style="574"/>
    <col min="12289" max="12289" width="44" style="574" customWidth="1"/>
    <col min="12290" max="12295" width="14.375" style="574" customWidth="1"/>
    <col min="12296" max="12296" width="13.125" style="574" customWidth="1"/>
    <col min="12297" max="12297" width="12.375" style="574" bestFit="1" customWidth="1"/>
    <col min="12298" max="12544" width="9" style="574"/>
    <col min="12545" max="12545" width="44" style="574" customWidth="1"/>
    <col min="12546" max="12551" width="14.375" style="574" customWidth="1"/>
    <col min="12552" max="12552" width="13.125" style="574" customWidth="1"/>
    <col min="12553" max="12553" width="12.375" style="574" bestFit="1" customWidth="1"/>
    <col min="12554" max="12800" width="9" style="574"/>
    <col min="12801" max="12801" width="44" style="574" customWidth="1"/>
    <col min="12802" max="12807" width="14.375" style="574" customWidth="1"/>
    <col min="12808" max="12808" width="13.125" style="574" customWidth="1"/>
    <col min="12809" max="12809" width="12.375" style="574" bestFit="1" customWidth="1"/>
    <col min="12810" max="13056" width="9" style="574"/>
    <col min="13057" max="13057" width="44" style="574" customWidth="1"/>
    <col min="13058" max="13063" width="14.375" style="574" customWidth="1"/>
    <col min="13064" max="13064" width="13.125" style="574" customWidth="1"/>
    <col min="13065" max="13065" width="12.375" style="574" bestFit="1" customWidth="1"/>
    <col min="13066" max="13312" width="9" style="574"/>
    <col min="13313" max="13313" width="44" style="574" customWidth="1"/>
    <col min="13314" max="13319" width="14.375" style="574" customWidth="1"/>
    <col min="13320" max="13320" width="13.125" style="574" customWidth="1"/>
    <col min="13321" max="13321" width="12.375" style="574" bestFit="1" customWidth="1"/>
    <col min="13322" max="13568" width="9" style="574"/>
    <col min="13569" max="13569" width="44" style="574" customWidth="1"/>
    <col min="13570" max="13575" width="14.375" style="574" customWidth="1"/>
    <col min="13576" max="13576" width="13.125" style="574" customWidth="1"/>
    <col min="13577" max="13577" width="12.375" style="574" bestFit="1" customWidth="1"/>
    <col min="13578" max="13824" width="9" style="574"/>
    <col min="13825" max="13825" width="44" style="574" customWidth="1"/>
    <col min="13826" max="13831" width="14.375" style="574" customWidth="1"/>
    <col min="13832" max="13832" width="13.125" style="574" customWidth="1"/>
    <col min="13833" max="13833" width="12.375" style="574" bestFit="1" customWidth="1"/>
    <col min="13834" max="14080" width="9" style="574"/>
    <col min="14081" max="14081" width="44" style="574" customWidth="1"/>
    <col min="14082" max="14087" width="14.375" style="574" customWidth="1"/>
    <col min="14088" max="14088" width="13.125" style="574" customWidth="1"/>
    <col min="14089" max="14089" width="12.375" style="574" bestFit="1" customWidth="1"/>
    <col min="14090" max="14336" width="9" style="574"/>
    <col min="14337" max="14337" width="44" style="574" customWidth="1"/>
    <col min="14338" max="14343" width="14.375" style="574" customWidth="1"/>
    <col min="14344" max="14344" width="13.125" style="574" customWidth="1"/>
    <col min="14345" max="14345" width="12.375" style="574" bestFit="1" customWidth="1"/>
    <col min="14346" max="14592" width="9" style="574"/>
    <col min="14593" max="14593" width="44" style="574" customWidth="1"/>
    <col min="14594" max="14599" width="14.375" style="574" customWidth="1"/>
    <col min="14600" max="14600" width="13.125" style="574" customWidth="1"/>
    <col min="14601" max="14601" width="12.375" style="574" bestFit="1" customWidth="1"/>
    <col min="14602" max="14848" width="9" style="574"/>
    <col min="14849" max="14849" width="44" style="574" customWidth="1"/>
    <col min="14850" max="14855" width="14.375" style="574" customWidth="1"/>
    <col min="14856" max="14856" width="13.125" style="574" customWidth="1"/>
    <col min="14857" max="14857" width="12.375" style="574" bestFit="1" customWidth="1"/>
    <col min="14858" max="15104" width="9" style="574"/>
    <col min="15105" max="15105" width="44" style="574" customWidth="1"/>
    <col min="15106" max="15111" width="14.375" style="574" customWidth="1"/>
    <col min="15112" max="15112" width="13.125" style="574" customWidth="1"/>
    <col min="15113" max="15113" width="12.375" style="574" bestFit="1" customWidth="1"/>
    <col min="15114" max="15360" width="9" style="574"/>
    <col min="15361" max="15361" width="44" style="574" customWidth="1"/>
    <col min="15362" max="15367" width="14.375" style="574" customWidth="1"/>
    <col min="15368" max="15368" width="13.125" style="574" customWidth="1"/>
    <col min="15369" max="15369" width="12.375" style="574" bestFit="1" customWidth="1"/>
    <col min="15370" max="15616" width="9" style="574"/>
    <col min="15617" max="15617" width="44" style="574" customWidth="1"/>
    <col min="15618" max="15623" width="14.375" style="574" customWidth="1"/>
    <col min="15624" max="15624" width="13.125" style="574" customWidth="1"/>
    <col min="15625" max="15625" width="12.375" style="574" bestFit="1" customWidth="1"/>
    <col min="15626" max="15872" width="9" style="574"/>
    <col min="15873" max="15873" width="44" style="574" customWidth="1"/>
    <col min="15874" max="15879" width="14.375" style="574" customWidth="1"/>
    <col min="15880" max="15880" width="13.125" style="574" customWidth="1"/>
    <col min="15881" max="15881" width="12.375" style="574" bestFit="1" customWidth="1"/>
    <col min="15882" max="16128" width="9" style="574"/>
    <col min="16129" max="16129" width="44" style="574" customWidth="1"/>
    <col min="16130" max="16135" width="14.375" style="574" customWidth="1"/>
    <col min="16136" max="16136" width="13.125" style="574" customWidth="1"/>
    <col min="16137" max="16137" width="12.375" style="574" bestFit="1" customWidth="1"/>
    <col min="16138" max="16384" width="9" style="574"/>
  </cols>
  <sheetData>
    <row r="1" spans="1:15" s="109" customFormat="1" ht="32.25" customHeight="1">
      <c r="A1" s="1560" t="s">
        <v>720</v>
      </c>
      <c r="B1" s="1560"/>
      <c r="C1" s="1560"/>
      <c r="D1" s="1560"/>
      <c r="E1" s="1560"/>
      <c r="F1" s="1560"/>
      <c r="G1" s="1560"/>
      <c r="H1" s="512"/>
      <c r="I1" s="180"/>
      <c r="J1" s="180"/>
      <c r="L1" s="512" t="s">
        <v>936</v>
      </c>
    </row>
    <row r="2" spans="1:15" s="10" customFormat="1" ht="30" customHeight="1">
      <c r="A2" s="614"/>
      <c r="B2" s="614"/>
      <c r="C2" s="614"/>
      <c r="D2" s="614"/>
      <c r="E2" s="614"/>
      <c r="F2" s="176"/>
      <c r="H2" s="615"/>
      <c r="I2" s="615"/>
      <c r="J2" s="615"/>
      <c r="L2" s="697" t="s">
        <v>151</v>
      </c>
      <c r="M2" s="697" t="s">
        <v>152</v>
      </c>
      <c r="N2" s="697" t="s">
        <v>153</v>
      </c>
    </row>
    <row r="3" spans="1:15" s="10" customFormat="1" ht="19.5" customHeight="1">
      <c r="A3" s="1561" t="s">
        <v>721</v>
      </c>
      <c r="B3" s="1562"/>
      <c r="C3" s="1563"/>
      <c r="D3" s="614"/>
      <c r="E3" s="614"/>
      <c r="F3" s="176"/>
      <c r="H3" s="511"/>
      <c r="I3" s="616"/>
      <c r="J3" s="617"/>
      <c r="L3" s="696" t="s">
        <v>944</v>
      </c>
      <c r="M3" s="695">
        <v>45</v>
      </c>
      <c r="N3" s="694">
        <v>32317</v>
      </c>
    </row>
    <row r="4" spans="1:15" s="10" customFormat="1" ht="19.5" customHeight="1">
      <c r="A4" s="72"/>
      <c r="B4" s="72"/>
      <c r="C4" s="72"/>
      <c r="D4" s="614"/>
      <c r="E4" s="614"/>
      <c r="F4" s="176"/>
      <c r="H4" s="511"/>
      <c r="I4" s="616"/>
      <c r="J4" s="617"/>
      <c r="L4" s="696" t="s">
        <v>945</v>
      </c>
      <c r="M4" s="695">
        <v>42</v>
      </c>
      <c r="N4" s="694">
        <v>23642</v>
      </c>
    </row>
    <row r="5" spans="1:15" s="10" customFormat="1" ht="20.100000000000001" customHeight="1">
      <c r="A5" s="11" t="s">
        <v>722</v>
      </c>
      <c r="F5" s="618"/>
      <c r="G5" s="618"/>
      <c r="H5" s="511"/>
      <c r="I5" s="616"/>
      <c r="J5" s="617"/>
      <c r="L5" s="696" t="s">
        <v>946</v>
      </c>
      <c r="M5" s="695">
        <v>6</v>
      </c>
      <c r="N5" s="694">
        <v>3213</v>
      </c>
    </row>
    <row r="6" spans="1:15" s="10" customFormat="1" ht="20.100000000000001" customHeight="1">
      <c r="A6" s="560" t="s">
        <v>723</v>
      </c>
      <c r="B6" s="560" t="s">
        <v>724</v>
      </c>
      <c r="C6" s="560" t="s">
        <v>725</v>
      </c>
      <c r="D6" s="560" t="s">
        <v>726</v>
      </c>
      <c r="E6" s="560" t="s">
        <v>727</v>
      </c>
      <c r="F6" s="560" t="s">
        <v>728</v>
      </c>
      <c r="G6" s="619" t="s">
        <v>729</v>
      </c>
      <c r="H6" s="511"/>
      <c r="I6" s="616"/>
      <c r="J6" s="617"/>
      <c r="L6" s="696" t="s">
        <v>947</v>
      </c>
      <c r="M6" s="695">
        <v>0</v>
      </c>
      <c r="N6" s="694">
        <v>0</v>
      </c>
    </row>
    <row r="7" spans="1:15" s="10" customFormat="1" ht="20.100000000000001" customHeight="1">
      <c r="A7" s="196" t="s">
        <v>730</v>
      </c>
      <c r="B7" s="620">
        <v>0.4</v>
      </c>
      <c r="C7" s="620">
        <v>0.7</v>
      </c>
      <c r="D7" s="620">
        <v>1.4</v>
      </c>
      <c r="E7" s="620">
        <v>2</v>
      </c>
      <c r="F7" s="620">
        <v>3.8</v>
      </c>
      <c r="G7" s="621">
        <v>4.3</v>
      </c>
      <c r="H7" s="511"/>
      <c r="I7" s="616"/>
      <c r="J7" s="617"/>
      <c r="L7" s="696" t="s">
        <v>948</v>
      </c>
      <c r="M7" s="695">
        <v>33</v>
      </c>
      <c r="N7" s="694">
        <v>4173</v>
      </c>
    </row>
    <row r="8" spans="1:15" s="10" customFormat="1" ht="20.100000000000001" customHeight="1">
      <c r="A8" s="196" t="s">
        <v>731</v>
      </c>
      <c r="B8" s="620">
        <v>0</v>
      </c>
      <c r="C8" s="620">
        <v>0.8</v>
      </c>
      <c r="D8" s="620">
        <v>4.0999999999999996</v>
      </c>
      <c r="E8" s="620">
        <v>6</v>
      </c>
      <c r="F8" s="620">
        <v>11.3</v>
      </c>
      <c r="G8" s="621">
        <v>13</v>
      </c>
      <c r="H8" s="511"/>
      <c r="I8" s="616"/>
      <c r="J8" s="617"/>
      <c r="L8" s="696" t="s">
        <v>949</v>
      </c>
      <c r="M8" s="695">
        <v>3</v>
      </c>
      <c r="N8" s="694">
        <v>12553</v>
      </c>
    </row>
    <row r="9" spans="1:15" s="10" customFormat="1" ht="20.100000000000001" customHeight="1">
      <c r="A9" s="196" t="s">
        <v>732</v>
      </c>
      <c r="B9" s="620">
        <v>0</v>
      </c>
      <c r="C9" s="620">
        <v>0.7</v>
      </c>
      <c r="D9" s="620">
        <v>1.4</v>
      </c>
      <c r="E9" s="620">
        <v>2</v>
      </c>
      <c r="F9" s="620">
        <v>3.8</v>
      </c>
      <c r="G9" s="621">
        <v>4.5</v>
      </c>
      <c r="H9" s="511"/>
      <c r="I9" s="616"/>
      <c r="J9" s="617"/>
      <c r="K9" s="574"/>
      <c r="L9" s="696" t="s">
        <v>950</v>
      </c>
      <c r="M9" s="695">
        <v>4</v>
      </c>
      <c r="N9" s="694">
        <v>768</v>
      </c>
      <c r="O9" s="574"/>
    </row>
    <row r="10" spans="1:15" s="10" customFormat="1" ht="19.5" customHeight="1">
      <c r="A10" s="72"/>
      <c r="B10" s="72"/>
      <c r="C10" s="72"/>
      <c r="D10" s="614"/>
      <c r="E10" s="614"/>
      <c r="F10" s="176"/>
      <c r="H10" s="511"/>
      <c r="I10" s="616"/>
      <c r="J10" s="617"/>
      <c r="L10" s="696" t="s">
        <v>951</v>
      </c>
      <c r="M10" s="695">
        <v>0</v>
      </c>
      <c r="N10" s="694">
        <v>0</v>
      </c>
    </row>
    <row r="11" spans="1:15" s="10" customFormat="1" ht="20.100000000000001" customHeight="1">
      <c r="A11" s="9" t="s">
        <v>733</v>
      </c>
      <c r="B11" s="9"/>
      <c r="C11" s="9"/>
      <c r="D11" s="9"/>
      <c r="E11" s="9"/>
      <c r="F11" s="176"/>
      <c r="H11" s="511"/>
      <c r="I11" s="616"/>
      <c r="J11" s="617"/>
      <c r="L11" s="696" t="s">
        <v>952</v>
      </c>
      <c r="M11" s="695">
        <v>7</v>
      </c>
      <c r="N11" s="694">
        <v>4957</v>
      </c>
    </row>
    <row r="12" spans="1:15" s="10" customFormat="1" ht="20.100000000000001" customHeight="1">
      <c r="A12" s="622" t="s">
        <v>734</v>
      </c>
      <c r="B12" s="177">
        <f>(N3+N4+N9)/10000</f>
        <v>5.6726999999999999</v>
      </c>
      <c r="C12" s="178" t="s">
        <v>735</v>
      </c>
      <c r="D12" s="622"/>
      <c r="H12" s="623"/>
      <c r="I12" s="624"/>
      <c r="J12" s="625"/>
      <c r="L12" s="693" t="s">
        <v>953</v>
      </c>
      <c r="M12" s="692">
        <v>9</v>
      </c>
      <c r="N12" s="690">
        <v>0</v>
      </c>
    </row>
    <row r="13" spans="1:15" s="10" customFormat="1" ht="20.100000000000001" customHeight="1">
      <c r="A13" s="622" t="s">
        <v>736</v>
      </c>
      <c r="B13" s="177"/>
      <c r="C13" s="178"/>
      <c r="D13" s="622"/>
      <c r="H13" s="80"/>
      <c r="I13" s="83"/>
      <c r="J13" s="83"/>
      <c r="L13" s="691" t="s">
        <v>954</v>
      </c>
      <c r="M13" s="688">
        <v>0</v>
      </c>
      <c r="N13" s="688">
        <v>0</v>
      </c>
    </row>
    <row r="14" spans="1:15" s="10" customFormat="1" ht="20.100000000000001" customHeight="1">
      <c r="A14" s="622" t="s">
        <v>737</v>
      </c>
      <c r="B14" s="626">
        <f>ROUNDDOWN((B12/50)^0.5,3)</f>
        <v>0.33600000000000002</v>
      </c>
      <c r="D14" s="622"/>
      <c r="H14" s="80"/>
      <c r="I14" s="83"/>
      <c r="J14" s="83"/>
      <c r="L14" s="691" t="s">
        <v>955</v>
      </c>
      <c r="M14" s="688">
        <v>0</v>
      </c>
      <c r="N14" s="688">
        <v>0</v>
      </c>
    </row>
    <row r="15" spans="1:15" ht="20.100000000000001" customHeight="1">
      <c r="C15" s="627"/>
      <c r="D15" s="627"/>
      <c r="E15" s="628"/>
      <c r="F15" s="629"/>
      <c r="G15" s="629"/>
      <c r="H15" s="80"/>
      <c r="I15" s="83"/>
      <c r="J15" s="83"/>
      <c r="K15" s="10"/>
      <c r="L15" s="691" t="s">
        <v>956</v>
      </c>
      <c r="M15" s="688">
        <v>2</v>
      </c>
      <c r="N15" s="688">
        <v>1560</v>
      </c>
      <c r="O15" s="10"/>
    </row>
    <row r="16" spans="1:15" s="10" customFormat="1" ht="20.100000000000001" customHeight="1">
      <c r="A16" s="9" t="s">
        <v>738</v>
      </c>
      <c r="B16" s="9"/>
      <c r="C16" s="9"/>
      <c r="D16" s="9"/>
      <c r="H16" s="80"/>
      <c r="I16" s="83"/>
      <c r="J16" s="83"/>
      <c r="L16" s="691" t="s">
        <v>957</v>
      </c>
      <c r="M16" s="688">
        <v>6</v>
      </c>
      <c r="N16" s="688">
        <v>1752</v>
      </c>
    </row>
    <row r="17" spans="1:15" s="10" customFormat="1" ht="27">
      <c r="A17" s="630" t="s">
        <v>150</v>
      </c>
      <c r="B17" s="630" t="s">
        <v>739</v>
      </c>
      <c r="C17" s="630" t="s">
        <v>740</v>
      </c>
      <c r="D17" s="631"/>
      <c r="H17" s="80"/>
      <c r="I17" s="83"/>
      <c r="J17" s="83"/>
      <c r="L17" s="691"/>
      <c r="M17" s="688">
        <f>SUM(M3:M16)</f>
        <v>157</v>
      </c>
      <c r="N17" s="688">
        <f>SUM(N3:N16)</f>
        <v>84935</v>
      </c>
    </row>
    <row r="18" spans="1:15" s="10" customFormat="1" ht="20.100000000000001" customHeight="1">
      <c r="A18" s="80" t="s">
        <v>741</v>
      </c>
      <c r="B18" s="632">
        <v>0</v>
      </c>
      <c r="C18" s="632"/>
      <c r="D18" s="618"/>
      <c r="H18" s="18" t="s">
        <v>928</v>
      </c>
      <c r="I18" s="17"/>
      <c r="J18" s="17"/>
      <c r="K18" s="17"/>
      <c r="L18" s="17"/>
    </row>
    <row r="19" spans="1:15" s="10" customFormat="1" ht="20.100000000000001" customHeight="1">
      <c r="A19" s="80" t="s">
        <v>742</v>
      </c>
      <c r="B19" s="632">
        <v>0</v>
      </c>
      <c r="C19" s="632"/>
      <c r="D19" s="618"/>
      <c r="H19" s="128" t="s">
        <v>743</v>
      </c>
      <c r="I19" s="128" t="s">
        <v>744</v>
      </c>
      <c r="J19" s="11" t="s">
        <v>745</v>
      </c>
      <c r="K19" s="17"/>
      <c r="L19" s="17"/>
    </row>
    <row r="20" spans="1:15" s="10" customFormat="1" ht="20.100000000000001" customHeight="1">
      <c r="A20" s="633" t="s">
        <v>746</v>
      </c>
      <c r="B20" s="632">
        <v>0</v>
      </c>
      <c r="C20" s="632"/>
      <c r="D20" s="634"/>
      <c r="H20" s="129" t="s">
        <v>747</v>
      </c>
      <c r="I20" s="130">
        <f>+'1-2.수량산출'!M4</f>
        <v>325327.32320500002</v>
      </c>
      <c r="J20" s="17"/>
      <c r="K20" s="17"/>
      <c r="L20" s="17"/>
    </row>
    <row r="21" spans="1:15" s="10" customFormat="1" ht="20.100000000000001" customHeight="1">
      <c r="A21" s="193" t="s">
        <v>748</v>
      </c>
      <c r="B21" s="194">
        <v>0.2</v>
      </c>
      <c r="C21" s="195" t="s">
        <v>749</v>
      </c>
      <c r="D21" s="635"/>
      <c r="H21" s="129" t="s">
        <v>750</v>
      </c>
      <c r="I21" s="130">
        <f>+'1-2.수량산출'!M5</f>
        <v>238578.78030000001</v>
      </c>
      <c r="J21" s="17"/>
      <c r="K21" s="17"/>
      <c r="L21" s="17"/>
    </row>
    <row r="22" spans="1:15" s="10" customFormat="1" ht="20.100000000000001" customHeight="1">
      <c r="A22" s="193" t="s">
        <v>751</v>
      </c>
      <c r="B22" s="194">
        <v>0.2</v>
      </c>
      <c r="C22" s="195" t="s">
        <v>749</v>
      </c>
      <c r="D22" s="635"/>
      <c r="H22" s="129" t="s">
        <v>752</v>
      </c>
      <c r="I22" s="130">
        <f>+'1-2.수량산출'!M6</f>
        <v>199505.89618100002</v>
      </c>
      <c r="J22" s="17"/>
      <c r="K22" s="17"/>
      <c r="L22" s="17"/>
    </row>
    <row r="23" spans="1:15" s="10" customFormat="1" ht="20.100000000000001" customHeight="1">
      <c r="A23" s="196" t="s">
        <v>753</v>
      </c>
      <c r="B23" s="197">
        <v>0</v>
      </c>
      <c r="C23" s="82"/>
      <c r="D23" s="636"/>
      <c r="E23" s="636"/>
      <c r="H23" s="129" t="s">
        <v>754</v>
      </c>
      <c r="I23" s="130">
        <f>+'1-2.수량산출'!M7</f>
        <v>173018.78261300002</v>
      </c>
      <c r="J23" s="17"/>
      <c r="K23" s="17"/>
      <c r="L23" s="17"/>
    </row>
    <row r="24" spans="1:15" s="10" customFormat="1" ht="20.100000000000001" customHeight="1">
      <c r="A24" s="196" t="s">
        <v>755</v>
      </c>
      <c r="B24" s="197">
        <v>0</v>
      </c>
      <c r="C24" s="82"/>
      <c r="D24" s="636"/>
      <c r="E24" s="636"/>
      <c r="H24" s="129" t="s">
        <v>756</v>
      </c>
      <c r="I24" s="130">
        <f>+'1-2.수량산출'!M8</f>
        <v>134480.52881399999</v>
      </c>
      <c r="J24" s="17"/>
      <c r="K24" s="17"/>
      <c r="L24" s="17"/>
      <c r="M24" s="574"/>
      <c r="N24" s="574"/>
      <c r="O24" s="574"/>
    </row>
    <row r="25" spans="1:15" s="10" customFormat="1" ht="20.100000000000001" customHeight="1">
      <c r="A25" s="193" t="s">
        <v>757</v>
      </c>
      <c r="B25" s="194">
        <v>1</v>
      </c>
      <c r="C25" s="141" t="s">
        <v>749</v>
      </c>
      <c r="D25" s="635"/>
      <c r="E25" s="635"/>
      <c r="H25" s="129" t="s">
        <v>758</v>
      </c>
      <c r="I25" s="130">
        <f>+'1-2.수량산출'!M9</f>
        <v>155643.29721300001</v>
      </c>
      <c r="J25" s="17"/>
      <c r="K25" s="17"/>
      <c r="L25" s="17"/>
      <c r="M25" s="574"/>
      <c r="N25" s="574"/>
      <c r="O25" s="574"/>
    </row>
    <row r="26" spans="1:15" s="10" customFormat="1" ht="20.100000000000001" customHeight="1">
      <c r="A26" s="80" t="s">
        <v>759</v>
      </c>
      <c r="B26" s="632">
        <v>0</v>
      </c>
      <c r="C26" s="82"/>
      <c r="D26" s="618"/>
      <c r="E26" s="618"/>
      <c r="H26" s="129" t="s">
        <v>760</v>
      </c>
      <c r="I26" s="130">
        <f>+'1-2.수량산출'!M10</f>
        <v>135345.48429600001</v>
      </c>
      <c r="J26" s="17"/>
      <c r="K26" s="17"/>
      <c r="L26" s="17"/>
      <c r="M26" s="574"/>
      <c r="N26" s="574"/>
      <c r="O26" s="574"/>
    </row>
    <row r="27" spans="1:15" s="10" customFormat="1" ht="20.100000000000001" customHeight="1">
      <c r="A27" s="10" t="s">
        <v>761</v>
      </c>
      <c r="F27" s="618"/>
      <c r="G27" s="618"/>
      <c r="H27" s="129" t="s">
        <v>762</v>
      </c>
      <c r="I27" s="130">
        <f>+'1-2.수량산출'!M11</f>
        <v>117469.737668</v>
      </c>
      <c r="J27" s="17"/>
      <c r="K27" s="17"/>
      <c r="L27" s="17"/>
      <c r="M27" s="574"/>
      <c r="N27" s="574"/>
      <c r="O27" s="574"/>
    </row>
    <row r="28" spans="1:15" s="10" customFormat="1" ht="20.100000000000001" customHeight="1">
      <c r="A28" s="11" t="s">
        <v>763</v>
      </c>
      <c r="F28" s="618"/>
      <c r="G28" s="618"/>
    </row>
    <row r="29" spans="1:15" s="10" customFormat="1" ht="20.100000000000001" customHeight="1">
      <c r="F29" s="618"/>
      <c r="G29" s="618"/>
    </row>
    <row r="30" spans="1:15" ht="20.100000000000001" customHeight="1"/>
    <row r="31" spans="1:15" ht="20.100000000000001" customHeight="1"/>
    <row r="32" spans="1:15" ht="20.100000000000001" customHeight="1"/>
    <row r="33" spans="6:7" ht="20.100000000000001" customHeight="1"/>
    <row r="34" spans="6:7" ht="20.100000000000001" customHeight="1"/>
    <row r="35" spans="6:7" ht="20.100000000000001" customHeight="1"/>
    <row r="36" spans="6:7" ht="20.100000000000001" customHeight="1"/>
    <row r="37" spans="6:7" ht="20.100000000000001" customHeight="1"/>
    <row r="38" spans="6:7" ht="20.100000000000001" customHeight="1"/>
    <row r="39" spans="6:7" ht="20.100000000000001" customHeight="1"/>
    <row r="40" spans="6:7" ht="20.100000000000001" customHeight="1"/>
    <row r="41" spans="6:7" ht="20.100000000000001" customHeight="1">
      <c r="F41" s="629"/>
      <c r="G41" s="629"/>
    </row>
    <row r="42" spans="6:7" ht="20.100000000000001" customHeight="1">
      <c r="F42" s="629"/>
      <c r="G42" s="629"/>
    </row>
    <row r="43" spans="6:7" ht="20.100000000000001" customHeight="1">
      <c r="F43" s="629"/>
      <c r="G43" s="629"/>
    </row>
    <row r="44" spans="6:7" ht="20.100000000000001" customHeight="1">
      <c r="F44" s="629"/>
      <c r="G44" s="629"/>
    </row>
    <row r="45" spans="6:7" ht="20.100000000000001" customHeight="1">
      <c r="F45" s="629"/>
      <c r="G45" s="629"/>
    </row>
    <row r="46" spans="6:7" ht="20.100000000000001" customHeight="1">
      <c r="F46" s="629"/>
      <c r="G46" s="629"/>
    </row>
    <row r="47" spans="6:7" ht="20.100000000000001" customHeight="1">
      <c r="F47" s="629"/>
      <c r="G47" s="629"/>
    </row>
    <row r="48" spans="6:7" ht="20.100000000000001" customHeight="1">
      <c r="F48" s="629"/>
      <c r="G48" s="629"/>
    </row>
    <row r="49" spans="6:7" ht="20.100000000000001" customHeight="1">
      <c r="F49" s="629"/>
      <c r="G49" s="629"/>
    </row>
    <row r="50" spans="6:7" ht="20.100000000000001" customHeight="1">
      <c r="F50" s="629"/>
      <c r="G50" s="629"/>
    </row>
    <row r="51" spans="6:7" ht="20.100000000000001" customHeight="1">
      <c r="F51" s="629"/>
      <c r="G51" s="629"/>
    </row>
    <row r="52" spans="6:7" ht="20.100000000000001" customHeight="1">
      <c r="F52" s="629"/>
      <c r="G52" s="629"/>
    </row>
    <row r="53" spans="6:7" ht="20.100000000000001" customHeight="1">
      <c r="F53" s="629"/>
      <c r="G53" s="629"/>
    </row>
    <row r="54" spans="6:7" ht="20.100000000000001" customHeight="1">
      <c r="F54" s="629"/>
      <c r="G54" s="629"/>
    </row>
    <row r="55" spans="6:7" ht="20.100000000000001" customHeight="1">
      <c r="F55" s="629"/>
      <c r="G55" s="629"/>
    </row>
    <row r="56" spans="6:7" ht="20.100000000000001" customHeight="1">
      <c r="F56" s="629"/>
      <c r="G56" s="629"/>
    </row>
    <row r="57" spans="6:7" ht="20.100000000000001" customHeight="1">
      <c r="F57" s="629"/>
      <c r="G57" s="629"/>
    </row>
    <row r="58" spans="6:7" ht="20.100000000000001" customHeight="1">
      <c r="F58" s="629"/>
      <c r="G58" s="629"/>
    </row>
    <row r="59" spans="6:7" ht="20.100000000000001" customHeight="1">
      <c r="F59" s="629"/>
      <c r="G59" s="629"/>
    </row>
    <row r="60" spans="6:7" ht="20.100000000000001" customHeight="1">
      <c r="F60" s="629"/>
      <c r="G60" s="629"/>
    </row>
    <row r="61" spans="6:7" ht="20.100000000000001" customHeight="1">
      <c r="F61" s="629"/>
      <c r="G61" s="629"/>
    </row>
    <row r="62" spans="6:7" ht="20.100000000000001" customHeight="1">
      <c r="F62" s="629"/>
      <c r="G62" s="629"/>
    </row>
    <row r="63" spans="6:7" ht="20.100000000000001" customHeight="1">
      <c r="F63" s="629"/>
      <c r="G63" s="629"/>
    </row>
    <row r="64" spans="6:7" ht="20.100000000000001" customHeight="1">
      <c r="F64" s="629"/>
      <c r="G64" s="629"/>
    </row>
    <row r="65" spans="6:7" ht="20.100000000000001" customHeight="1">
      <c r="F65" s="629"/>
      <c r="G65" s="629"/>
    </row>
    <row r="66" spans="6:7" ht="20.100000000000001" customHeight="1">
      <c r="F66" s="629"/>
      <c r="G66" s="629"/>
    </row>
    <row r="67" spans="6:7" ht="20.100000000000001" customHeight="1">
      <c r="F67" s="629"/>
      <c r="G67" s="629"/>
    </row>
    <row r="68" spans="6:7" ht="20.100000000000001" customHeight="1">
      <c r="F68" s="629"/>
      <c r="G68" s="629"/>
    </row>
    <row r="69" spans="6:7" ht="20.100000000000001" customHeight="1">
      <c r="F69" s="629"/>
      <c r="G69" s="629"/>
    </row>
    <row r="70" spans="6:7" ht="20.100000000000001" customHeight="1">
      <c r="F70" s="629"/>
      <c r="G70" s="629"/>
    </row>
    <row r="71" spans="6:7" ht="20.100000000000001" customHeight="1">
      <c r="F71" s="629"/>
      <c r="G71" s="629"/>
    </row>
    <row r="72" spans="6:7" ht="20.100000000000001" customHeight="1">
      <c r="F72" s="629"/>
      <c r="G72" s="629"/>
    </row>
    <row r="73" spans="6:7" ht="20.100000000000001" customHeight="1">
      <c r="F73" s="629"/>
      <c r="G73" s="629"/>
    </row>
    <row r="74" spans="6:7" ht="20.100000000000001" customHeight="1">
      <c r="F74" s="629"/>
      <c r="G74" s="629"/>
    </row>
    <row r="75" spans="6:7" ht="20.100000000000001" customHeight="1">
      <c r="F75" s="629"/>
      <c r="G75" s="629"/>
    </row>
    <row r="76" spans="6:7" ht="20.100000000000001" customHeight="1">
      <c r="F76" s="629"/>
      <c r="G76" s="629"/>
    </row>
    <row r="77" spans="6:7" ht="20.100000000000001" customHeight="1">
      <c r="F77" s="629"/>
      <c r="G77" s="629"/>
    </row>
    <row r="78" spans="6:7" ht="20.100000000000001" customHeight="1">
      <c r="F78" s="629"/>
      <c r="G78" s="629"/>
    </row>
    <row r="79" spans="6:7" ht="20.100000000000001" customHeight="1">
      <c r="F79" s="629"/>
      <c r="G79" s="629"/>
    </row>
    <row r="80" spans="6:7" ht="20.100000000000001" customHeight="1">
      <c r="F80" s="629"/>
      <c r="G80" s="629"/>
    </row>
    <row r="81" spans="6:7" ht="20.100000000000001" customHeight="1">
      <c r="F81" s="629"/>
      <c r="G81" s="629"/>
    </row>
    <row r="82" spans="6:7" ht="20.100000000000001" customHeight="1">
      <c r="F82" s="629"/>
      <c r="G82" s="629"/>
    </row>
    <row r="83" spans="6:7" ht="20.100000000000001" customHeight="1">
      <c r="F83" s="629"/>
      <c r="G83" s="629"/>
    </row>
    <row r="84" spans="6:7" ht="20.100000000000001" customHeight="1">
      <c r="F84" s="629"/>
      <c r="G84" s="629"/>
    </row>
    <row r="85" spans="6:7" ht="20.100000000000001" customHeight="1">
      <c r="F85" s="629"/>
      <c r="G85" s="629"/>
    </row>
    <row r="86" spans="6:7" ht="20.100000000000001" customHeight="1">
      <c r="F86" s="629"/>
      <c r="G86" s="629"/>
    </row>
    <row r="87" spans="6:7" ht="20.100000000000001" customHeight="1">
      <c r="F87" s="629"/>
      <c r="G87" s="629"/>
    </row>
    <row r="88" spans="6:7" ht="20.100000000000001" customHeight="1">
      <c r="F88" s="629"/>
      <c r="G88" s="629"/>
    </row>
    <row r="89" spans="6:7" ht="20.100000000000001" customHeight="1">
      <c r="F89" s="629"/>
      <c r="G89" s="629"/>
    </row>
    <row r="90" spans="6:7" ht="20.100000000000001" customHeight="1">
      <c r="F90" s="629"/>
      <c r="G90" s="629"/>
    </row>
    <row r="91" spans="6:7" ht="20.100000000000001" customHeight="1">
      <c r="F91" s="629"/>
      <c r="G91" s="629"/>
    </row>
    <row r="92" spans="6:7" ht="20.100000000000001" customHeight="1">
      <c r="F92" s="629"/>
      <c r="G92" s="629"/>
    </row>
    <row r="93" spans="6:7" ht="20.100000000000001" customHeight="1">
      <c r="F93" s="629"/>
      <c r="G93" s="629"/>
    </row>
    <row r="94" spans="6:7" ht="20.100000000000001" customHeight="1">
      <c r="F94" s="629"/>
      <c r="G94" s="629"/>
    </row>
    <row r="95" spans="6:7" ht="20.100000000000001" customHeight="1">
      <c r="F95" s="629"/>
      <c r="G95" s="629"/>
    </row>
    <row r="96" spans="6:7" ht="20.100000000000001" customHeight="1">
      <c r="F96" s="629"/>
      <c r="G96" s="629"/>
    </row>
    <row r="97" spans="6:7" ht="20.100000000000001" customHeight="1">
      <c r="F97" s="629"/>
      <c r="G97" s="629"/>
    </row>
    <row r="98" spans="6:7" ht="20.100000000000001" customHeight="1">
      <c r="F98" s="629"/>
      <c r="G98" s="629"/>
    </row>
    <row r="99" spans="6:7" ht="20.100000000000001" customHeight="1">
      <c r="F99" s="629"/>
      <c r="G99" s="629"/>
    </row>
    <row r="100" spans="6:7" ht="20.100000000000001" customHeight="1">
      <c r="F100" s="629"/>
      <c r="G100" s="629"/>
    </row>
    <row r="101" spans="6:7" ht="20.100000000000001" customHeight="1">
      <c r="F101" s="629"/>
      <c r="G101" s="629"/>
    </row>
    <row r="102" spans="6:7" ht="20.100000000000001" customHeight="1">
      <c r="F102" s="629"/>
      <c r="G102" s="629"/>
    </row>
    <row r="103" spans="6:7" ht="20.100000000000001" customHeight="1">
      <c r="F103" s="629"/>
      <c r="G103" s="629"/>
    </row>
    <row r="104" spans="6:7" ht="20.100000000000001" customHeight="1">
      <c r="F104" s="629"/>
      <c r="G104" s="629"/>
    </row>
    <row r="105" spans="6:7" ht="20.100000000000001" customHeight="1">
      <c r="F105" s="629"/>
      <c r="G105" s="629"/>
    </row>
    <row r="106" spans="6:7" ht="20.100000000000001" customHeight="1">
      <c r="F106" s="629"/>
      <c r="G106" s="629"/>
    </row>
    <row r="107" spans="6:7" ht="20.100000000000001" customHeight="1">
      <c r="F107" s="629"/>
      <c r="G107" s="629"/>
    </row>
    <row r="108" spans="6:7" ht="20.100000000000001" customHeight="1">
      <c r="F108" s="629"/>
      <c r="G108" s="629"/>
    </row>
    <row r="109" spans="6:7" ht="20.100000000000001" customHeight="1">
      <c r="F109" s="629"/>
      <c r="G109" s="629"/>
    </row>
    <row r="110" spans="6:7" ht="20.100000000000001" customHeight="1">
      <c r="F110" s="629"/>
      <c r="G110" s="629"/>
    </row>
    <row r="111" spans="6:7" ht="20.100000000000001" customHeight="1">
      <c r="F111" s="629"/>
      <c r="G111" s="629"/>
    </row>
    <row r="112" spans="6:7" ht="20.100000000000001" customHeight="1">
      <c r="F112" s="629"/>
      <c r="G112" s="629"/>
    </row>
    <row r="113" spans="6:7" ht="20.100000000000001" customHeight="1">
      <c r="F113" s="629"/>
      <c r="G113" s="629"/>
    </row>
    <row r="114" spans="6:7" ht="20.100000000000001" customHeight="1">
      <c r="F114" s="629"/>
      <c r="G114" s="629"/>
    </row>
    <row r="115" spans="6:7" ht="20.100000000000001" customHeight="1">
      <c r="F115" s="629"/>
      <c r="G115" s="629"/>
    </row>
    <row r="116" spans="6:7" ht="20.100000000000001" customHeight="1">
      <c r="F116" s="629"/>
      <c r="G116" s="629"/>
    </row>
    <row r="117" spans="6:7" ht="20.100000000000001" customHeight="1">
      <c r="F117" s="629"/>
      <c r="G117" s="629"/>
    </row>
    <row r="118" spans="6:7" ht="20.100000000000001" customHeight="1">
      <c r="F118" s="629"/>
      <c r="G118" s="629"/>
    </row>
    <row r="119" spans="6:7" ht="20.100000000000001" customHeight="1">
      <c r="F119" s="629"/>
      <c r="G119" s="629"/>
    </row>
    <row r="120" spans="6:7" ht="20.100000000000001" customHeight="1">
      <c r="F120" s="629"/>
      <c r="G120" s="629"/>
    </row>
    <row r="121" spans="6:7" ht="20.100000000000001" customHeight="1">
      <c r="F121" s="629"/>
      <c r="G121" s="629"/>
    </row>
    <row r="122" spans="6:7" ht="20.100000000000001" customHeight="1">
      <c r="F122" s="629"/>
      <c r="G122" s="629"/>
    </row>
    <row r="123" spans="6:7" ht="20.100000000000001" customHeight="1">
      <c r="F123" s="629"/>
      <c r="G123" s="629"/>
    </row>
    <row r="124" spans="6:7" ht="20.100000000000001" customHeight="1">
      <c r="F124" s="629"/>
      <c r="G124" s="629"/>
    </row>
    <row r="125" spans="6:7" ht="20.100000000000001" customHeight="1">
      <c r="F125" s="629"/>
      <c r="G125" s="629"/>
    </row>
    <row r="126" spans="6:7" ht="20.100000000000001" customHeight="1">
      <c r="F126" s="629"/>
      <c r="G126" s="629"/>
    </row>
    <row r="127" spans="6:7" ht="20.100000000000001" customHeight="1">
      <c r="F127" s="629"/>
      <c r="G127" s="629"/>
    </row>
    <row r="128" spans="6:7" ht="20.100000000000001" customHeight="1">
      <c r="F128" s="629"/>
      <c r="G128" s="629"/>
    </row>
    <row r="129" spans="6:7" ht="20.100000000000001" customHeight="1">
      <c r="F129" s="629"/>
      <c r="G129" s="629"/>
    </row>
    <row r="130" spans="6:7" ht="20.100000000000001" customHeight="1">
      <c r="F130" s="629"/>
      <c r="G130" s="629"/>
    </row>
    <row r="131" spans="6:7" ht="20.100000000000001" customHeight="1">
      <c r="F131" s="629"/>
      <c r="G131" s="629"/>
    </row>
    <row r="132" spans="6:7" ht="20.100000000000001" customHeight="1">
      <c r="F132" s="629"/>
      <c r="G132" s="629"/>
    </row>
    <row r="133" spans="6:7" ht="20.100000000000001" customHeight="1">
      <c r="F133" s="629"/>
      <c r="G133" s="629"/>
    </row>
    <row r="134" spans="6:7" ht="20.100000000000001" customHeight="1">
      <c r="F134" s="629"/>
      <c r="G134" s="629"/>
    </row>
    <row r="135" spans="6:7" ht="20.100000000000001" customHeight="1">
      <c r="F135" s="629"/>
      <c r="G135" s="629"/>
    </row>
    <row r="136" spans="6:7" ht="20.100000000000001" customHeight="1">
      <c r="F136" s="629"/>
      <c r="G136" s="629"/>
    </row>
    <row r="137" spans="6:7" ht="20.100000000000001" customHeight="1">
      <c r="F137" s="629"/>
      <c r="G137" s="629"/>
    </row>
    <row r="138" spans="6:7" ht="20.100000000000001" customHeight="1">
      <c r="F138" s="629"/>
      <c r="G138" s="629"/>
    </row>
    <row r="139" spans="6:7" ht="20.100000000000001" customHeight="1">
      <c r="F139" s="629"/>
      <c r="G139" s="629"/>
    </row>
    <row r="140" spans="6:7" ht="20.100000000000001" customHeight="1">
      <c r="F140" s="629"/>
      <c r="G140" s="629"/>
    </row>
    <row r="141" spans="6:7" ht="20.100000000000001" customHeight="1">
      <c r="F141" s="629"/>
      <c r="G141" s="629"/>
    </row>
    <row r="142" spans="6:7" ht="20.100000000000001" customHeight="1">
      <c r="F142" s="629"/>
      <c r="G142" s="629"/>
    </row>
    <row r="143" spans="6:7" ht="20.100000000000001" customHeight="1">
      <c r="F143" s="629"/>
      <c r="G143" s="629"/>
    </row>
    <row r="144" spans="6:7" ht="20.100000000000001" customHeight="1">
      <c r="F144" s="629"/>
      <c r="G144" s="629"/>
    </row>
    <row r="145" spans="6:7" ht="20.100000000000001" customHeight="1">
      <c r="F145" s="629"/>
      <c r="G145" s="629"/>
    </row>
    <row r="146" spans="6:7" ht="20.100000000000001" customHeight="1">
      <c r="F146" s="629"/>
      <c r="G146" s="629"/>
    </row>
    <row r="147" spans="6:7" ht="20.100000000000001" customHeight="1">
      <c r="F147" s="629"/>
      <c r="G147" s="629"/>
    </row>
    <row r="148" spans="6:7" ht="20.100000000000001" customHeight="1">
      <c r="F148" s="629"/>
      <c r="G148" s="629"/>
    </row>
    <row r="149" spans="6:7" ht="20.100000000000001" customHeight="1">
      <c r="F149" s="629"/>
      <c r="G149" s="629"/>
    </row>
    <row r="150" spans="6:7" ht="20.100000000000001" customHeight="1">
      <c r="F150" s="629"/>
      <c r="G150" s="629"/>
    </row>
    <row r="151" spans="6:7" ht="20.100000000000001" customHeight="1">
      <c r="F151" s="629"/>
      <c r="G151" s="629"/>
    </row>
    <row r="152" spans="6:7" ht="20.100000000000001" customHeight="1">
      <c r="F152" s="629"/>
      <c r="G152" s="629"/>
    </row>
    <row r="153" spans="6:7" ht="20.100000000000001" customHeight="1">
      <c r="F153" s="629"/>
      <c r="G153" s="629"/>
    </row>
    <row r="154" spans="6:7" ht="20.100000000000001" customHeight="1">
      <c r="F154" s="629"/>
      <c r="G154" s="629"/>
    </row>
    <row r="155" spans="6:7" ht="20.100000000000001" customHeight="1">
      <c r="F155" s="629"/>
      <c r="G155" s="629"/>
    </row>
    <row r="156" spans="6:7" ht="20.100000000000001" customHeight="1">
      <c r="F156" s="629"/>
      <c r="G156" s="629"/>
    </row>
    <row r="157" spans="6:7" ht="20.100000000000001" customHeight="1">
      <c r="F157" s="629"/>
      <c r="G157" s="629"/>
    </row>
    <row r="158" spans="6:7" ht="20.100000000000001" customHeight="1">
      <c r="F158" s="629"/>
      <c r="G158" s="629"/>
    </row>
    <row r="159" spans="6:7" ht="20.100000000000001" customHeight="1">
      <c r="F159" s="629"/>
      <c r="G159" s="629"/>
    </row>
    <row r="160" spans="6:7" ht="20.100000000000001" customHeight="1">
      <c r="F160" s="629"/>
      <c r="G160" s="629"/>
    </row>
    <row r="161" spans="6:7" ht="20.100000000000001" customHeight="1">
      <c r="F161" s="629"/>
      <c r="G161" s="629"/>
    </row>
    <row r="162" spans="6:7" ht="20.100000000000001" customHeight="1">
      <c r="F162" s="629"/>
      <c r="G162" s="629"/>
    </row>
    <row r="163" spans="6:7" ht="20.100000000000001" customHeight="1">
      <c r="F163" s="629"/>
      <c r="G163" s="629"/>
    </row>
    <row r="164" spans="6:7" ht="20.100000000000001" customHeight="1">
      <c r="F164" s="629"/>
      <c r="G164" s="629"/>
    </row>
    <row r="165" spans="6:7" ht="20.100000000000001" customHeight="1">
      <c r="F165" s="629"/>
      <c r="G165" s="629"/>
    </row>
    <row r="166" spans="6:7" ht="20.100000000000001" customHeight="1">
      <c r="F166" s="629"/>
      <c r="G166" s="629"/>
    </row>
    <row r="167" spans="6:7" ht="20.100000000000001" customHeight="1">
      <c r="F167" s="629"/>
      <c r="G167" s="629"/>
    </row>
    <row r="168" spans="6:7" ht="20.100000000000001" customHeight="1">
      <c r="F168" s="629"/>
      <c r="G168" s="629"/>
    </row>
    <row r="169" spans="6:7" ht="20.100000000000001" customHeight="1">
      <c r="F169" s="629"/>
      <c r="G169" s="629"/>
    </row>
    <row r="170" spans="6:7" ht="20.100000000000001" customHeight="1">
      <c r="F170" s="629"/>
      <c r="G170" s="629"/>
    </row>
    <row r="171" spans="6:7" ht="20.100000000000001" customHeight="1">
      <c r="F171" s="629"/>
      <c r="G171" s="629"/>
    </row>
    <row r="172" spans="6:7" ht="20.100000000000001" customHeight="1">
      <c r="F172" s="629"/>
      <c r="G172" s="629"/>
    </row>
    <row r="173" spans="6:7" ht="20.100000000000001" customHeight="1">
      <c r="F173" s="629"/>
      <c r="G173" s="629"/>
    </row>
    <row r="174" spans="6:7" ht="20.100000000000001" customHeight="1">
      <c r="F174" s="629"/>
      <c r="G174" s="629"/>
    </row>
    <row r="175" spans="6:7" ht="20.100000000000001" customHeight="1">
      <c r="F175" s="629"/>
      <c r="G175" s="629"/>
    </row>
    <row r="176" spans="6:7" ht="20.100000000000001" customHeight="1">
      <c r="F176" s="629"/>
      <c r="G176" s="629"/>
    </row>
    <row r="177" spans="6:7" ht="20.100000000000001" customHeight="1">
      <c r="F177" s="629"/>
      <c r="G177" s="629"/>
    </row>
    <row r="178" spans="6:7" ht="20.100000000000001" customHeight="1">
      <c r="F178" s="629"/>
      <c r="G178" s="629"/>
    </row>
    <row r="179" spans="6:7" ht="20.100000000000001" customHeight="1">
      <c r="F179" s="629"/>
      <c r="G179" s="629"/>
    </row>
    <row r="180" spans="6:7" ht="20.100000000000001" customHeight="1">
      <c r="F180" s="629"/>
      <c r="G180" s="629"/>
    </row>
    <row r="181" spans="6:7" ht="20.100000000000001" customHeight="1">
      <c r="F181" s="629"/>
      <c r="G181" s="629"/>
    </row>
    <row r="182" spans="6:7" ht="20.100000000000001" customHeight="1">
      <c r="F182" s="629"/>
      <c r="G182" s="629"/>
    </row>
    <row r="183" spans="6:7" ht="20.100000000000001" customHeight="1">
      <c r="F183" s="629"/>
      <c r="G183" s="629"/>
    </row>
    <row r="184" spans="6:7" ht="20.100000000000001" customHeight="1">
      <c r="F184" s="629"/>
      <c r="G184" s="629"/>
    </row>
    <row r="185" spans="6:7" ht="20.100000000000001" customHeight="1">
      <c r="F185" s="629"/>
      <c r="G185" s="629"/>
    </row>
    <row r="186" spans="6:7" ht="20.100000000000001" customHeight="1">
      <c r="F186" s="629"/>
      <c r="G186" s="629"/>
    </row>
    <row r="187" spans="6:7" ht="20.100000000000001" customHeight="1">
      <c r="F187" s="629"/>
      <c r="G187" s="629"/>
    </row>
    <row r="188" spans="6:7" ht="20.100000000000001" customHeight="1">
      <c r="F188" s="629"/>
      <c r="G188" s="629"/>
    </row>
    <row r="189" spans="6:7" ht="20.100000000000001" customHeight="1">
      <c r="F189" s="629"/>
      <c r="G189" s="629"/>
    </row>
    <row r="190" spans="6:7" ht="20.100000000000001" customHeight="1">
      <c r="F190" s="629"/>
      <c r="G190" s="629"/>
    </row>
    <row r="191" spans="6:7" ht="20.100000000000001" customHeight="1">
      <c r="F191" s="629"/>
      <c r="G191" s="629"/>
    </row>
    <row r="192" spans="6:7" ht="20.100000000000001" customHeight="1">
      <c r="F192" s="629"/>
      <c r="G192" s="629"/>
    </row>
    <row r="193" spans="6:7" ht="20.100000000000001" customHeight="1">
      <c r="F193" s="629"/>
      <c r="G193" s="629"/>
    </row>
    <row r="194" spans="6:7" ht="20.100000000000001" customHeight="1">
      <c r="F194" s="629"/>
      <c r="G194" s="629"/>
    </row>
    <row r="195" spans="6:7" ht="20.100000000000001" customHeight="1">
      <c r="F195" s="629"/>
      <c r="G195" s="629"/>
    </row>
    <row r="196" spans="6:7" ht="20.100000000000001" customHeight="1">
      <c r="F196" s="629"/>
      <c r="G196" s="629"/>
    </row>
    <row r="197" spans="6:7" ht="20.100000000000001" customHeight="1">
      <c r="F197" s="629"/>
      <c r="G197" s="629"/>
    </row>
    <row r="198" spans="6:7" ht="20.100000000000001" customHeight="1">
      <c r="F198" s="629"/>
      <c r="G198" s="629"/>
    </row>
    <row r="199" spans="6:7" ht="20.100000000000001" customHeight="1">
      <c r="F199" s="629"/>
      <c r="G199" s="629"/>
    </row>
    <row r="200" spans="6:7" ht="20.100000000000001" customHeight="1">
      <c r="F200" s="629"/>
      <c r="G200" s="629"/>
    </row>
    <row r="201" spans="6:7" ht="20.100000000000001" customHeight="1">
      <c r="F201" s="629"/>
      <c r="G201" s="629"/>
    </row>
    <row r="202" spans="6:7" ht="20.100000000000001" customHeight="1">
      <c r="F202" s="629"/>
      <c r="G202" s="629"/>
    </row>
    <row r="203" spans="6:7" ht="20.100000000000001" customHeight="1">
      <c r="F203" s="629"/>
      <c r="G203" s="629"/>
    </row>
    <row r="204" spans="6:7" ht="20.100000000000001" customHeight="1">
      <c r="F204" s="629"/>
      <c r="G204" s="629"/>
    </row>
    <row r="205" spans="6:7" ht="20.100000000000001" customHeight="1">
      <c r="F205" s="629"/>
      <c r="G205" s="629"/>
    </row>
    <row r="206" spans="6:7" ht="20.100000000000001" customHeight="1">
      <c r="F206" s="629"/>
      <c r="G206" s="629"/>
    </row>
    <row r="207" spans="6:7" ht="20.100000000000001" customHeight="1">
      <c r="F207" s="629"/>
      <c r="G207" s="629"/>
    </row>
    <row r="208" spans="6:7" ht="20.100000000000001" customHeight="1">
      <c r="F208" s="629"/>
      <c r="G208" s="629"/>
    </row>
    <row r="209" spans="6:7" ht="20.100000000000001" customHeight="1">
      <c r="F209" s="629"/>
      <c r="G209" s="629"/>
    </row>
    <row r="210" spans="6:7" ht="20.100000000000001" customHeight="1">
      <c r="F210" s="629"/>
      <c r="G210" s="629"/>
    </row>
    <row r="211" spans="6:7" ht="20.100000000000001" customHeight="1">
      <c r="F211" s="629"/>
      <c r="G211" s="629"/>
    </row>
    <row r="212" spans="6:7" ht="20.100000000000001" customHeight="1">
      <c r="F212" s="629"/>
      <c r="G212" s="629"/>
    </row>
    <row r="213" spans="6:7" ht="20.100000000000001" customHeight="1">
      <c r="F213" s="629"/>
      <c r="G213" s="629"/>
    </row>
    <row r="214" spans="6:7" ht="20.100000000000001" customHeight="1">
      <c r="F214" s="629"/>
      <c r="G214" s="629"/>
    </row>
    <row r="215" spans="6:7" ht="20.100000000000001" customHeight="1">
      <c r="F215" s="629"/>
      <c r="G215" s="629"/>
    </row>
    <row r="216" spans="6:7" ht="20.100000000000001" customHeight="1">
      <c r="F216" s="629"/>
      <c r="G216" s="629"/>
    </row>
    <row r="217" spans="6:7" ht="20.100000000000001" customHeight="1">
      <c r="F217" s="629"/>
      <c r="G217" s="629"/>
    </row>
    <row r="218" spans="6:7" ht="20.100000000000001" customHeight="1">
      <c r="F218" s="629"/>
      <c r="G218" s="629"/>
    </row>
    <row r="219" spans="6:7" ht="20.100000000000001" customHeight="1">
      <c r="F219" s="629"/>
      <c r="G219" s="629"/>
    </row>
    <row r="220" spans="6:7" ht="20.100000000000001" customHeight="1">
      <c r="F220" s="629"/>
      <c r="G220" s="629"/>
    </row>
    <row r="221" spans="6:7" ht="20.100000000000001" customHeight="1">
      <c r="F221" s="629"/>
      <c r="G221" s="629"/>
    </row>
    <row r="222" spans="6:7" ht="20.100000000000001" customHeight="1">
      <c r="F222" s="629"/>
      <c r="G222" s="629"/>
    </row>
    <row r="223" spans="6:7" ht="20.100000000000001" customHeight="1">
      <c r="F223" s="629"/>
      <c r="G223" s="629"/>
    </row>
    <row r="224" spans="6:7" ht="20.100000000000001" customHeight="1">
      <c r="F224" s="629"/>
      <c r="G224" s="629"/>
    </row>
    <row r="225" spans="6:7" ht="20.100000000000001" customHeight="1">
      <c r="F225" s="629"/>
      <c r="G225" s="629"/>
    </row>
    <row r="226" spans="6:7" ht="20.100000000000001" customHeight="1">
      <c r="F226" s="629"/>
      <c r="G226" s="629"/>
    </row>
    <row r="227" spans="6:7" ht="20.100000000000001" customHeight="1">
      <c r="F227" s="629"/>
      <c r="G227" s="629"/>
    </row>
    <row r="228" spans="6:7" ht="20.100000000000001" customHeight="1">
      <c r="F228" s="629"/>
      <c r="G228" s="629"/>
    </row>
    <row r="229" spans="6:7" ht="20.100000000000001" customHeight="1">
      <c r="F229" s="629"/>
      <c r="G229" s="629"/>
    </row>
    <row r="230" spans="6:7" ht="20.100000000000001" customHeight="1">
      <c r="F230" s="629"/>
      <c r="G230" s="629"/>
    </row>
    <row r="231" spans="6:7" ht="20.100000000000001" customHeight="1">
      <c r="F231" s="629"/>
      <c r="G231" s="629"/>
    </row>
    <row r="232" spans="6:7" ht="20.100000000000001" customHeight="1">
      <c r="F232" s="629"/>
      <c r="G232" s="629"/>
    </row>
    <row r="233" spans="6:7" ht="20.100000000000001" customHeight="1">
      <c r="F233" s="629"/>
      <c r="G233" s="629"/>
    </row>
    <row r="234" spans="6:7" ht="20.100000000000001" customHeight="1">
      <c r="F234" s="629"/>
      <c r="G234" s="629"/>
    </row>
    <row r="235" spans="6:7" ht="20.100000000000001" customHeight="1">
      <c r="F235" s="629"/>
      <c r="G235" s="629"/>
    </row>
    <row r="236" spans="6:7" ht="20.100000000000001" customHeight="1">
      <c r="F236" s="629"/>
      <c r="G236" s="629"/>
    </row>
    <row r="237" spans="6:7" ht="20.100000000000001" customHeight="1">
      <c r="F237" s="629"/>
      <c r="G237" s="629"/>
    </row>
    <row r="238" spans="6:7" ht="20.100000000000001" customHeight="1">
      <c r="F238" s="629"/>
      <c r="G238" s="629"/>
    </row>
    <row r="239" spans="6:7" ht="20.100000000000001" customHeight="1">
      <c r="F239" s="629"/>
      <c r="G239" s="629"/>
    </row>
    <row r="240" spans="6:7" ht="20.100000000000001" customHeight="1">
      <c r="F240" s="629"/>
      <c r="G240" s="629"/>
    </row>
    <row r="241" spans="6:7" ht="20.100000000000001" customHeight="1">
      <c r="F241" s="629"/>
      <c r="G241" s="629"/>
    </row>
    <row r="242" spans="6:7" ht="20.100000000000001" customHeight="1">
      <c r="F242" s="629"/>
      <c r="G242" s="629"/>
    </row>
    <row r="243" spans="6:7" ht="20.100000000000001" customHeight="1">
      <c r="F243" s="629"/>
      <c r="G243" s="629"/>
    </row>
    <row r="244" spans="6:7" ht="20.100000000000001" customHeight="1">
      <c r="F244" s="629"/>
      <c r="G244" s="629"/>
    </row>
    <row r="245" spans="6:7" ht="20.100000000000001" customHeight="1">
      <c r="F245" s="629"/>
      <c r="G245" s="629"/>
    </row>
    <row r="246" spans="6:7" ht="20.100000000000001" customHeight="1">
      <c r="F246" s="629"/>
      <c r="G246" s="629"/>
    </row>
    <row r="247" spans="6:7" ht="20.100000000000001" customHeight="1">
      <c r="F247" s="629"/>
      <c r="G247" s="629"/>
    </row>
    <row r="248" spans="6:7" ht="20.100000000000001" customHeight="1">
      <c r="F248" s="629"/>
      <c r="G248" s="629"/>
    </row>
    <row r="249" spans="6:7" ht="20.100000000000001" customHeight="1">
      <c r="F249" s="629"/>
      <c r="G249" s="629"/>
    </row>
    <row r="250" spans="6:7" ht="20.100000000000001" customHeight="1">
      <c r="F250" s="629"/>
      <c r="G250" s="629"/>
    </row>
    <row r="251" spans="6:7" ht="20.100000000000001" customHeight="1">
      <c r="F251" s="629"/>
      <c r="G251" s="629"/>
    </row>
    <row r="252" spans="6:7" ht="20.100000000000001" customHeight="1">
      <c r="F252" s="629"/>
      <c r="G252" s="629"/>
    </row>
    <row r="253" spans="6:7" ht="20.100000000000001" customHeight="1">
      <c r="F253" s="629"/>
      <c r="G253" s="629"/>
    </row>
    <row r="254" spans="6:7" ht="20.100000000000001" customHeight="1">
      <c r="F254" s="629"/>
      <c r="G254" s="629"/>
    </row>
    <row r="255" spans="6:7" ht="20.100000000000001" customHeight="1">
      <c r="F255" s="629"/>
      <c r="G255" s="629"/>
    </row>
    <row r="256" spans="6:7" ht="20.100000000000001" customHeight="1">
      <c r="F256" s="629"/>
      <c r="G256" s="629"/>
    </row>
    <row r="257" spans="6:7" ht="20.100000000000001" customHeight="1">
      <c r="F257" s="629"/>
      <c r="G257" s="629"/>
    </row>
    <row r="258" spans="6:7" ht="20.100000000000001" customHeight="1">
      <c r="F258" s="629"/>
      <c r="G258" s="629"/>
    </row>
    <row r="259" spans="6:7" ht="20.100000000000001" customHeight="1">
      <c r="F259" s="629"/>
      <c r="G259" s="629"/>
    </row>
    <row r="260" spans="6:7" ht="20.100000000000001" customHeight="1">
      <c r="F260" s="629"/>
      <c r="G260" s="629"/>
    </row>
    <row r="261" spans="6:7" ht="20.100000000000001" customHeight="1">
      <c r="F261" s="629"/>
      <c r="G261" s="629"/>
    </row>
    <row r="262" spans="6:7" ht="20.100000000000001" customHeight="1">
      <c r="F262" s="629"/>
      <c r="G262" s="629"/>
    </row>
    <row r="263" spans="6:7" ht="20.100000000000001" customHeight="1">
      <c r="F263" s="629"/>
      <c r="G263" s="629"/>
    </row>
    <row r="264" spans="6:7" ht="20.100000000000001" customHeight="1">
      <c r="F264" s="629"/>
      <c r="G264" s="629"/>
    </row>
    <row r="265" spans="6:7" ht="20.100000000000001" customHeight="1">
      <c r="F265" s="629"/>
      <c r="G265" s="629"/>
    </row>
    <row r="266" spans="6:7" ht="20.100000000000001" customHeight="1">
      <c r="F266" s="629"/>
      <c r="G266" s="629"/>
    </row>
    <row r="267" spans="6:7" ht="20.100000000000001" customHeight="1">
      <c r="F267" s="629"/>
      <c r="G267" s="629"/>
    </row>
    <row r="268" spans="6:7" ht="20.100000000000001" customHeight="1">
      <c r="F268" s="629"/>
      <c r="G268" s="629"/>
    </row>
    <row r="269" spans="6:7" ht="20.100000000000001" customHeight="1">
      <c r="F269" s="629"/>
      <c r="G269" s="629"/>
    </row>
    <row r="270" spans="6:7" ht="20.100000000000001" customHeight="1">
      <c r="F270" s="629"/>
      <c r="G270" s="629"/>
    </row>
    <row r="271" spans="6:7" ht="20.100000000000001" customHeight="1">
      <c r="F271" s="629"/>
      <c r="G271" s="629"/>
    </row>
    <row r="272" spans="6:7" ht="20.100000000000001" customHeight="1">
      <c r="F272" s="629"/>
      <c r="G272" s="629"/>
    </row>
    <row r="273" spans="6:7" ht="20.100000000000001" customHeight="1">
      <c r="F273" s="629"/>
      <c r="G273" s="629"/>
    </row>
    <row r="274" spans="6:7" ht="20.100000000000001" customHeight="1">
      <c r="F274" s="629"/>
      <c r="G274" s="629"/>
    </row>
    <row r="275" spans="6:7" ht="20.100000000000001" customHeight="1">
      <c r="F275" s="629"/>
      <c r="G275" s="629"/>
    </row>
    <row r="276" spans="6:7" ht="20.100000000000001" customHeight="1">
      <c r="F276" s="629"/>
      <c r="G276" s="629"/>
    </row>
    <row r="277" spans="6:7" ht="20.100000000000001" customHeight="1">
      <c r="F277" s="629"/>
      <c r="G277" s="629"/>
    </row>
    <row r="278" spans="6:7" ht="20.100000000000001" customHeight="1">
      <c r="F278" s="629"/>
      <c r="G278" s="629"/>
    </row>
    <row r="279" spans="6:7" ht="20.100000000000001" customHeight="1">
      <c r="F279" s="629"/>
      <c r="G279" s="629"/>
    </row>
    <row r="280" spans="6:7" ht="20.100000000000001" customHeight="1">
      <c r="F280" s="629"/>
      <c r="G280" s="629"/>
    </row>
    <row r="281" spans="6:7" ht="20.100000000000001" customHeight="1">
      <c r="F281" s="629"/>
      <c r="G281" s="629"/>
    </row>
    <row r="282" spans="6:7" ht="20.100000000000001" customHeight="1">
      <c r="F282" s="629"/>
      <c r="G282" s="629"/>
    </row>
    <row r="283" spans="6:7" ht="20.100000000000001" customHeight="1">
      <c r="F283" s="629"/>
      <c r="G283" s="629"/>
    </row>
    <row r="284" spans="6:7" ht="20.100000000000001" customHeight="1">
      <c r="F284" s="629"/>
      <c r="G284" s="629"/>
    </row>
    <row r="285" spans="6:7" ht="20.100000000000001" customHeight="1">
      <c r="F285" s="629"/>
      <c r="G285" s="629"/>
    </row>
    <row r="286" spans="6:7" ht="20.100000000000001" customHeight="1">
      <c r="F286" s="629"/>
      <c r="G286" s="629"/>
    </row>
    <row r="287" spans="6:7" ht="20.100000000000001" customHeight="1">
      <c r="F287" s="629"/>
      <c r="G287" s="629"/>
    </row>
    <row r="288" spans="6:7" ht="20.100000000000001" customHeight="1">
      <c r="F288" s="629"/>
      <c r="G288" s="629"/>
    </row>
    <row r="289" spans="6:7" ht="20.100000000000001" customHeight="1">
      <c r="F289" s="629"/>
      <c r="G289" s="629"/>
    </row>
    <row r="290" spans="6:7" ht="20.100000000000001" customHeight="1">
      <c r="F290" s="629"/>
      <c r="G290" s="629"/>
    </row>
    <row r="291" spans="6:7" ht="20.100000000000001" customHeight="1">
      <c r="F291" s="629"/>
      <c r="G291" s="629"/>
    </row>
    <row r="292" spans="6:7" ht="20.100000000000001" customHeight="1">
      <c r="F292" s="629"/>
      <c r="G292" s="629"/>
    </row>
    <row r="293" spans="6:7" ht="20.100000000000001" customHeight="1">
      <c r="F293" s="629"/>
      <c r="G293" s="629"/>
    </row>
    <row r="294" spans="6:7" ht="20.100000000000001" customHeight="1">
      <c r="F294" s="629"/>
      <c r="G294" s="629"/>
    </row>
    <row r="295" spans="6:7" ht="20.100000000000001" customHeight="1">
      <c r="F295" s="629"/>
      <c r="G295" s="629"/>
    </row>
    <row r="296" spans="6:7" ht="20.100000000000001" customHeight="1">
      <c r="F296" s="629"/>
      <c r="G296" s="629"/>
    </row>
    <row r="297" spans="6:7" ht="20.100000000000001" customHeight="1">
      <c r="F297" s="629"/>
      <c r="G297" s="629"/>
    </row>
    <row r="298" spans="6:7" ht="20.100000000000001" customHeight="1">
      <c r="F298" s="629"/>
      <c r="G298" s="629"/>
    </row>
    <row r="299" spans="6:7" ht="20.100000000000001" customHeight="1">
      <c r="F299" s="629"/>
      <c r="G299" s="629"/>
    </row>
    <row r="300" spans="6:7" ht="20.100000000000001" customHeight="1">
      <c r="F300" s="629"/>
      <c r="G300" s="629"/>
    </row>
    <row r="301" spans="6:7" ht="20.100000000000001" customHeight="1">
      <c r="F301" s="629"/>
      <c r="G301" s="629"/>
    </row>
    <row r="302" spans="6:7" ht="20.100000000000001" customHeight="1">
      <c r="F302" s="629"/>
      <c r="G302" s="629"/>
    </row>
    <row r="303" spans="6:7" ht="20.100000000000001" customHeight="1">
      <c r="F303" s="629"/>
      <c r="G303" s="629"/>
    </row>
    <row r="304" spans="6:7" ht="20.100000000000001" customHeight="1">
      <c r="F304" s="629"/>
      <c r="G304" s="629"/>
    </row>
    <row r="305" spans="6:7" ht="20.100000000000001" customHeight="1">
      <c r="F305" s="629"/>
      <c r="G305" s="629"/>
    </row>
    <row r="306" spans="6:7" ht="20.100000000000001" customHeight="1">
      <c r="F306" s="629"/>
      <c r="G306" s="629"/>
    </row>
    <row r="307" spans="6:7" ht="20.100000000000001" customHeight="1">
      <c r="F307" s="629"/>
      <c r="G307" s="629"/>
    </row>
    <row r="308" spans="6:7" ht="20.100000000000001" customHeight="1">
      <c r="F308" s="629"/>
      <c r="G308" s="629"/>
    </row>
    <row r="309" spans="6:7" ht="20.100000000000001" customHeight="1">
      <c r="F309" s="629"/>
      <c r="G309" s="629"/>
    </row>
    <row r="310" spans="6:7" ht="20.100000000000001" customHeight="1">
      <c r="F310" s="629"/>
      <c r="G310" s="629"/>
    </row>
    <row r="311" spans="6:7" ht="20.100000000000001" customHeight="1">
      <c r="F311" s="629"/>
      <c r="G311" s="629"/>
    </row>
    <row r="312" spans="6:7" ht="20.100000000000001" customHeight="1">
      <c r="F312" s="629"/>
      <c r="G312" s="629"/>
    </row>
    <row r="313" spans="6:7" ht="20.100000000000001" customHeight="1">
      <c r="F313" s="629"/>
      <c r="G313" s="629"/>
    </row>
    <row r="314" spans="6:7" ht="20.100000000000001" customHeight="1">
      <c r="F314" s="629"/>
      <c r="G314" s="629"/>
    </row>
    <row r="315" spans="6:7" ht="20.100000000000001" customHeight="1">
      <c r="F315" s="629"/>
      <c r="G315" s="629"/>
    </row>
    <row r="316" spans="6:7" ht="20.100000000000001" customHeight="1">
      <c r="F316" s="629"/>
      <c r="G316" s="629"/>
    </row>
    <row r="317" spans="6:7" ht="20.100000000000001" customHeight="1">
      <c r="F317" s="629"/>
      <c r="G317" s="629"/>
    </row>
    <row r="318" spans="6:7" ht="20.100000000000001" customHeight="1">
      <c r="F318" s="629"/>
      <c r="G318" s="629"/>
    </row>
    <row r="319" spans="6:7" ht="20.100000000000001" customHeight="1">
      <c r="F319" s="629"/>
      <c r="G319" s="629"/>
    </row>
    <row r="320" spans="6:7" ht="20.100000000000001" customHeight="1">
      <c r="F320" s="629"/>
      <c r="G320" s="629"/>
    </row>
    <row r="321" spans="6:7" ht="20.100000000000001" customHeight="1">
      <c r="F321" s="629"/>
      <c r="G321" s="629"/>
    </row>
    <row r="322" spans="6:7" ht="20.100000000000001" customHeight="1">
      <c r="F322" s="629"/>
      <c r="G322" s="629"/>
    </row>
    <row r="323" spans="6:7" ht="20.100000000000001" customHeight="1">
      <c r="F323" s="629"/>
      <c r="G323" s="629"/>
    </row>
    <row r="324" spans="6:7" ht="20.100000000000001" customHeight="1">
      <c r="F324" s="629"/>
      <c r="G324" s="629"/>
    </row>
    <row r="325" spans="6:7" ht="20.100000000000001" customHeight="1">
      <c r="F325" s="629"/>
      <c r="G325" s="629"/>
    </row>
    <row r="326" spans="6:7" ht="20.100000000000001" customHeight="1">
      <c r="F326" s="629"/>
      <c r="G326" s="629"/>
    </row>
    <row r="327" spans="6:7" ht="20.100000000000001" customHeight="1">
      <c r="F327" s="629"/>
      <c r="G327" s="629"/>
    </row>
    <row r="328" spans="6:7" ht="20.100000000000001" customHeight="1">
      <c r="F328" s="629"/>
      <c r="G328" s="629"/>
    </row>
    <row r="329" spans="6:7" ht="20.100000000000001" customHeight="1">
      <c r="F329" s="629"/>
      <c r="G329" s="629"/>
    </row>
    <row r="330" spans="6:7" ht="20.100000000000001" customHeight="1">
      <c r="F330" s="629"/>
      <c r="G330" s="629"/>
    </row>
    <row r="331" spans="6:7" ht="20.100000000000001" customHeight="1">
      <c r="F331" s="629"/>
      <c r="G331" s="629"/>
    </row>
    <row r="332" spans="6:7" ht="20.100000000000001" customHeight="1">
      <c r="F332" s="629"/>
      <c r="G332" s="629"/>
    </row>
    <row r="333" spans="6:7" ht="20.100000000000001" customHeight="1">
      <c r="F333" s="629"/>
      <c r="G333" s="629"/>
    </row>
    <row r="334" spans="6:7" ht="20.100000000000001" customHeight="1">
      <c r="F334" s="629"/>
      <c r="G334" s="629"/>
    </row>
    <row r="335" spans="6:7" ht="20.100000000000001" customHeight="1">
      <c r="F335" s="629"/>
      <c r="G335" s="629"/>
    </row>
    <row r="336" spans="6:7" ht="20.100000000000001" customHeight="1">
      <c r="F336" s="629"/>
      <c r="G336" s="629"/>
    </row>
    <row r="337" spans="6:7" ht="20.100000000000001" customHeight="1">
      <c r="F337" s="629"/>
      <c r="G337" s="629"/>
    </row>
    <row r="338" spans="6:7" ht="20.100000000000001" customHeight="1">
      <c r="F338" s="629"/>
      <c r="G338" s="629"/>
    </row>
    <row r="339" spans="6:7" ht="20.100000000000001" customHeight="1">
      <c r="F339" s="629"/>
      <c r="G339" s="629"/>
    </row>
    <row r="340" spans="6:7" ht="20.100000000000001" customHeight="1">
      <c r="F340" s="629"/>
      <c r="G340" s="629"/>
    </row>
    <row r="341" spans="6:7" ht="20.100000000000001" customHeight="1">
      <c r="F341" s="629"/>
      <c r="G341" s="629"/>
    </row>
    <row r="342" spans="6:7" ht="20.100000000000001" customHeight="1">
      <c r="F342" s="629"/>
      <c r="G342" s="629"/>
    </row>
    <row r="343" spans="6:7" ht="20.100000000000001" customHeight="1">
      <c r="F343" s="629"/>
      <c r="G343" s="629"/>
    </row>
    <row r="344" spans="6:7" ht="20.100000000000001" customHeight="1">
      <c r="F344" s="629"/>
      <c r="G344" s="629"/>
    </row>
    <row r="345" spans="6:7" ht="20.100000000000001" customHeight="1">
      <c r="F345" s="629"/>
      <c r="G345" s="629"/>
    </row>
    <row r="346" spans="6:7" ht="20.100000000000001" customHeight="1">
      <c r="F346" s="629"/>
      <c r="G346" s="629"/>
    </row>
    <row r="347" spans="6:7" ht="20.100000000000001" customHeight="1">
      <c r="F347" s="629"/>
      <c r="G347" s="629"/>
    </row>
    <row r="348" spans="6:7" ht="20.100000000000001" customHeight="1">
      <c r="F348" s="629"/>
      <c r="G348" s="629"/>
    </row>
    <row r="349" spans="6:7" ht="20.100000000000001" customHeight="1">
      <c r="F349" s="629"/>
      <c r="G349" s="629"/>
    </row>
    <row r="350" spans="6:7" ht="20.100000000000001" customHeight="1">
      <c r="F350" s="629"/>
      <c r="G350" s="629"/>
    </row>
    <row r="351" spans="6:7" ht="20.100000000000001" customHeight="1">
      <c r="F351" s="629"/>
      <c r="G351" s="629"/>
    </row>
    <row r="352" spans="6:7" ht="20.100000000000001" customHeight="1">
      <c r="F352" s="629"/>
      <c r="G352" s="629"/>
    </row>
    <row r="353" spans="6:7" ht="20.100000000000001" customHeight="1">
      <c r="F353" s="629"/>
      <c r="G353" s="629"/>
    </row>
    <row r="354" spans="6:7" ht="20.100000000000001" customHeight="1">
      <c r="F354" s="629"/>
      <c r="G354" s="629"/>
    </row>
    <row r="355" spans="6:7" ht="20.100000000000001" customHeight="1">
      <c r="F355" s="629"/>
      <c r="G355" s="629"/>
    </row>
    <row r="356" spans="6:7" ht="20.100000000000001" customHeight="1">
      <c r="F356" s="629"/>
      <c r="G356" s="629"/>
    </row>
    <row r="357" spans="6:7" ht="20.100000000000001" customHeight="1">
      <c r="F357" s="629"/>
      <c r="G357" s="629"/>
    </row>
    <row r="358" spans="6:7" ht="20.100000000000001" customHeight="1">
      <c r="F358" s="629"/>
      <c r="G358" s="629"/>
    </row>
    <row r="359" spans="6:7" ht="20.100000000000001" customHeight="1">
      <c r="F359" s="629"/>
      <c r="G359" s="629"/>
    </row>
    <row r="360" spans="6:7" ht="20.100000000000001" customHeight="1">
      <c r="F360" s="629"/>
      <c r="G360" s="629"/>
    </row>
    <row r="361" spans="6:7" ht="20.100000000000001" customHeight="1">
      <c r="F361" s="629"/>
      <c r="G361" s="629"/>
    </row>
    <row r="362" spans="6:7" ht="20.100000000000001" customHeight="1">
      <c r="F362" s="629"/>
      <c r="G362" s="629"/>
    </row>
    <row r="363" spans="6:7" ht="20.100000000000001" customHeight="1">
      <c r="F363" s="629"/>
      <c r="G363" s="629"/>
    </row>
    <row r="364" spans="6:7" ht="20.100000000000001" customHeight="1">
      <c r="F364" s="629"/>
      <c r="G364" s="629"/>
    </row>
    <row r="365" spans="6:7" ht="20.100000000000001" customHeight="1">
      <c r="F365" s="629"/>
      <c r="G365" s="629"/>
    </row>
    <row r="366" spans="6:7" ht="20.100000000000001" customHeight="1">
      <c r="F366" s="629"/>
      <c r="G366" s="629"/>
    </row>
    <row r="367" spans="6:7" ht="20.100000000000001" customHeight="1">
      <c r="F367" s="629"/>
      <c r="G367" s="629"/>
    </row>
    <row r="368" spans="6:7" ht="20.100000000000001" customHeight="1">
      <c r="F368" s="629"/>
      <c r="G368" s="629"/>
    </row>
    <row r="369" spans="6:7" ht="20.100000000000001" customHeight="1">
      <c r="F369" s="629"/>
      <c r="G369" s="629"/>
    </row>
    <row r="370" spans="6:7" ht="20.100000000000001" customHeight="1">
      <c r="F370" s="629"/>
      <c r="G370" s="629"/>
    </row>
    <row r="371" spans="6:7" ht="20.100000000000001" customHeight="1">
      <c r="F371" s="629"/>
      <c r="G371" s="629"/>
    </row>
    <row r="372" spans="6:7" ht="20.100000000000001" customHeight="1">
      <c r="F372" s="629"/>
      <c r="G372" s="629"/>
    </row>
    <row r="373" spans="6:7" ht="22.15" customHeight="1">
      <c r="F373" s="629"/>
      <c r="G373" s="629"/>
    </row>
    <row r="374" spans="6:7" ht="22.15" customHeight="1">
      <c r="F374" s="629"/>
      <c r="G374" s="629"/>
    </row>
    <row r="375" spans="6:7" ht="22.15" customHeight="1">
      <c r="F375" s="629"/>
      <c r="G375" s="629"/>
    </row>
    <row r="376" spans="6:7" ht="22.15" customHeight="1">
      <c r="F376" s="629"/>
      <c r="G376" s="629"/>
    </row>
    <row r="377" spans="6:7" ht="22.15" customHeight="1">
      <c r="F377" s="629"/>
      <c r="G377" s="629"/>
    </row>
    <row r="378" spans="6:7" ht="22.15" customHeight="1">
      <c r="F378" s="629"/>
      <c r="G378" s="629"/>
    </row>
    <row r="379" spans="6:7" ht="22.15" customHeight="1">
      <c r="F379" s="629"/>
      <c r="G379" s="629"/>
    </row>
    <row r="380" spans="6:7" ht="22.15" customHeight="1">
      <c r="F380" s="629"/>
      <c r="G380" s="629"/>
    </row>
    <row r="381" spans="6:7" ht="22.15" customHeight="1">
      <c r="F381" s="629"/>
      <c r="G381" s="629"/>
    </row>
    <row r="382" spans="6:7" ht="22.15" customHeight="1">
      <c r="F382" s="629"/>
      <c r="G382" s="629"/>
    </row>
    <row r="383" spans="6:7" ht="22.15" customHeight="1">
      <c r="F383" s="629"/>
      <c r="G383" s="629"/>
    </row>
    <row r="384" spans="6:7" ht="22.15" customHeight="1">
      <c r="F384" s="629"/>
      <c r="G384" s="629"/>
    </row>
    <row r="385" spans="6:7" ht="22.15" customHeight="1">
      <c r="F385" s="629"/>
      <c r="G385" s="629"/>
    </row>
    <row r="386" spans="6:7" ht="22.15" customHeight="1">
      <c r="F386" s="629"/>
      <c r="G386" s="629"/>
    </row>
    <row r="387" spans="6:7" ht="22.15" customHeight="1">
      <c r="F387" s="629"/>
      <c r="G387" s="629"/>
    </row>
    <row r="388" spans="6:7" ht="22.15" customHeight="1">
      <c r="F388" s="629"/>
      <c r="G388" s="629"/>
    </row>
    <row r="389" spans="6:7" ht="22.15" customHeight="1">
      <c r="F389" s="629"/>
      <c r="G389" s="629"/>
    </row>
    <row r="390" spans="6:7" ht="22.15" customHeight="1">
      <c r="F390" s="629"/>
      <c r="G390" s="629"/>
    </row>
    <row r="391" spans="6:7" ht="22.15" customHeight="1">
      <c r="F391" s="629"/>
      <c r="G391" s="629"/>
    </row>
    <row r="392" spans="6:7" ht="22.15" customHeight="1">
      <c r="F392" s="629"/>
      <c r="G392" s="629"/>
    </row>
    <row r="393" spans="6:7" ht="22.15" customHeight="1">
      <c r="F393" s="629"/>
      <c r="G393" s="629"/>
    </row>
    <row r="394" spans="6:7" ht="22.15" customHeight="1">
      <c r="F394" s="629"/>
      <c r="G394" s="629"/>
    </row>
    <row r="395" spans="6:7" ht="22.15" customHeight="1">
      <c r="F395" s="629"/>
      <c r="G395" s="629"/>
    </row>
    <row r="396" spans="6:7" ht="22.15" customHeight="1">
      <c r="F396" s="629"/>
      <c r="G396" s="629"/>
    </row>
    <row r="397" spans="6:7" ht="22.15" customHeight="1">
      <c r="F397" s="629"/>
      <c r="G397" s="629"/>
    </row>
    <row r="398" spans="6:7" ht="22.15" customHeight="1">
      <c r="F398" s="629"/>
      <c r="G398" s="629"/>
    </row>
    <row r="399" spans="6:7" ht="22.15" customHeight="1">
      <c r="F399" s="629"/>
      <c r="G399" s="629"/>
    </row>
    <row r="400" spans="6:7" ht="22.15" customHeight="1">
      <c r="F400" s="629"/>
      <c r="G400" s="629"/>
    </row>
    <row r="401" spans="6:7" ht="22.15" customHeight="1">
      <c r="F401" s="629"/>
      <c r="G401" s="629"/>
    </row>
    <row r="402" spans="6:7" ht="22.15" customHeight="1">
      <c r="F402" s="629"/>
      <c r="G402" s="629"/>
    </row>
    <row r="403" spans="6:7" ht="22.15" customHeight="1">
      <c r="F403" s="629"/>
      <c r="G403" s="629"/>
    </row>
    <row r="404" spans="6:7" ht="22.15" customHeight="1">
      <c r="F404" s="629"/>
      <c r="G404" s="629"/>
    </row>
    <row r="405" spans="6:7" ht="22.15" customHeight="1">
      <c r="F405" s="629"/>
      <c r="G405" s="629"/>
    </row>
    <row r="406" spans="6:7" ht="22.15" customHeight="1">
      <c r="F406" s="629"/>
      <c r="G406" s="629"/>
    </row>
    <row r="407" spans="6:7" ht="22.15" customHeight="1">
      <c r="F407" s="629"/>
      <c r="G407" s="629"/>
    </row>
    <row r="408" spans="6:7" ht="22.15" customHeight="1">
      <c r="F408" s="629"/>
      <c r="G408" s="629"/>
    </row>
    <row r="409" spans="6:7" ht="22.15" customHeight="1">
      <c r="F409" s="629"/>
      <c r="G409" s="629"/>
    </row>
    <row r="410" spans="6:7" ht="22.15" customHeight="1">
      <c r="F410" s="629"/>
      <c r="G410" s="629"/>
    </row>
    <row r="411" spans="6:7" ht="22.15" customHeight="1">
      <c r="F411" s="629"/>
      <c r="G411" s="629"/>
    </row>
    <row r="412" spans="6:7" ht="22.15" customHeight="1">
      <c r="F412" s="629"/>
      <c r="G412" s="629"/>
    </row>
    <row r="413" spans="6:7" ht="22.15" customHeight="1">
      <c r="F413" s="629"/>
      <c r="G413" s="629"/>
    </row>
    <row r="414" spans="6:7" ht="22.15" customHeight="1">
      <c r="F414" s="629"/>
      <c r="G414" s="629"/>
    </row>
    <row r="415" spans="6:7" ht="22.15" customHeight="1">
      <c r="F415" s="629"/>
      <c r="G415" s="629"/>
    </row>
    <row r="416" spans="6:7" ht="22.15" customHeight="1">
      <c r="F416" s="629"/>
      <c r="G416" s="629"/>
    </row>
    <row r="417" spans="6:7" ht="22.15" customHeight="1">
      <c r="F417" s="629"/>
      <c r="G417" s="629"/>
    </row>
    <row r="418" spans="6:7" ht="22.15" customHeight="1">
      <c r="F418" s="629"/>
      <c r="G418" s="629"/>
    </row>
    <row r="419" spans="6:7" ht="22.15" customHeight="1">
      <c r="F419" s="629"/>
      <c r="G419" s="629"/>
    </row>
    <row r="420" spans="6:7" ht="22.15" customHeight="1">
      <c r="F420" s="629"/>
      <c r="G420" s="629"/>
    </row>
    <row r="421" spans="6:7" ht="22.15" customHeight="1">
      <c r="F421" s="629"/>
      <c r="G421" s="629"/>
    </row>
    <row r="422" spans="6:7" ht="22.15" customHeight="1">
      <c r="F422" s="629"/>
      <c r="G422" s="629"/>
    </row>
    <row r="423" spans="6:7" ht="22.15" customHeight="1">
      <c r="F423" s="629"/>
      <c r="G423" s="629"/>
    </row>
    <row r="424" spans="6:7" ht="22.15" customHeight="1">
      <c r="F424" s="629"/>
      <c r="G424" s="629"/>
    </row>
    <row r="425" spans="6:7" ht="22.15" customHeight="1">
      <c r="F425" s="629"/>
      <c r="G425" s="629"/>
    </row>
    <row r="426" spans="6:7" ht="22.15" customHeight="1">
      <c r="F426" s="629"/>
      <c r="G426" s="629"/>
    </row>
    <row r="427" spans="6:7" ht="22.15" customHeight="1">
      <c r="F427" s="629"/>
      <c r="G427" s="629"/>
    </row>
    <row r="428" spans="6:7" ht="22.15" customHeight="1">
      <c r="F428" s="629"/>
      <c r="G428" s="629"/>
    </row>
    <row r="429" spans="6:7" ht="22.15" customHeight="1">
      <c r="F429" s="629"/>
      <c r="G429" s="629"/>
    </row>
    <row r="430" spans="6:7" ht="22.15" customHeight="1">
      <c r="F430" s="629"/>
      <c r="G430" s="629"/>
    </row>
    <row r="431" spans="6:7" ht="22.15" customHeight="1">
      <c r="F431" s="629"/>
      <c r="G431" s="629"/>
    </row>
    <row r="432" spans="6:7" ht="22.15" customHeight="1">
      <c r="F432" s="629"/>
      <c r="G432" s="629"/>
    </row>
    <row r="433" spans="6:7" ht="22.15" customHeight="1">
      <c r="F433" s="629"/>
      <c r="G433" s="629"/>
    </row>
    <row r="434" spans="6:7" ht="22.15" customHeight="1">
      <c r="F434" s="629"/>
      <c r="G434" s="629"/>
    </row>
    <row r="435" spans="6:7" ht="22.15" customHeight="1">
      <c r="F435" s="629"/>
      <c r="G435" s="629"/>
    </row>
    <row r="436" spans="6:7" ht="22.15" customHeight="1">
      <c r="F436" s="629"/>
      <c r="G436" s="629"/>
    </row>
    <row r="437" spans="6:7" ht="22.15" customHeight="1">
      <c r="F437" s="629"/>
      <c r="G437" s="629"/>
    </row>
    <row r="438" spans="6:7" ht="22.15" customHeight="1">
      <c r="F438" s="629"/>
      <c r="G438" s="629"/>
    </row>
    <row r="439" spans="6:7" ht="22.15" customHeight="1">
      <c r="F439" s="629"/>
      <c r="G439" s="629"/>
    </row>
    <row r="440" spans="6:7" ht="22.15" customHeight="1">
      <c r="F440" s="629"/>
      <c r="G440" s="629"/>
    </row>
    <row r="441" spans="6:7" ht="22.15" customHeight="1">
      <c r="F441" s="629"/>
      <c r="G441" s="629"/>
    </row>
    <row r="442" spans="6:7" ht="22.15" customHeight="1">
      <c r="F442" s="629"/>
      <c r="G442" s="629"/>
    </row>
    <row r="443" spans="6:7" ht="22.15" customHeight="1">
      <c r="F443" s="629"/>
      <c r="G443" s="629"/>
    </row>
    <row r="444" spans="6:7" ht="22.15" customHeight="1">
      <c r="F444" s="629"/>
      <c r="G444" s="629"/>
    </row>
    <row r="445" spans="6:7" ht="22.15" customHeight="1">
      <c r="F445" s="629"/>
      <c r="G445" s="629"/>
    </row>
    <row r="446" spans="6:7" ht="22.15" customHeight="1">
      <c r="F446" s="629"/>
      <c r="G446" s="629"/>
    </row>
    <row r="447" spans="6:7" ht="22.15" customHeight="1">
      <c r="F447" s="629"/>
      <c r="G447" s="629"/>
    </row>
    <row r="448" spans="6:7" ht="22.15" customHeight="1">
      <c r="F448" s="629"/>
      <c r="G448" s="629"/>
    </row>
    <row r="449" spans="6:7" ht="22.15" customHeight="1">
      <c r="F449" s="629"/>
      <c r="G449" s="629"/>
    </row>
    <row r="450" spans="6:7" ht="22.15" customHeight="1">
      <c r="F450" s="629"/>
      <c r="G450" s="629"/>
    </row>
    <row r="451" spans="6:7" ht="22.15" customHeight="1">
      <c r="F451" s="629"/>
      <c r="G451" s="629"/>
    </row>
    <row r="452" spans="6:7" ht="22.15" customHeight="1">
      <c r="F452" s="629"/>
      <c r="G452" s="629"/>
    </row>
    <row r="453" spans="6:7" ht="22.15" customHeight="1">
      <c r="F453" s="629"/>
      <c r="G453" s="629"/>
    </row>
    <row r="454" spans="6:7" ht="22.15" customHeight="1">
      <c r="F454" s="629"/>
      <c r="G454" s="629"/>
    </row>
    <row r="455" spans="6:7" ht="22.15" customHeight="1">
      <c r="F455" s="629"/>
      <c r="G455" s="629"/>
    </row>
    <row r="456" spans="6:7" ht="22.15" customHeight="1">
      <c r="F456" s="629"/>
      <c r="G456" s="629"/>
    </row>
    <row r="457" spans="6:7" ht="22.15" customHeight="1">
      <c r="F457" s="629"/>
      <c r="G457" s="629"/>
    </row>
    <row r="458" spans="6:7" ht="22.15" customHeight="1">
      <c r="F458" s="629"/>
      <c r="G458" s="629"/>
    </row>
    <row r="459" spans="6:7" ht="22.15" customHeight="1">
      <c r="F459" s="629"/>
      <c r="G459" s="629"/>
    </row>
    <row r="460" spans="6:7" ht="22.15" customHeight="1">
      <c r="F460" s="629"/>
      <c r="G460" s="629"/>
    </row>
    <row r="461" spans="6:7" ht="22.15" customHeight="1">
      <c r="F461" s="629"/>
      <c r="G461" s="629"/>
    </row>
    <row r="462" spans="6:7" ht="22.15" customHeight="1">
      <c r="F462" s="629"/>
      <c r="G462" s="629"/>
    </row>
    <row r="463" spans="6:7" ht="22.15" customHeight="1">
      <c r="F463" s="629"/>
      <c r="G463" s="629"/>
    </row>
    <row r="464" spans="6:7" ht="22.15" customHeight="1">
      <c r="F464" s="629"/>
      <c r="G464" s="629"/>
    </row>
    <row r="465" spans="6:7" ht="22.15" customHeight="1">
      <c r="F465" s="629"/>
      <c r="G465" s="629"/>
    </row>
    <row r="466" spans="6:7" ht="22.15" customHeight="1">
      <c r="F466" s="629"/>
      <c r="G466" s="629"/>
    </row>
    <row r="467" spans="6:7" ht="22.15" customHeight="1">
      <c r="F467" s="629"/>
      <c r="G467" s="629"/>
    </row>
    <row r="468" spans="6:7" ht="22.15" customHeight="1">
      <c r="F468" s="629"/>
      <c r="G468" s="629"/>
    </row>
    <row r="469" spans="6:7" ht="22.15" customHeight="1">
      <c r="F469" s="629"/>
      <c r="G469" s="629"/>
    </row>
    <row r="470" spans="6:7" ht="22.15" customHeight="1">
      <c r="F470" s="629"/>
      <c r="G470" s="629"/>
    </row>
  </sheetData>
  <mergeCells count="2">
    <mergeCell ref="A1:G1"/>
    <mergeCell ref="A3:C3"/>
  </mergeCells>
  <phoneticPr fontId="2" type="noConversion"/>
  <printOptions horizontalCentered="1"/>
  <pageMargins left="0.70866141732283472" right="0.70866141732283472" top="0.74803149606299213" bottom="0.74803149606299213" header="0.31496062992125984" footer="0.31496062992125984"/>
  <pageSetup paperSize="9" scale="81" orientation="landscape"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M17"/>
  <sheetViews>
    <sheetView view="pageBreakPreview" zoomScale="85" zoomScaleNormal="85" zoomScaleSheetLayoutView="85" workbookViewId="0">
      <selection activeCell="I8" sqref="I8:K8"/>
    </sheetView>
  </sheetViews>
  <sheetFormatPr defaultRowHeight="13.5"/>
  <cols>
    <col min="1" max="1" width="39.375" style="198" customWidth="1"/>
    <col min="2" max="4" width="5.875" style="198" customWidth="1"/>
    <col min="5" max="5" width="8" style="198" customWidth="1"/>
    <col min="6" max="6" width="16.375" style="198" customWidth="1"/>
    <col min="7" max="7" width="6.875" style="198" customWidth="1"/>
    <col min="8" max="8" width="10.5" style="198" customWidth="1"/>
    <col min="9" max="9" width="7.125" style="198" customWidth="1"/>
    <col min="10" max="10" width="10.25" style="198" customWidth="1"/>
    <col min="11" max="11" width="6.75" style="198" customWidth="1"/>
    <col min="12" max="12" width="10.75" style="198" customWidth="1"/>
    <col min="13" max="13" width="6.125" style="198" customWidth="1"/>
    <col min="14" max="256" width="9" style="198"/>
    <col min="257" max="257" width="36.375" style="198" customWidth="1"/>
    <col min="258" max="260" width="9.875" style="198" customWidth="1"/>
    <col min="261" max="261" width="15.375" style="198" customWidth="1"/>
    <col min="262" max="262" width="16.375" style="198" customWidth="1"/>
    <col min="263" max="268" width="14.375" style="198" customWidth="1"/>
    <col min="269" max="269" width="9.625" style="198" customWidth="1"/>
    <col min="270" max="512" width="9" style="198"/>
    <col min="513" max="513" width="36.375" style="198" customWidth="1"/>
    <col min="514" max="516" width="9.875" style="198" customWidth="1"/>
    <col min="517" max="517" width="15.375" style="198" customWidth="1"/>
    <col min="518" max="518" width="16.375" style="198" customWidth="1"/>
    <col min="519" max="524" width="14.375" style="198" customWidth="1"/>
    <col min="525" max="525" width="9.625" style="198" customWidth="1"/>
    <col min="526" max="768" width="9" style="198"/>
    <col min="769" max="769" width="36.375" style="198" customWidth="1"/>
    <col min="770" max="772" width="9.875" style="198" customWidth="1"/>
    <col min="773" max="773" width="15.375" style="198" customWidth="1"/>
    <col min="774" max="774" width="16.375" style="198" customWidth="1"/>
    <col min="775" max="780" width="14.375" style="198" customWidth="1"/>
    <col min="781" max="781" width="9.625" style="198" customWidth="1"/>
    <col min="782" max="1024" width="9" style="198"/>
    <col min="1025" max="1025" width="36.375" style="198" customWidth="1"/>
    <col min="1026" max="1028" width="9.875" style="198" customWidth="1"/>
    <col min="1029" max="1029" width="15.375" style="198" customWidth="1"/>
    <col min="1030" max="1030" width="16.375" style="198" customWidth="1"/>
    <col min="1031" max="1036" width="14.375" style="198" customWidth="1"/>
    <col min="1037" max="1037" width="9.625" style="198" customWidth="1"/>
    <col min="1038" max="1280" width="9" style="198"/>
    <col min="1281" max="1281" width="36.375" style="198" customWidth="1"/>
    <col min="1282" max="1284" width="9.875" style="198" customWidth="1"/>
    <col min="1285" max="1285" width="15.375" style="198" customWidth="1"/>
    <col min="1286" max="1286" width="16.375" style="198" customWidth="1"/>
    <col min="1287" max="1292" width="14.375" style="198" customWidth="1"/>
    <col min="1293" max="1293" width="9.625" style="198" customWidth="1"/>
    <col min="1294" max="1536" width="9" style="198"/>
    <col min="1537" max="1537" width="36.375" style="198" customWidth="1"/>
    <col min="1538" max="1540" width="9.875" style="198" customWidth="1"/>
    <col min="1541" max="1541" width="15.375" style="198" customWidth="1"/>
    <col min="1542" max="1542" width="16.375" style="198" customWidth="1"/>
    <col min="1543" max="1548" width="14.375" style="198" customWidth="1"/>
    <col min="1549" max="1549" width="9.625" style="198" customWidth="1"/>
    <col min="1550" max="1792" width="9" style="198"/>
    <col min="1793" max="1793" width="36.375" style="198" customWidth="1"/>
    <col min="1794" max="1796" width="9.875" style="198" customWidth="1"/>
    <col min="1797" max="1797" width="15.375" style="198" customWidth="1"/>
    <col min="1798" max="1798" width="16.375" style="198" customWidth="1"/>
    <col min="1799" max="1804" width="14.375" style="198" customWidth="1"/>
    <col min="1805" max="1805" width="9.625" style="198" customWidth="1"/>
    <col min="1806" max="2048" width="9" style="198"/>
    <col min="2049" max="2049" width="36.375" style="198" customWidth="1"/>
    <col min="2050" max="2052" width="9.875" style="198" customWidth="1"/>
    <col min="2053" max="2053" width="15.375" style="198" customWidth="1"/>
    <col min="2054" max="2054" width="16.375" style="198" customWidth="1"/>
    <col min="2055" max="2060" width="14.375" style="198" customWidth="1"/>
    <col min="2061" max="2061" width="9.625" style="198" customWidth="1"/>
    <col min="2062" max="2304" width="9" style="198"/>
    <col min="2305" max="2305" width="36.375" style="198" customWidth="1"/>
    <col min="2306" max="2308" width="9.875" style="198" customWidth="1"/>
    <col min="2309" max="2309" width="15.375" style="198" customWidth="1"/>
    <col min="2310" max="2310" width="16.375" style="198" customWidth="1"/>
    <col min="2311" max="2316" width="14.375" style="198" customWidth="1"/>
    <col min="2317" max="2317" width="9.625" style="198" customWidth="1"/>
    <col min="2318" max="2560" width="9" style="198"/>
    <col min="2561" max="2561" width="36.375" style="198" customWidth="1"/>
    <col min="2562" max="2564" width="9.875" style="198" customWidth="1"/>
    <col min="2565" max="2565" width="15.375" style="198" customWidth="1"/>
    <col min="2566" max="2566" width="16.375" style="198" customWidth="1"/>
    <col min="2567" max="2572" width="14.375" style="198" customWidth="1"/>
    <col min="2573" max="2573" width="9.625" style="198" customWidth="1"/>
    <col min="2574" max="2816" width="9" style="198"/>
    <col min="2817" max="2817" width="36.375" style="198" customWidth="1"/>
    <col min="2818" max="2820" width="9.875" style="198" customWidth="1"/>
    <col min="2821" max="2821" width="15.375" style="198" customWidth="1"/>
    <col min="2822" max="2822" width="16.375" style="198" customWidth="1"/>
    <col min="2823" max="2828" width="14.375" style="198" customWidth="1"/>
    <col min="2829" max="2829" width="9.625" style="198" customWidth="1"/>
    <col min="2830" max="3072" width="9" style="198"/>
    <col min="3073" max="3073" width="36.375" style="198" customWidth="1"/>
    <col min="3074" max="3076" width="9.875" style="198" customWidth="1"/>
    <col min="3077" max="3077" width="15.375" style="198" customWidth="1"/>
    <col min="3078" max="3078" width="16.375" style="198" customWidth="1"/>
    <col min="3079" max="3084" width="14.375" style="198" customWidth="1"/>
    <col min="3085" max="3085" width="9.625" style="198" customWidth="1"/>
    <col min="3086" max="3328" width="9" style="198"/>
    <col min="3329" max="3329" width="36.375" style="198" customWidth="1"/>
    <col min="3330" max="3332" width="9.875" style="198" customWidth="1"/>
    <col min="3333" max="3333" width="15.375" style="198" customWidth="1"/>
    <col min="3334" max="3334" width="16.375" style="198" customWidth="1"/>
    <col min="3335" max="3340" width="14.375" style="198" customWidth="1"/>
    <col min="3341" max="3341" width="9.625" style="198" customWidth="1"/>
    <col min="3342" max="3584" width="9" style="198"/>
    <col min="3585" max="3585" width="36.375" style="198" customWidth="1"/>
    <col min="3586" max="3588" width="9.875" style="198" customWidth="1"/>
    <col min="3589" max="3589" width="15.375" style="198" customWidth="1"/>
    <col min="3590" max="3590" width="16.375" style="198" customWidth="1"/>
    <col min="3591" max="3596" width="14.375" style="198" customWidth="1"/>
    <col min="3597" max="3597" width="9.625" style="198" customWidth="1"/>
    <col min="3598" max="3840" width="9" style="198"/>
    <col min="3841" max="3841" width="36.375" style="198" customWidth="1"/>
    <col min="3842" max="3844" width="9.875" style="198" customWidth="1"/>
    <col min="3845" max="3845" width="15.375" style="198" customWidth="1"/>
    <col min="3846" max="3846" width="16.375" style="198" customWidth="1"/>
    <col min="3847" max="3852" width="14.375" style="198" customWidth="1"/>
    <col min="3853" max="3853" width="9.625" style="198" customWidth="1"/>
    <col min="3854" max="4096" width="9" style="198"/>
    <col min="4097" max="4097" width="36.375" style="198" customWidth="1"/>
    <col min="4098" max="4100" width="9.875" style="198" customWidth="1"/>
    <col min="4101" max="4101" width="15.375" style="198" customWidth="1"/>
    <col min="4102" max="4102" width="16.375" style="198" customWidth="1"/>
    <col min="4103" max="4108" width="14.375" style="198" customWidth="1"/>
    <col min="4109" max="4109" width="9.625" style="198" customWidth="1"/>
    <col min="4110" max="4352" width="9" style="198"/>
    <col min="4353" max="4353" width="36.375" style="198" customWidth="1"/>
    <col min="4354" max="4356" width="9.875" style="198" customWidth="1"/>
    <col min="4357" max="4357" width="15.375" style="198" customWidth="1"/>
    <col min="4358" max="4358" width="16.375" style="198" customWidth="1"/>
    <col min="4359" max="4364" width="14.375" style="198" customWidth="1"/>
    <col min="4365" max="4365" width="9.625" style="198" customWidth="1"/>
    <col min="4366" max="4608" width="9" style="198"/>
    <col min="4609" max="4609" width="36.375" style="198" customWidth="1"/>
    <col min="4610" max="4612" width="9.875" style="198" customWidth="1"/>
    <col min="4613" max="4613" width="15.375" style="198" customWidth="1"/>
    <col min="4614" max="4614" width="16.375" style="198" customWidth="1"/>
    <col min="4615" max="4620" width="14.375" style="198" customWidth="1"/>
    <col min="4621" max="4621" width="9.625" style="198" customWidth="1"/>
    <col min="4622" max="4864" width="9" style="198"/>
    <col min="4865" max="4865" width="36.375" style="198" customWidth="1"/>
    <col min="4866" max="4868" width="9.875" style="198" customWidth="1"/>
    <col min="4869" max="4869" width="15.375" style="198" customWidth="1"/>
    <col min="4870" max="4870" width="16.375" style="198" customWidth="1"/>
    <col min="4871" max="4876" width="14.375" style="198" customWidth="1"/>
    <col min="4877" max="4877" width="9.625" style="198" customWidth="1"/>
    <col min="4878" max="5120" width="9" style="198"/>
    <col min="5121" max="5121" width="36.375" style="198" customWidth="1"/>
    <col min="5122" max="5124" width="9.875" style="198" customWidth="1"/>
    <col min="5125" max="5125" width="15.375" style="198" customWidth="1"/>
    <col min="5126" max="5126" width="16.375" style="198" customWidth="1"/>
    <col min="5127" max="5132" width="14.375" style="198" customWidth="1"/>
    <col min="5133" max="5133" width="9.625" style="198" customWidth="1"/>
    <col min="5134" max="5376" width="9" style="198"/>
    <col min="5377" max="5377" width="36.375" style="198" customWidth="1"/>
    <col min="5378" max="5380" width="9.875" style="198" customWidth="1"/>
    <col min="5381" max="5381" width="15.375" style="198" customWidth="1"/>
    <col min="5382" max="5382" width="16.375" style="198" customWidth="1"/>
    <col min="5383" max="5388" width="14.375" style="198" customWidth="1"/>
    <col min="5389" max="5389" width="9.625" style="198" customWidth="1"/>
    <col min="5390" max="5632" width="9" style="198"/>
    <col min="5633" max="5633" width="36.375" style="198" customWidth="1"/>
    <col min="5634" max="5636" width="9.875" style="198" customWidth="1"/>
    <col min="5637" max="5637" width="15.375" style="198" customWidth="1"/>
    <col min="5638" max="5638" width="16.375" style="198" customWidth="1"/>
    <col min="5639" max="5644" width="14.375" style="198" customWidth="1"/>
    <col min="5645" max="5645" width="9.625" style="198" customWidth="1"/>
    <col min="5646" max="5888" width="9" style="198"/>
    <col min="5889" max="5889" width="36.375" style="198" customWidth="1"/>
    <col min="5890" max="5892" width="9.875" style="198" customWidth="1"/>
    <col min="5893" max="5893" width="15.375" style="198" customWidth="1"/>
    <col min="5894" max="5894" width="16.375" style="198" customWidth="1"/>
    <col min="5895" max="5900" width="14.375" style="198" customWidth="1"/>
    <col min="5901" max="5901" width="9.625" style="198" customWidth="1"/>
    <col min="5902" max="6144" width="9" style="198"/>
    <col min="6145" max="6145" width="36.375" style="198" customWidth="1"/>
    <col min="6146" max="6148" width="9.875" style="198" customWidth="1"/>
    <col min="6149" max="6149" width="15.375" style="198" customWidth="1"/>
    <col min="6150" max="6150" width="16.375" style="198" customWidth="1"/>
    <col min="6151" max="6156" width="14.375" style="198" customWidth="1"/>
    <col min="6157" max="6157" width="9.625" style="198" customWidth="1"/>
    <col min="6158" max="6400" width="9" style="198"/>
    <col min="6401" max="6401" width="36.375" style="198" customWidth="1"/>
    <col min="6402" max="6404" width="9.875" style="198" customWidth="1"/>
    <col min="6405" max="6405" width="15.375" style="198" customWidth="1"/>
    <col min="6406" max="6406" width="16.375" style="198" customWidth="1"/>
    <col min="6407" max="6412" width="14.375" style="198" customWidth="1"/>
    <col min="6413" max="6413" width="9.625" style="198" customWidth="1"/>
    <col min="6414" max="6656" width="9" style="198"/>
    <col min="6657" max="6657" width="36.375" style="198" customWidth="1"/>
    <col min="6658" max="6660" width="9.875" style="198" customWidth="1"/>
    <col min="6661" max="6661" width="15.375" style="198" customWidth="1"/>
    <col min="6662" max="6662" width="16.375" style="198" customWidth="1"/>
    <col min="6663" max="6668" width="14.375" style="198" customWidth="1"/>
    <col min="6669" max="6669" width="9.625" style="198" customWidth="1"/>
    <col min="6670" max="6912" width="9" style="198"/>
    <col min="6913" max="6913" width="36.375" style="198" customWidth="1"/>
    <col min="6914" max="6916" width="9.875" style="198" customWidth="1"/>
    <col min="6917" max="6917" width="15.375" style="198" customWidth="1"/>
    <col min="6918" max="6918" width="16.375" style="198" customWidth="1"/>
    <col min="6919" max="6924" width="14.375" style="198" customWidth="1"/>
    <col min="6925" max="6925" width="9.625" style="198" customWidth="1"/>
    <col min="6926" max="7168" width="9" style="198"/>
    <col min="7169" max="7169" width="36.375" style="198" customWidth="1"/>
    <col min="7170" max="7172" width="9.875" style="198" customWidth="1"/>
    <col min="7173" max="7173" width="15.375" style="198" customWidth="1"/>
    <col min="7174" max="7174" width="16.375" style="198" customWidth="1"/>
    <col min="7175" max="7180" width="14.375" style="198" customWidth="1"/>
    <col min="7181" max="7181" width="9.625" style="198" customWidth="1"/>
    <col min="7182" max="7424" width="9" style="198"/>
    <col min="7425" max="7425" width="36.375" style="198" customWidth="1"/>
    <col min="7426" max="7428" width="9.875" style="198" customWidth="1"/>
    <col min="7429" max="7429" width="15.375" style="198" customWidth="1"/>
    <col min="7430" max="7430" width="16.375" style="198" customWidth="1"/>
    <col min="7431" max="7436" width="14.375" style="198" customWidth="1"/>
    <col min="7437" max="7437" width="9.625" style="198" customWidth="1"/>
    <col min="7438" max="7680" width="9" style="198"/>
    <col min="7681" max="7681" width="36.375" style="198" customWidth="1"/>
    <col min="7682" max="7684" width="9.875" style="198" customWidth="1"/>
    <col min="7685" max="7685" width="15.375" style="198" customWidth="1"/>
    <col min="7686" max="7686" width="16.375" style="198" customWidth="1"/>
    <col min="7687" max="7692" width="14.375" style="198" customWidth="1"/>
    <col min="7693" max="7693" width="9.625" style="198" customWidth="1"/>
    <col min="7694" max="7936" width="9" style="198"/>
    <col min="7937" max="7937" width="36.375" style="198" customWidth="1"/>
    <col min="7938" max="7940" width="9.875" style="198" customWidth="1"/>
    <col min="7941" max="7941" width="15.375" style="198" customWidth="1"/>
    <col min="7942" max="7942" width="16.375" style="198" customWidth="1"/>
    <col min="7943" max="7948" width="14.375" style="198" customWidth="1"/>
    <col min="7949" max="7949" width="9.625" style="198" customWidth="1"/>
    <col min="7950" max="8192" width="9" style="198"/>
    <col min="8193" max="8193" width="36.375" style="198" customWidth="1"/>
    <col min="8194" max="8196" width="9.875" style="198" customWidth="1"/>
    <col min="8197" max="8197" width="15.375" style="198" customWidth="1"/>
    <col min="8198" max="8198" width="16.375" style="198" customWidth="1"/>
    <col min="8199" max="8204" width="14.375" style="198" customWidth="1"/>
    <col min="8205" max="8205" width="9.625" style="198" customWidth="1"/>
    <col min="8206" max="8448" width="9" style="198"/>
    <col min="8449" max="8449" width="36.375" style="198" customWidth="1"/>
    <col min="8450" max="8452" width="9.875" style="198" customWidth="1"/>
    <col min="8453" max="8453" width="15.375" style="198" customWidth="1"/>
    <col min="8454" max="8454" width="16.375" style="198" customWidth="1"/>
    <col min="8455" max="8460" width="14.375" style="198" customWidth="1"/>
    <col min="8461" max="8461" width="9.625" style="198" customWidth="1"/>
    <col min="8462" max="8704" width="9" style="198"/>
    <col min="8705" max="8705" width="36.375" style="198" customWidth="1"/>
    <col min="8706" max="8708" width="9.875" style="198" customWidth="1"/>
    <col min="8709" max="8709" width="15.375" style="198" customWidth="1"/>
    <col min="8710" max="8710" width="16.375" style="198" customWidth="1"/>
    <col min="8711" max="8716" width="14.375" style="198" customWidth="1"/>
    <col min="8717" max="8717" width="9.625" style="198" customWidth="1"/>
    <col min="8718" max="8960" width="9" style="198"/>
    <col min="8961" max="8961" width="36.375" style="198" customWidth="1"/>
    <col min="8962" max="8964" width="9.875" style="198" customWidth="1"/>
    <col min="8965" max="8965" width="15.375" style="198" customWidth="1"/>
    <col min="8966" max="8966" width="16.375" style="198" customWidth="1"/>
    <col min="8967" max="8972" width="14.375" style="198" customWidth="1"/>
    <col min="8973" max="8973" width="9.625" style="198" customWidth="1"/>
    <col min="8974" max="9216" width="9" style="198"/>
    <col min="9217" max="9217" width="36.375" style="198" customWidth="1"/>
    <col min="9218" max="9220" width="9.875" style="198" customWidth="1"/>
    <col min="9221" max="9221" width="15.375" style="198" customWidth="1"/>
    <col min="9222" max="9222" width="16.375" style="198" customWidth="1"/>
    <col min="9223" max="9228" width="14.375" style="198" customWidth="1"/>
    <col min="9229" max="9229" width="9.625" style="198" customWidth="1"/>
    <col min="9230" max="9472" width="9" style="198"/>
    <col min="9473" max="9473" width="36.375" style="198" customWidth="1"/>
    <col min="9474" max="9476" width="9.875" style="198" customWidth="1"/>
    <col min="9477" max="9477" width="15.375" style="198" customWidth="1"/>
    <col min="9478" max="9478" width="16.375" style="198" customWidth="1"/>
    <col min="9479" max="9484" width="14.375" style="198" customWidth="1"/>
    <col min="9485" max="9485" width="9.625" style="198" customWidth="1"/>
    <col min="9486" max="9728" width="9" style="198"/>
    <col min="9729" max="9729" width="36.375" style="198" customWidth="1"/>
    <col min="9730" max="9732" width="9.875" style="198" customWidth="1"/>
    <col min="9733" max="9733" width="15.375" style="198" customWidth="1"/>
    <col min="9734" max="9734" width="16.375" style="198" customWidth="1"/>
    <col min="9735" max="9740" width="14.375" style="198" customWidth="1"/>
    <col min="9741" max="9741" width="9.625" style="198" customWidth="1"/>
    <col min="9742" max="9984" width="9" style="198"/>
    <col min="9985" max="9985" width="36.375" style="198" customWidth="1"/>
    <col min="9986" max="9988" width="9.875" style="198" customWidth="1"/>
    <col min="9989" max="9989" width="15.375" style="198" customWidth="1"/>
    <col min="9990" max="9990" width="16.375" style="198" customWidth="1"/>
    <col min="9991" max="9996" width="14.375" style="198" customWidth="1"/>
    <col min="9997" max="9997" width="9.625" style="198" customWidth="1"/>
    <col min="9998" max="10240" width="9" style="198"/>
    <col min="10241" max="10241" width="36.375" style="198" customWidth="1"/>
    <col min="10242" max="10244" width="9.875" style="198" customWidth="1"/>
    <col min="10245" max="10245" width="15.375" style="198" customWidth="1"/>
    <col min="10246" max="10246" width="16.375" style="198" customWidth="1"/>
    <col min="10247" max="10252" width="14.375" style="198" customWidth="1"/>
    <col min="10253" max="10253" width="9.625" style="198" customWidth="1"/>
    <col min="10254" max="10496" width="9" style="198"/>
    <col min="10497" max="10497" width="36.375" style="198" customWidth="1"/>
    <col min="10498" max="10500" width="9.875" style="198" customWidth="1"/>
    <col min="10501" max="10501" width="15.375" style="198" customWidth="1"/>
    <col min="10502" max="10502" width="16.375" style="198" customWidth="1"/>
    <col min="10503" max="10508" width="14.375" style="198" customWidth="1"/>
    <col min="10509" max="10509" width="9.625" style="198" customWidth="1"/>
    <col min="10510" max="10752" width="9" style="198"/>
    <col min="10753" max="10753" width="36.375" style="198" customWidth="1"/>
    <col min="10754" max="10756" width="9.875" style="198" customWidth="1"/>
    <col min="10757" max="10757" width="15.375" style="198" customWidth="1"/>
    <col min="10758" max="10758" width="16.375" style="198" customWidth="1"/>
    <col min="10759" max="10764" width="14.375" style="198" customWidth="1"/>
    <col min="10765" max="10765" width="9.625" style="198" customWidth="1"/>
    <col min="10766" max="11008" width="9" style="198"/>
    <col min="11009" max="11009" width="36.375" style="198" customWidth="1"/>
    <col min="11010" max="11012" width="9.875" style="198" customWidth="1"/>
    <col min="11013" max="11013" width="15.375" style="198" customWidth="1"/>
    <col min="11014" max="11014" width="16.375" style="198" customWidth="1"/>
    <col min="11015" max="11020" width="14.375" style="198" customWidth="1"/>
    <col min="11021" max="11021" width="9.625" style="198" customWidth="1"/>
    <col min="11022" max="11264" width="9" style="198"/>
    <col min="11265" max="11265" width="36.375" style="198" customWidth="1"/>
    <col min="11266" max="11268" width="9.875" style="198" customWidth="1"/>
    <col min="11269" max="11269" width="15.375" style="198" customWidth="1"/>
    <col min="11270" max="11270" width="16.375" style="198" customWidth="1"/>
    <col min="11271" max="11276" width="14.375" style="198" customWidth="1"/>
    <col min="11277" max="11277" width="9.625" style="198" customWidth="1"/>
    <col min="11278" max="11520" width="9" style="198"/>
    <col min="11521" max="11521" width="36.375" style="198" customWidth="1"/>
    <col min="11522" max="11524" width="9.875" style="198" customWidth="1"/>
    <col min="11525" max="11525" width="15.375" style="198" customWidth="1"/>
    <col min="11526" max="11526" width="16.375" style="198" customWidth="1"/>
    <col min="11527" max="11532" width="14.375" style="198" customWidth="1"/>
    <col min="11533" max="11533" width="9.625" style="198" customWidth="1"/>
    <col min="11534" max="11776" width="9" style="198"/>
    <col min="11777" max="11777" width="36.375" style="198" customWidth="1"/>
    <col min="11778" max="11780" width="9.875" style="198" customWidth="1"/>
    <col min="11781" max="11781" width="15.375" style="198" customWidth="1"/>
    <col min="11782" max="11782" width="16.375" style="198" customWidth="1"/>
    <col min="11783" max="11788" width="14.375" style="198" customWidth="1"/>
    <col min="11789" max="11789" width="9.625" style="198" customWidth="1"/>
    <col min="11790" max="12032" width="9" style="198"/>
    <col min="12033" max="12033" width="36.375" style="198" customWidth="1"/>
    <col min="12034" max="12036" width="9.875" style="198" customWidth="1"/>
    <col min="12037" max="12037" width="15.375" style="198" customWidth="1"/>
    <col min="12038" max="12038" width="16.375" style="198" customWidth="1"/>
    <col min="12039" max="12044" width="14.375" style="198" customWidth="1"/>
    <col min="12045" max="12045" width="9.625" style="198" customWidth="1"/>
    <col min="12046" max="12288" width="9" style="198"/>
    <col min="12289" max="12289" width="36.375" style="198" customWidth="1"/>
    <col min="12290" max="12292" width="9.875" style="198" customWidth="1"/>
    <col min="12293" max="12293" width="15.375" style="198" customWidth="1"/>
    <col min="12294" max="12294" width="16.375" style="198" customWidth="1"/>
    <col min="12295" max="12300" width="14.375" style="198" customWidth="1"/>
    <col min="12301" max="12301" width="9.625" style="198" customWidth="1"/>
    <col min="12302" max="12544" width="9" style="198"/>
    <col min="12545" max="12545" width="36.375" style="198" customWidth="1"/>
    <col min="12546" max="12548" width="9.875" style="198" customWidth="1"/>
    <col min="12549" max="12549" width="15.375" style="198" customWidth="1"/>
    <col min="12550" max="12550" width="16.375" style="198" customWidth="1"/>
    <col min="12551" max="12556" width="14.375" style="198" customWidth="1"/>
    <col min="12557" max="12557" width="9.625" style="198" customWidth="1"/>
    <col min="12558" max="12800" width="9" style="198"/>
    <col min="12801" max="12801" width="36.375" style="198" customWidth="1"/>
    <col min="12802" max="12804" width="9.875" style="198" customWidth="1"/>
    <col min="12805" max="12805" width="15.375" style="198" customWidth="1"/>
    <col min="12806" max="12806" width="16.375" style="198" customWidth="1"/>
    <col min="12807" max="12812" width="14.375" style="198" customWidth="1"/>
    <col min="12813" max="12813" width="9.625" style="198" customWidth="1"/>
    <col min="12814" max="13056" width="9" style="198"/>
    <col min="13057" max="13057" width="36.375" style="198" customWidth="1"/>
    <col min="13058" max="13060" width="9.875" style="198" customWidth="1"/>
    <col min="13061" max="13061" width="15.375" style="198" customWidth="1"/>
    <col min="13062" max="13062" width="16.375" style="198" customWidth="1"/>
    <col min="13063" max="13068" width="14.375" style="198" customWidth="1"/>
    <col min="13069" max="13069" width="9.625" style="198" customWidth="1"/>
    <col min="13070" max="13312" width="9" style="198"/>
    <col min="13313" max="13313" width="36.375" style="198" customWidth="1"/>
    <col min="13314" max="13316" width="9.875" style="198" customWidth="1"/>
    <col min="13317" max="13317" width="15.375" style="198" customWidth="1"/>
    <col min="13318" max="13318" width="16.375" style="198" customWidth="1"/>
    <col min="13319" max="13324" width="14.375" style="198" customWidth="1"/>
    <col min="13325" max="13325" width="9.625" style="198" customWidth="1"/>
    <col min="13326" max="13568" width="9" style="198"/>
    <col min="13569" max="13569" width="36.375" style="198" customWidth="1"/>
    <col min="13570" max="13572" width="9.875" style="198" customWidth="1"/>
    <col min="13573" max="13573" width="15.375" style="198" customWidth="1"/>
    <col min="13574" max="13574" width="16.375" style="198" customWidth="1"/>
    <col min="13575" max="13580" width="14.375" style="198" customWidth="1"/>
    <col min="13581" max="13581" width="9.625" style="198" customWidth="1"/>
    <col min="13582" max="13824" width="9" style="198"/>
    <col min="13825" max="13825" width="36.375" style="198" customWidth="1"/>
    <col min="13826" max="13828" width="9.875" style="198" customWidth="1"/>
    <col min="13829" max="13829" width="15.375" style="198" customWidth="1"/>
    <col min="13830" max="13830" width="16.375" style="198" customWidth="1"/>
    <col min="13831" max="13836" width="14.375" style="198" customWidth="1"/>
    <col min="13837" max="13837" width="9.625" style="198" customWidth="1"/>
    <col min="13838" max="14080" width="9" style="198"/>
    <col min="14081" max="14081" width="36.375" style="198" customWidth="1"/>
    <col min="14082" max="14084" width="9.875" style="198" customWidth="1"/>
    <col min="14085" max="14085" width="15.375" style="198" customWidth="1"/>
    <col min="14086" max="14086" width="16.375" style="198" customWidth="1"/>
    <col min="14087" max="14092" width="14.375" style="198" customWidth="1"/>
    <col min="14093" max="14093" width="9.625" style="198" customWidth="1"/>
    <col min="14094" max="14336" width="9" style="198"/>
    <col min="14337" max="14337" width="36.375" style="198" customWidth="1"/>
    <col min="14338" max="14340" width="9.875" style="198" customWidth="1"/>
    <col min="14341" max="14341" width="15.375" style="198" customWidth="1"/>
    <col min="14342" max="14342" width="16.375" style="198" customWidth="1"/>
    <col min="14343" max="14348" width="14.375" style="198" customWidth="1"/>
    <col min="14349" max="14349" width="9.625" style="198" customWidth="1"/>
    <col min="14350" max="14592" width="9" style="198"/>
    <col min="14593" max="14593" width="36.375" style="198" customWidth="1"/>
    <col min="14594" max="14596" width="9.875" style="198" customWidth="1"/>
    <col min="14597" max="14597" width="15.375" style="198" customWidth="1"/>
    <col min="14598" max="14598" width="16.375" style="198" customWidth="1"/>
    <col min="14599" max="14604" width="14.375" style="198" customWidth="1"/>
    <col min="14605" max="14605" width="9.625" style="198" customWidth="1"/>
    <col min="14606" max="14848" width="9" style="198"/>
    <col min="14849" max="14849" width="36.375" style="198" customWidth="1"/>
    <col min="14850" max="14852" width="9.875" style="198" customWidth="1"/>
    <col min="14853" max="14853" width="15.375" style="198" customWidth="1"/>
    <col min="14854" max="14854" width="16.375" style="198" customWidth="1"/>
    <col min="14855" max="14860" width="14.375" style="198" customWidth="1"/>
    <col min="14861" max="14861" width="9.625" style="198" customWidth="1"/>
    <col min="14862" max="15104" width="9" style="198"/>
    <col min="15105" max="15105" width="36.375" style="198" customWidth="1"/>
    <col min="15106" max="15108" width="9.875" style="198" customWidth="1"/>
    <col min="15109" max="15109" width="15.375" style="198" customWidth="1"/>
    <col min="15110" max="15110" width="16.375" style="198" customWidth="1"/>
    <col min="15111" max="15116" width="14.375" style="198" customWidth="1"/>
    <col min="15117" max="15117" width="9.625" style="198" customWidth="1"/>
    <col min="15118" max="15360" width="9" style="198"/>
    <col min="15361" max="15361" width="36.375" style="198" customWidth="1"/>
    <col min="15362" max="15364" width="9.875" style="198" customWidth="1"/>
    <col min="15365" max="15365" width="15.375" style="198" customWidth="1"/>
    <col min="15366" max="15366" width="16.375" style="198" customWidth="1"/>
    <col min="15367" max="15372" width="14.375" style="198" customWidth="1"/>
    <col min="15373" max="15373" width="9.625" style="198" customWidth="1"/>
    <col min="15374" max="15616" width="9" style="198"/>
    <col min="15617" max="15617" width="36.375" style="198" customWidth="1"/>
    <col min="15618" max="15620" width="9.875" style="198" customWidth="1"/>
    <col min="15621" max="15621" width="15.375" style="198" customWidth="1"/>
    <col min="15622" max="15622" width="16.375" style="198" customWidth="1"/>
    <col min="15623" max="15628" width="14.375" style="198" customWidth="1"/>
    <col min="15629" max="15629" width="9.625" style="198" customWidth="1"/>
    <col min="15630" max="15872" width="9" style="198"/>
    <col min="15873" max="15873" width="36.375" style="198" customWidth="1"/>
    <col min="15874" max="15876" width="9.875" style="198" customWidth="1"/>
    <col min="15877" max="15877" width="15.375" style="198" customWidth="1"/>
    <col min="15878" max="15878" width="16.375" style="198" customWidth="1"/>
    <col min="15879" max="15884" width="14.375" style="198" customWidth="1"/>
    <col min="15885" max="15885" width="9.625" style="198" customWidth="1"/>
    <col min="15886" max="16128" width="9" style="198"/>
    <col min="16129" max="16129" width="36.375" style="198" customWidth="1"/>
    <col min="16130" max="16132" width="9.875" style="198" customWidth="1"/>
    <col min="16133" max="16133" width="15.375" style="198" customWidth="1"/>
    <col min="16134" max="16134" width="16.375" style="198" customWidth="1"/>
    <col min="16135" max="16140" width="14.375" style="198" customWidth="1"/>
    <col min="16141" max="16141" width="9.625" style="198" customWidth="1"/>
    <col min="16142" max="16384" width="9" style="198"/>
  </cols>
  <sheetData>
    <row r="1" spans="1:13" s="203" customFormat="1" ht="42.75" customHeight="1">
      <c r="A1" s="1564" t="s">
        <v>163</v>
      </c>
      <c r="B1" s="1565"/>
      <c r="C1" s="1565"/>
      <c r="D1" s="1565"/>
      <c r="E1" s="1565"/>
      <c r="F1" s="1565"/>
      <c r="G1" s="1565"/>
      <c r="H1" s="1565"/>
      <c r="I1" s="1565"/>
      <c r="J1" s="1565"/>
      <c r="K1" s="1565"/>
      <c r="L1" s="1565"/>
      <c r="M1" s="1566"/>
    </row>
    <row r="2" spans="1:13" s="203" customFormat="1" ht="21" customHeight="1">
      <c r="A2" s="200"/>
      <c r="B2" s="201"/>
      <c r="C2" s="201"/>
      <c r="D2" s="201"/>
      <c r="E2" s="201"/>
      <c r="F2" s="201"/>
      <c r="G2" s="201"/>
      <c r="H2" s="201"/>
      <c r="I2" s="201"/>
      <c r="J2" s="201"/>
      <c r="K2" s="201"/>
      <c r="L2" s="201"/>
      <c r="M2" s="202"/>
    </row>
    <row r="3" spans="1:13" s="203" customFormat="1" ht="21" customHeight="1">
      <c r="A3" s="1567" t="s">
        <v>194</v>
      </c>
      <c r="B3" s="1567" t="s">
        <v>164</v>
      </c>
      <c r="C3" s="1567" t="s">
        <v>4</v>
      </c>
      <c r="D3" s="1567" t="s">
        <v>5</v>
      </c>
      <c r="E3" s="1567" t="s">
        <v>195</v>
      </c>
      <c r="F3" s="1567"/>
      <c r="G3" s="1567" t="s">
        <v>196</v>
      </c>
      <c r="H3" s="1567"/>
      <c r="I3" s="1567" t="s">
        <v>197</v>
      </c>
      <c r="J3" s="1567"/>
      <c r="K3" s="1567" t="s">
        <v>198</v>
      </c>
      <c r="L3" s="1567"/>
      <c r="M3" s="1567" t="s">
        <v>2</v>
      </c>
    </row>
    <row r="4" spans="1:13" s="203" customFormat="1" ht="21" customHeight="1">
      <c r="A4" s="1567"/>
      <c r="B4" s="1567"/>
      <c r="C4" s="1567"/>
      <c r="D4" s="1567"/>
      <c r="E4" s="238" t="s">
        <v>165</v>
      </c>
      <c r="F4" s="238" t="s">
        <v>166</v>
      </c>
      <c r="G4" s="238" t="s">
        <v>165</v>
      </c>
      <c r="H4" s="238" t="s">
        <v>166</v>
      </c>
      <c r="I4" s="238" t="s">
        <v>165</v>
      </c>
      <c r="J4" s="238" t="s">
        <v>166</v>
      </c>
      <c r="K4" s="238" t="s">
        <v>165</v>
      </c>
      <c r="L4" s="238" t="s">
        <v>166</v>
      </c>
      <c r="M4" s="1567"/>
    </row>
    <row r="5" spans="1:13" s="203" customFormat="1" ht="21" customHeight="1">
      <c r="A5" s="204" t="s">
        <v>189</v>
      </c>
      <c r="B5" s="205"/>
      <c r="C5" s="205"/>
      <c r="D5" s="205"/>
      <c r="E5" s="205"/>
      <c r="F5" s="205"/>
      <c r="G5" s="205"/>
      <c r="H5" s="205"/>
      <c r="I5" s="205"/>
      <c r="J5" s="205"/>
      <c r="K5" s="205"/>
      <c r="L5" s="205"/>
      <c r="M5" s="205"/>
    </row>
    <row r="6" spans="1:13" s="250" customFormat="1" ht="21" customHeight="1">
      <c r="A6" s="246" t="s">
        <v>298</v>
      </c>
      <c r="B6" s="247"/>
      <c r="C6" s="238">
        <v>1</v>
      </c>
      <c r="D6" s="238" t="s">
        <v>167</v>
      </c>
      <c r="E6" s="247"/>
      <c r="F6" s="248">
        <f>'4-1.사업계획서작성'!E11</f>
        <v>77524.084649256925</v>
      </c>
      <c r="G6" s="249"/>
      <c r="H6" s="249"/>
      <c r="I6" s="249"/>
      <c r="J6" s="249"/>
      <c r="K6" s="249"/>
      <c r="L6" s="249"/>
      <c r="M6" s="249"/>
    </row>
    <row r="7" spans="1:13" s="250" customFormat="1" ht="21" customHeight="1">
      <c r="A7" s="246" t="s">
        <v>190</v>
      </c>
      <c r="B7" s="247"/>
      <c r="C7" s="238">
        <v>1</v>
      </c>
      <c r="D7" s="238" t="s">
        <v>167</v>
      </c>
      <c r="E7" s="247"/>
      <c r="F7" s="248">
        <f>'4-2.실측도'!B20</f>
        <v>418170</v>
      </c>
      <c r="G7" s="249"/>
      <c r="H7" s="249"/>
      <c r="I7" s="249"/>
      <c r="J7" s="249"/>
      <c r="K7" s="249"/>
      <c r="L7" s="249"/>
      <c r="M7" s="249"/>
    </row>
    <row r="8" spans="1:13" s="250" customFormat="1" ht="21" customHeight="1">
      <c r="A8" s="246" t="s">
        <v>191</v>
      </c>
      <c r="B8" s="247"/>
      <c r="C8" s="238">
        <v>1</v>
      </c>
      <c r="D8" s="238" t="s">
        <v>167</v>
      </c>
      <c r="E8" s="247"/>
      <c r="F8" s="248">
        <f>'4-3.산림조사서'!B30</f>
        <v>487032.85406746162</v>
      </c>
      <c r="G8" s="249"/>
      <c r="H8" s="249"/>
      <c r="I8" s="249"/>
      <c r="J8" s="249"/>
      <c r="K8" s="249"/>
      <c r="L8" s="249"/>
      <c r="M8" s="249"/>
    </row>
    <row r="9" spans="1:13" s="209" customFormat="1" ht="21" customHeight="1">
      <c r="A9" s="204"/>
      <c r="B9" s="206"/>
      <c r="C9" s="205"/>
      <c r="D9" s="205"/>
      <c r="E9" s="206"/>
      <c r="F9" s="207"/>
      <c r="G9" s="208"/>
      <c r="H9" s="208"/>
      <c r="I9" s="208"/>
      <c r="J9" s="208"/>
      <c r="K9" s="208"/>
      <c r="L9" s="208"/>
      <c r="M9" s="208"/>
    </row>
    <row r="10" spans="1:13" s="216" customFormat="1" ht="21" customHeight="1">
      <c r="A10" s="205" t="s">
        <v>330</v>
      </c>
      <c r="B10" s="251"/>
      <c r="C10" s="251"/>
      <c r="D10" s="251"/>
      <c r="E10" s="251"/>
      <c r="F10" s="212">
        <f>SUM(F6:F8)</f>
        <v>982726.93871671846</v>
      </c>
      <c r="G10" s="252"/>
      <c r="H10" s="253"/>
      <c r="I10" s="252"/>
      <c r="J10" s="252"/>
      <c r="K10" s="252"/>
      <c r="L10" s="252"/>
      <c r="M10" s="252"/>
    </row>
    <row r="11" spans="1:13" s="211" customFormat="1" ht="21" customHeight="1">
      <c r="A11" s="210"/>
      <c r="B11" s="206"/>
      <c r="C11" s="206"/>
      <c r="D11" s="206"/>
      <c r="E11" s="206"/>
      <c r="F11" s="207"/>
      <c r="G11" s="208"/>
      <c r="H11" s="208"/>
      <c r="I11" s="208"/>
      <c r="J11" s="208"/>
      <c r="K11" s="208"/>
      <c r="L11" s="208"/>
      <c r="M11" s="208"/>
    </row>
    <row r="12" spans="1:13" s="250" customFormat="1" ht="21" customHeight="1">
      <c r="A12" s="246" t="s">
        <v>192</v>
      </c>
      <c r="B12" s="247"/>
      <c r="C12" s="247"/>
      <c r="D12" s="247"/>
      <c r="E12" s="247"/>
      <c r="F12" s="248">
        <f>F10*0.1</f>
        <v>98272.693871671858</v>
      </c>
      <c r="G12" s="249"/>
      <c r="H12" s="249"/>
      <c r="I12" s="249"/>
      <c r="J12" s="249"/>
      <c r="K12" s="249"/>
      <c r="L12" s="249"/>
      <c r="M12" s="249"/>
    </row>
    <row r="13" spans="1:13" s="209" customFormat="1" ht="21" customHeight="1">
      <c r="A13" s="204"/>
      <c r="B13" s="206"/>
      <c r="C13" s="206"/>
      <c r="D13" s="206"/>
      <c r="E13" s="206"/>
      <c r="F13" s="207"/>
      <c r="G13" s="208"/>
      <c r="H13" s="208"/>
      <c r="I13" s="208"/>
      <c r="J13" s="208"/>
      <c r="K13" s="208"/>
      <c r="L13" s="208"/>
      <c r="M13" s="208"/>
    </row>
    <row r="14" spans="1:13" s="245" customFormat="1" ht="21" customHeight="1">
      <c r="A14" s="241" t="s">
        <v>193</v>
      </c>
      <c r="B14" s="242"/>
      <c r="C14" s="242"/>
      <c r="D14" s="242"/>
      <c r="E14" s="242"/>
      <c r="F14" s="243">
        <f>F10+F12</f>
        <v>1080999.6325883903</v>
      </c>
      <c r="G14" s="244"/>
      <c r="H14" s="244"/>
      <c r="I14" s="244"/>
      <c r="J14" s="244"/>
      <c r="K14" s="244"/>
      <c r="L14" s="244"/>
      <c r="M14" s="244"/>
    </row>
    <row r="17" spans="6:6">
      <c r="F17" s="199"/>
    </row>
  </sheetData>
  <mergeCells count="10">
    <mergeCell ref="A1:M1"/>
    <mergeCell ref="A3:A4"/>
    <mergeCell ref="B3:B4"/>
    <mergeCell ref="C3:C4"/>
    <mergeCell ref="D3:D4"/>
    <mergeCell ref="E3:F3"/>
    <mergeCell ref="G3:H3"/>
    <mergeCell ref="I3:J3"/>
    <mergeCell ref="K3:L3"/>
    <mergeCell ref="M3:M4"/>
  </mergeCells>
  <phoneticPr fontId="2" type="noConversion"/>
  <pageMargins left="0.70866141732283472" right="0.70866141732283472" top="0.74803149606299213" bottom="0.7480314960629921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SheetLayoutView="100" workbookViewId="0">
      <selection activeCell="I8" sqref="I8:K8"/>
    </sheetView>
  </sheetViews>
  <sheetFormatPr defaultRowHeight="13.5"/>
  <cols>
    <col min="1" max="1" width="22.125" style="203" customWidth="1"/>
    <col min="2" max="2" width="8.375" style="203" customWidth="1"/>
    <col min="3" max="3" width="8.5" style="203" customWidth="1"/>
    <col min="4" max="4" width="8" style="203" customWidth="1"/>
    <col min="5" max="5" width="13.25" style="203" customWidth="1"/>
    <col min="6" max="8" width="9" style="203"/>
    <col min="9" max="9" width="12.625" style="203" bestFit="1" customWidth="1"/>
    <col min="10" max="11" width="9" style="203"/>
    <col min="12" max="12" width="9" style="215"/>
    <col min="13" max="13" width="13.125" style="203" customWidth="1"/>
    <col min="14" max="14" width="13.25" style="203" customWidth="1"/>
    <col min="15" max="256" width="9" style="203"/>
    <col min="257" max="257" width="22.125" style="203" customWidth="1"/>
    <col min="258" max="258" width="9" style="203"/>
    <col min="259" max="259" width="8.5" style="203" customWidth="1"/>
    <col min="260" max="260" width="8" style="203" customWidth="1"/>
    <col min="261" max="261" width="13.25" style="203" customWidth="1"/>
    <col min="262" max="264" width="9" style="203"/>
    <col min="265" max="265" width="12.625" style="203" bestFit="1" customWidth="1"/>
    <col min="266" max="512" width="9" style="203"/>
    <col min="513" max="513" width="22.125" style="203" customWidth="1"/>
    <col min="514" max="514" width="9" style="203"/>
    <col min="515" max="515" width="8.5" style="203" customWidth="1"/>
    <col min="516" max="516" width="8" style="203" customWidth="1"/>
    <col min="517" max="517" width="13.25" style="203" customWidth="1"/>
    <col min="518" max="520" width="9" style="203"/>
    <col min="521" max="521" width="12.625" style="203" bestFit="1" customWidth="1"/>
    <col min="522" max="768" width="9" style="203"/>
    <col min="769" max="769" width="22.125" style="203" customWidth="1"/>
    <col min="770" max="770" width="9" style="203"/>
    <col min="771" max="771" width="8.5" style="203" customWidth="1"/>
    <col min="772" max="772" width="8" style="203" customWidth="1"/>
    <col min="773" max="773" width="13.25" style="203" customWidth="1"/>
    <col min="774" max="776" width="9" style="203"/>
    <col min="777" max="777" width="12.625" style="203" bestFit="1" customWidth="1"/>
    <col min="778" max="1024" width="9" style="203"/>
    <col min="1025" max="1025" width="22.125" style="203" customWidth="1"/>
    <col min="1026" max="1026" width="9" style="203"/>
    <col min="1027" max="1027" width="8.5" style="203" customWidth="1"/>
    <col min="1028" max="1028" width="8" style="203" customWidth="1"/>
    <col min="1029" max="1029" width="13.25" style="203" customWidth="1"/>
    <col min="1030" max="1032" width="9" style="203"/>
    <col min="1033" max="1033" width="12.625" style="203" bestFit="1" customWidth="1"/>
    <col min="1034" max="1280" width="9" style="203"/>
    <col min="1281" max="1281" width="22.125" style="203" customWidth="1"/>
    <col min="1282" max="1282" width="9" style="203"/>
    <col min="1283" max="1283" width="8.5" style="203" customWidth="1"/>
    <col min="1284" max="1284" width="8" style="203" customWidth="1"/>
    <col min="1285" max="1285" width="13.25" style="203" customWidth="1"/>
    <col min="1286" max="1288" width="9" style="203"/>
    <col min="1289" max="1289" width="12.625" style="203" bestFit="1" customWidth="1"/>
    <col min="1290" max="1536" width="9" style="203"/>
    <col min="1537" max="1537" width="22.125" style="203" customWidth="1"/>
    <col min="1538" max="1538" width="9" style="203"/>
    <col min="1539" max="1539" width="8.5" style="203" customWidth="1"/>
    <col min="1540" max="1540" width="8" style="203" customWidth="1"/>
    <col min="1541" max="1541" width="13.25" style="203" customWidth="1"/>
    <col min="1542" max="1544" width="9" style="203"/>
    <col min="1545" max="1545" width="12.625" style="203" bestFit="1" customWidth="1"/>
    <col min="1546" max="1792" width="9" style="203"/>
    <col min="1793" max="1793" width="22.125" style="203" customWidth="1"/>
    <col min="1794" max="1794" width="9" style="203"/>
    <col min="1795" max="1795" width="8.5" style="203" customWidth="1"/>
    <col min="1796" max="1796" width="8" style="203" customWidth="1"/>
    <col min="1797" max="1797" width="13.25" style="203" customWidth="1"/>
    <col min="1798" max="1800" width="9" style="203"/>
    <col min="1801" max="1801" width="12.625" style="203" bestFit="1" customWidth="1"/>
    <col min="1802" max="2048" width="9" style="203"/>
    <col min="2049" max="2049" width="22.125" style="203" customWidth="1"/>
    <col min="2050" max="2050" width="9" style="203"/>
    <col min="2051" max="2051" width="8.5" style="203" customWidth="1"/>
    <col min="2052" max="2052" width="8" style="203" customWidth="1"/>
    <col min="2053" max="2053" width="13.25" style="203" customWidth="1"/>
    <col min="2054" max="2056" width="9" style="203"/>
    <col min="2057" max="2057" width="12.625" style="203" bestFit="1" customWidth="1"/>
    <col min="2058" max="2304" width="9" style="203"/>
    <col min="2305" max="2305" width="22.125" style="203" customWidth="1"/>
    <col min="2306" max="2306" width="9" style="203"/>
    <col min="2307" max="2307" width="8.5" style="203" customWidth="1"/>
    <col min="2308" max="2308" width="8" style="203" customWidth="1"/>
    <col min="2309" max="2309" width="13.25" style="203" customWidth="1"/>
    <col min="2310" max="2312" width="9" style="203"/>
    <col min="2313" max="2313" width="12.625" style="203" bestFit="1" customWidth="1"/>
    <col min="2314" max="2560" width="9" style="203"/>
    <col min="2561" max="2561" width="22.125" style="203" customWidth="1"/>
    <col min="2562" max="2562" width="9" style="203"/>
    <col min="2563" max="2563" width="8.5" style="203" customWidth="1"/>
    <col min="2564" max="2564" width="8" style="203" customWidth="1"/>
    <col min="2565" max="2565" width="13.25" style="203" customWidth="1"/>
    <col min="2566" max="2568" width="9" style="203"/>
    <col min="2569" max="2569" width="12.625" style="203" bestFit="1" customWidth="1"/>
    <col min="2570" max="2816" width="9" style="203"/>
    <col min="2817" max="2817" width="22.125" style="203" customWidth="1"/>
    <col min="2818" max="2818" width="9" style="203"/>
    <col min="2819" max="2819" width="8.5" style="203" customWidth="1"/>
    <col min="2820" max="2820" width="8" style="203" customWidth="1"/>
    <col min="2821" max="2821" width="13.25" style="203" customWidth="1"/>
    <col min="2822" max="2824" width="9" style="203"/>
    <col min="2825" max="2825" width="12.625" style="203" bestFit="1" customWidth="1"/>
    <col min="2826" max="3072" width="9" style="203"/>
    <col min="3073" max="3073" width="22.125" style="203" customWidth="1"/>
    <col min="3074" max="3074" width="9" style="203"/>
    <col min="3075" max="3075" width="8.5" style="203" customWidth="1"/>
    <col min="3076" max="3076" width="8" style="203" customWidth="1"/>
    <col min="3077" max="3077" width="13.25" style="203" customWidth="1"/>
    <col min="3078" max="3080" width="9" style="203"/>
    <col min="3081" max="3081" width="12.625" style="203" bestFit="1" customWidth="1"/>
    <col min="3082" max="3328" width="9" style="203"/>
    <col min="3329" max="3329" width="22.125" style="203" customWidth="1"/>
    <col min="3330" max="3330" width="9" style="203"/>
    <col min="3331" max="3331" width="8.5" style="203" customWidth="1"/>
    <col min="3332" max="3332" width="8" style="203" customWidth="1"/>
    <col min="3333" max="3333" width="13.25" style="203" customWidth="1"/>
    <col min="3334" max="3336" width="9" style="203"/>
    <col min="3337" max="3337" width="12.625" style="203" bestFit="1" customWidth="1"/>
    <col min="3338" max="3584" width="9" style="203"/>
    <col min="3585" max="3585" width="22.125" style="203" customWidth="1"/>
    <col min="3586" max="3586" width="9" style="203"/>
    <col min="3587" max="3587" width="8.5" style="203" customWidth="1"/>
    <col min="3588" max="3588" width="8" style="203" customWidth="1"/>
    <col min="3589" max="3589" width="13.25" style="203" customWidth="1"/>
    <col min="3590" max="3592" width="9" style="203"/>
    <col min="3593" max="3593" width="12.625" style="203" bestFit="1" customWidth="1"/>
    <col min="3594" max="3840" width="9" style="203"/>
    <col min="3841" max="3841" width="22.125" style="203" customWidth="1"/>
    <col min="3842" max="3842" width="9" style="203"/>
    <col min="3843" max="3843" width="8.5" style="203" customWidth="1"/>
    <col min="3844" max="3844" width="8" style="203" customWidth="1"/>
    <col min="3845" max="3845" width="13.25" style="203" customWidth="1"/>
    <col min="3846" max="3848" width="9" style="203"/>
    <col min="3849" max="3849" width="12.625" style="203" bestFit="1" customWidth="1"/>
    <col min="3850" max="4096" width="9" style="203"/>
    <col min="4097" max="4097" width="22.125" style="203" customWidth="1"/>
    <col min="4098" max="4098" width="9" style="203"/>
    <col min="4099" max="4099" width="8.5" style="203" customWidth="1"/>
    <col min="4100" max="4100" width="8" style="203" customWidth="1"/>
    <col min="4101" max="4101" width="13.25" style="203" customWidth="1"/>
    <col min="4102" max="4104" width="9" style="203"/>
    <col min="4105" max="4105" width="12.625" style="203" bestFit="1" customWidth="1"/>
    <col min="4106" max="4352" width="9" style="203"/>
    <col min="4353" max="4353" width="22.125" style="203" customWidth="1"/>
    <col min="4354" max="4354" width="9" style="203"/>
    <col min="4355" max="4355" width="8.5" style="203" customWidth="1"/>
    <col min="4356" max="4356" width="8" style="203" customWidth="1"/>
    <col min="4357" max="4357" width="13.25" style="203" customWidth="1"/>
    <col min="4358" max="4360" width="9" style="203"/>
    <col min="4361" max="4361" width="12.625" style="203" bestFit="1" customWidth="1"/>
    <col min="4362" max="4608" width="9" style="203"/>
    <col min="4609" max="4609" width="22.125" style="203" customWidth="1"/>
    <col min="4610" max="4610" width="9" style="203"/>
    <col min="4611" max="4611" width="8.5" style="203" customWidth="1"/>
    <col min="4612" max="4612" width="8" style="203" customWidth="1"/>
    <col min="4613" max="4613" width="13.25" style="203" customWidth="1"/>
    <col min="4614" max="4616" width="9" style="203"/>
    <col min="4617" max="4617" width="12.625" style="203" bestFit="1" customWidth="1"/>
    <col min="4618" max="4864" width="9" style="203"/>
    <col min="4865" max="4865" width="22.125" style="203" customWidth="1"/>
    <col min="4866" max="4866" width="9" style="203"/>
    <col min="4867" max="4867" width="8.5" style="203" customWidth="1"/>
    <col min="4868" max="4868" width="8" style="203" customWidth="1"/>
    <col min="4869" max="4869" width="13.25" style="203" customWidth="1"/>
    <col min="4870" max="4872" width="9" style="203"/>
    <col min="4873" max="4873" width="12.625" style="203" bestFit="1" customWidth="1"/>
    <col min="4874" max="5120" width="9" style="203"/>
    <col min="5121" max="5121" width="22.125" style="203" customWidth="1"/>
    <col min="5122" max="5122" width="9" style="203"/>
    <col min="5123" max="5123" width="8.5" style="203" customWidth="1"/>
    <col min="5124" max="5124" width="8" style="203" customWidth="1"/>
    <col min="5125" max="5125" width="13.25" style="203" customWidth="1"/>
    <col min="5126" max="5128" width="9" style="203"/>
    <col min="5129" max="5129" width="12.625" style="203" bestFit="1" customWidth="1"/>
    <col min="5130" max="5376" width="9" style="203"/>
    <col min="5377" max="5377" width="22.125" style="203" customWidth="1"/>
    <col min="5378" max="5378" width="9" style="203"/>
    <col min="5379" max="5379" width="8.5" style="203" customWidth="1"/>
    <col min="5380" max="5380" width="8" style="203" customWidth="1"/>
    <col min="5381" max="5381" width="13.25" style="203" customWidth="1"/>
    <col min="5382" max="5384" width="9" style="203"/>
    <col min="5385" max="5385" width="12.625" style="203" bestFit="1" customWidth="1"/>
    <col min="5386" max="5632" width="9" style="203"/>
    <col min="5633" max="5633" width="22.125" style="203" customWidth="1"/>
    <col min="5634" max="5634" width="9" style="203"/>
    <col min="5635" max="5635" width="8.5" style="203" customWidth="1"/>
    <col min="5636" max="5636" width="8" style="203" customWidth="1"/>
    <col min="5637" max="5637" width="13.25" style="203" customWidth="1"/>
    <col min="5638" max="5640" width="9" style="203"/>
    <col min="5641" max="5641" width="12.625" style="203" bestFit="1" customWidth="1"/>
    <col min="5642" max="5888" width="9" style="203"/>
    <col min="5889" max="5889" width="22.125" style="203" customWidth="1"/>
    <col min="5890" max="5890" width="9" style="203"/>
    <col min="5891" max="5891" width="8.5" style="203" customWidth="1"/>
    <col min="5892" max="5892" width="8" style="203" customWidth="1"/>
    <col min="5893" max="5893" width="13.25" style="203" customWidth="1"/>
    <col min="5894" max="5896" width="9" style="203"/>
    <col min="5897" max="5897" width="12.625" style="203" bestFit="1" customWidth="1"/>
    <col min="5898" max="6144" width="9" style="203"/>
    <col min="6145" max="6145" width="22.125" style="203" customWidth="1"/>
    <col min="6146" max="6146" width="9" style="203"/>
    <col min="6147" max="6147" width="8.5" style="203" customWidth="1"/>
    <col min="6148" max="6148" width="8" style="203" customWidth="1"/>
    <col min="6149" max="6149" width="13.25" style="203" customWidth="1"/>
    <col min="6150" max="6152" width="9" style="203"/>
    <col min="6153" max="6153" width="12.625" style="203" bestFit="1" customWidth="1"/>
    <col min="6154" max="6400" width="9" style="203"/>
    <col min="6401" max="6401" width="22.125" style="203" customWidth="1"/>
    <col min="6402" max="6402" width="9" style="203"/>
    <col min="6403" max="6403" width="8.5" style="203" customWidth="1"/>
    <col min="6404" max="6404" width="8" style="203" customWidth="1"/>
    <col min="6405" max="6405" width="13.25" style="203" customWidth="1"/>
    <col min="6406" max="6408" width="9" style="203"/>
    <col min="6409" max="6409" width="12.625" style="203" bestFit="1" customWidth="1"/>
    <col min="6410" max="6656" width="9" style="203"/>
    <col min="6657" max="6657" width="22.125" style="203" customWidth="1"/>
    <col min="6658" max="6658" width="9" style="203"/>
    <col min="6659" max="6659" width="8.5" style="203" customWidth="1"/>
    <col min="6660" max="6660" width="8" style="203" customWidth="1"/>
    <col min="6661" max="6661" width="13.25" style="203" customWidth="1"/>
    <col min="6662" max="6664" width="9" style="203"/>
    <col min="6665" max="6665" width="12.625" style="203" bestFit="1" customWidth="1"/>
    <col min="6666" max="6912" width="9" style="203"/>
    <col min="6913" max="6913" width="22.125" style="203" customWidth="1"/>
    <col min="6914" max="6914" width="9" style="203"/>
    <col min="6915" max="6915" width="8.5" style="203" customWidth="1"/>
    <col min="6916" max="6916" width="8" style="203" customWidth="1"/>
    <col min="6917" max="6917" width="13.25" style="203" customWidth="1"/>
    <col min="6918" max="6920" width="9" style="203"/>
    <col min="6921" max="6921" width="12.625" style="203" bestFit="1" customWidth="1"/>
    <col min="6922" max="7168" width="9" style="203"/>
    <col min="7169" max="7169" width="22.125" style="203" customWidth="1"/>
    <col min="7170" max="7170" width="9" style="203"/>
    <col min="7171" max="7171" width="8.5" style="203" customWidth="1"/>
    <col min="7172" max="7172" width="8" style="203" customWidth="1"/>
    <col min="7173" max="7173" width="13.25" style="203" customWidth="1"/>
    <col min="7174" max="7176" width="9" style="203"/>
    <col min="7177" max="7177" width="12.625" style="203" bestFit="1" customWidth="1"/>
    <col min="7178" max="7424" width="9" style="203"/>
    <col min="7425" max="7425" width="22.125" style="203" customWidth="1"/>
    <col min="7426" max="7426" width="9" style="203"/>
    <col min="7427" max="7427" width="8.5" style="203" customWidth="1"/>
    <col min="7428" max="7428" width="8" style="203" customWidth="1"/>
    <col min="7429" max="7429" width="13.25" style="203" customWidth="1"/>
    <col min="7430" max="7432" width="9" style="203"/>
    <col min="7433" max="7433" width="12.625" style="203" bestFit="1" customWidth="1"/>
    <col min="7434" max="7680" width="9" style="203"/>
    <col min="7681" max="7681" width="22.125" style="203" customWidth="1"/>
    <col min="7682" max="7682" width="9" style="203"/>
    <col min="7683" max="7683" width="8.5" style="203" customWidth="1"/>
    <col min="7684" max="7684" width="8" style="203" customWidth="1"/>
    <col min="7685" max="7685" width="13.25" style="203" customWidth="1"/>
    <col min="7686" max="7688" width="9" style="203"/>
    <col min="7689" max="7689" width="12.625" style="203" bestFit="1" customWidth="1"/>
    <col min="7690" max="7936" width="9" style="203"/>
    <col min="7937" max="7937" width="22.125" style="203" customWidth="1"/>
    <col min="7938" max="7938" width="9" style="203"/>
    <col min="7939" max="7939" width="8.5" style="203" customWidth="1"/>
    <col min="7940" max="7940" width="8" style="203" customWidth="1"/>
    <col min="7941" max="7941" width="13.25" style="203" customWidth="1"/>
    <col min="7942" max="7944" width="9" style="203"/>
    <col min="7945" max="7945" width="12.625" style="203" bestFit="1" customWidth="1"/>
    <col min="7946" max="8192" width="9" style="203"/>
    <col min="8193" max="8193" width="22.125" style="203" customWidth="1"/>
    <col min="8194" max="8194" width="9" style="203"/>
    <col min="8195" max="8195" width="8.5" style="203" customWidth="1"/>
    <col min="8196" max="8196" width="8" style="203" customWidth="1"/>
    <col min="8197" max="8197" width="13.25" style="203" customWidth="1"/>
    <col min="8198" max="8200" width="9" style="203"/>
    <col min="8201" max="8201" width="12.625" style="203" bestFit="1" customWidth="1"/>
    <col min="8202" max="8448" width="9" style="203"/>
    <col min="8449" max="8449" width="22.125" style="203" customWidth="1"/>
    <col min="8450" max="8450" width="9" style="203"/>
    <col min="8451" max="8451" width="8.5" style="203" customWidth="1"/>
    <col min="8452" max="8452" width="8" style="203" customWidth="1"/>
    <col min="8453" max="8453" width="13.25" style="203" customWidth="1"/>
    <col min="8454" max="8456" width="9" style="203"/>
    <col min="8457" max="8457" width="12.625" style="203" bestFit="1" customWidth="1"/>
    <col min="8458" max="8704" width="9" style="203"/>
    <col min="8705" max="8705" width="22.125" style="203" customWidth="1"/>
    <col min="8706" max="8706" width="9" style="203"/>
    <col min="8707" max="8707" width="8.5" style="203" customWidth="1"/>
    <col min="8708" max="8708" width="8" style="203" customWidth="1"/>
    <col min="8709" max="8709" width="13.25" style="203" customWidth="1"/>
    <col min="8710" max="8712" width="9" style="203"/>
    <col min="8713" max="8713" width="12.625" style="203" bestFit="1" customWidth="1"/>
    <col min="8714" max="8960" width="9" style="203"/>
    <col min="8961" max="8961" width="22.125" style="203" customWidth="1"/>
    <col min="8962" max="8962" width="9" style="203"/>
    <col min="8963" max="8963" width="8.5" style="203" customWidth="1"/>
    <col min="8964" max="8964" width="8" style="203" customWidth="1"/>
    <col min="8965" max="8965" width="13.25" style="203" customWidth="1"/>
    <col min="8966" max="8968" width="9" style="203"/>
    <col min="8969" max="8969" width="12.625" style="203" bestFit="1" customWidth="1"/>
    <col min="8970" max="9216" width="9" style="203"/>
    <col min="9217" max="9217" width="22.125" style="203" customWidth="1"/>
    <col min="9218" max="9218" width="9" style="203"/>
    <col min="9219" max="9219" width="8.5" style="203" customWidth="1"/>
    <col min="9220" max="9220" width="8" style="203" customWidth="1"/>
    <col min="9221" max="9221" width="13.25" style="203" customWidth="1"/>
    <col min="9222" max="9224" width="9" style="203"/>
    <col min="9225" max="9225" width="12.625" style="203" bestFit="1" customWidth="1"/>
    <col min="9226" max="9472" width="9" style="203"/>
    <col min="9473" max="9473" width="22.125" style="203" customWidth="1"/>
    <col min="9474" max="9474" width="9" style="203"/>
    <col min="9475" max="9475" width="8.5" style="203" customWidth="1"/>
    <col min="9476" max="9476" width="8" style="203" customWidth="1"/>
    <col min="9477" max="9477" width="13.25" style="203" customWidth="1"/>
    <col min="9478" max="9480" width="9" style="203"/>
    <col min="9481" max="9481" width="12.625" style="203" bestFit="1" customWidth="1"/>
    <col min="9482" max="9728" width="9" style="203"/>
    <col min="9729" max="9729" width="22.125" style="203" customWidth="1"/>
    <col min="9730" max="9730" width="9" style="203"/>
    <col min="9731" max="9731" width="8.5" style="203" customWidth="1"/>
    <col min="9732" max="9732" width="8" style="203" customWidth="1"/>
    <col min="9733" max="9733" width="13.25" style="203" customWidth="1"/>
    <col min="9734" max="9736" width="9" style="203"/>
    <col min="9737" max="9737" width="12.625" style="203" bestFit="1" customWidth="1"/>
    <col min="9738" max="9984" width="9" style="203"/>
    <col min="9985" max="9985" width="22.125" style="203" customWidth="1"/>
    <col min="9986" max="9986" width="9" style="203"/>
    <col min="9987" max="9987" width="8.5" style="203" customWidth="1"/>
    <col min="9988" max="9988" width="8" style="203" customWidth="1"/>
    <col min="9989" max="9989" width="13.25" style="203" customWidth="1"/>
    <col min="9990" max="9992" width="9" style="203"/>
    <col min="9993" max="9993" width="12.625" style="203" bestFit="1" customWidth="1"/>
    <col min="9994" max="10240" width="9" style="203"/>
    <col min="10241" max="10241" width="22.125" style="203" customWidth="1"/>
    <col min="10242" max="10242" width="9" style="203"/>
    <col min="10243" max="10243" width="8.5" style="203" customWidth="1"/>
    <col min="10244" max="10244" width="8" style="203" customWidth="1"/>
    <col min="10245" max="10245" width="13.25" style="203" customWidth="1"/>
    <col min="10246" max="10248" width="9" style="203"/>
    <col min="10249" max="10249" width="12.625" style="203" bestFit="1" customWidth="1"/>
    <col min="10250" max="10496" width="9" style="203"/>
    <col min="10497" max="10497" width="22.125" style="203" customWidth="1"/>
    <col min="10498" max="10498" width="9" style="203"/>
    <col min="10499" max="10499" width="8.5" style="203" customWidth="1"/>
    <col min="10500" max="10500" width="8" style="203" customWidth="1"/>
    <col min="10501" max="10501" width="13.25" style="203" customWidth="1"/>
    <col min="10502" max="10504" width="9" style="203"/>
    <col min="10505" max="10505" width="12.625" style="203" bestFit="1" customWidth="1"/>
    <col min="10506" max="10752" width="9" style="203"/>
    <col min="10753" max="10753" width="22.125" style="203" customWidth="1"/>
    <col min="10754" max="10754" width="9" style="203"/>
    <col min="10755" max="10755" width="8.5" style="203" customWidth="1"/>
    <col min="10756" max="10756" width="8" style="203" customWidth="1"/>
    <col min="10757" max="10757" width="13.25" style="203" customWidth="1"/>
    <col min="10758" max="10760" width="9" style="203"/>
    <col min="10761" max="10761" width="12.625" style="203" bestFit="1" customWidth="1"/>
    <col min="10762" max="11008" width="9" style="203"/>
    <col min="11009" max="11009" width="22.125" style="203" customWidth="1"/>
    <col min="11010" max="11010" width="9" style="203"/>
    <col min="11011" max="11011" width="8.5" style="203" customWidth="1"/>
    <col min="11012" max="11012" width="8" style="203" customWidth="1"/>
    <col min="11013" max="11013" width="13.25" style="203" customWidth="1"/>
    <col min="11014" max="11016" width="9" style="203"/>
    <col min="11017" max="11017" width="12.625" style="203" bestFit="1" customWidth="1"/>
    <col min="11018" max="11264" width="9" style="203"/>
    <col min="11265" max="11265" width="22.125" style="203" customWidth="1"/>
    <col min="11266" max="11266" width="9" style="203"/>
    <col min="11267" max="11267" width="8.5" style="203" customWidth="1"/>
    <col min="11268" max="11268" width="8" style="203" customWidth="1"/>
    <col min="11269" max="11269" width="13.25" style="203" customWidth="1"/>
    <col min="11270" max="11272" width="9" style="203"/>
    <col min="11273" max="11273" width="12.625" style="203" bestFit="1" customWidth="1"/>
    <col min="11274" max="11520" width="9" style="203"/>
    <col min="11521" max="11521" width="22.125" style="203" customWidth="1"/>
    <col min="11522" max="11522" width="9" style="203"/>
    <col min="11523" max="11523" width="8.5" style="203" customWidth="1"/>
    <col min="11524" max="11524" width="8" style="203" customWidth="1"/>
    <col min="11525" max="11525" width="13.25" style="203" customWidth="1"/>
    <col min="11526" max="11528" width="9" style="203"/>
    <col min="11529" max="11529" width="12.625" style="203" bestFit="1" customWidth="1"/>
    <col min="11530" max="11776" width="9" style="203"/>
    <col min="11777" max="11777" width="22.125" style="203" customWidth="1"/>
    <col min="11778" max="11778" width="9" style="203"/>
    <col min="11779" max="11779" width="8.5" style="203" customWidth="1"/>
    <col min="11780" max="11780" width="8" style="203" customWidth="1"/>
    <col min="11781" max="11781" width="13.25" style="203" customWidth="1"/>
    <col min="11782" max="11784" width="9" style="203"/>
    <col min="11785" max="11785" width="12.625" style="203" bestFit="1" customWidth="1"/>
    <col min="11786" max="12032" width="9" style="203"/>
    <col min="12033" max="12033" width="22.125" style="203" customWidth="1"/>
    <col min="12034" max="12034" width="9" style="203"/>
    <col min="12035" max="12035" width="8.5" style="203" customWidth="1"/>
    <col min="12036" max="12036" width="8" style="203" customWidth="1"/>
    <col min="12037" max="12037" width="13.25" style="203" customWidth="1"/>
    <col min="12038" max="12040" width="9" style="203"/>
    <col min="12041" max="12041" width="12.625" style="203" bestFit="1" customWidth="1"/>
    <col min="12042" max="12288" width="9" style="203"/>
    <col min="12289" max="12289" width="22.125" style="203" customWidth="1"/>
    <col min="12290" max="12290" width="9" style="203"/>
    <col min="12291" max="12291" width="8.5" style="203" customWidth="1"/>
    <col min="12292" max="12292" width="8" style="203" customWidth="1"/>
    <col min="12293" max="12293" width="13.25" style="203" customWidth="1"/>
    <col min="12294" max="12296" width="9" style="203"/>
    <col min="12297" max="12297" width="12.625" style="203" bestFit="1" customWidth="1"/>
    <col min="12298" max="12544" width="9" style="203"/>
    <col min="12545" max="12545" width="22.125" style="203" customWidth="1"/>
    <col min="12546" max="12546" width="9" style="203"/>
    <col min="12547" max="12547" width="8.5" style="203" customWidth="1"/>
    <col min="12548" max="12548" width="8" style="203" customWidth="1"/>
    <col min="12549" max="12549" width="13.25" style="203" customWidth="1"/>
    <col min="12550" max="12552" width="9" style="203"/>
    <col min="12553" max="12553" width="12.625" style="203" bestFit="1" customWidth="1"/>
    <col min="12554" max="12800" width="9" style="203"/>
    <col min="12801" max="12801" width="22.125" style="203" customWidth="1"/>
    <col min="12802" max="12802" width="9" style="203"/>
    <col min="12803" max="12803" width="8.5" style="203" customWidth="1"/>
    <col min="12804" max="12804" width="8" style="203" customWidth="1"/>
    <col min="12805" max="12805" width="13.25" style="203" customWidth="1"/>
    <col min="12806" max="12808" width="9" style="203"/>
    <col min="12809" max="12809" width="12.625" style="203" bestFit="1" customWidth="1"/>
    <col min="12810" max="13056" width="9" style="203"/>
    <col min="13057" max="13057" width="22.125" style="203" customWidth="1"/>
    <col min="13058" max="13058" width="9" style="203"/>
    <col min="13059" max="13059" width="8.5" style="203" customWidth="1"/>
    <col min="13060" max="13060" width="8" style="203" customWidth="1"/>
    <col min="13061" max="13061" width="13.25" style="203" customWidth="1"/>
    <col min="13062" max="13064" width="9" style="203"/>
    <col min="13065" max="13065" width="12.625" style="203" bestFit="1" customWidth="1"/>
    <col min="13066" max="13312" width="9" style="203"/>
    <col min="13313" max="13313" width="22.125" style="203" customWidth="1"/>
    <col min="13314" max="13314" width="9" style="203"/>
    <col min="13315" max="13315" width="8.5" style="203" customWidth="1"/>
    <col min="13316" max="13316" width="8" style="203" customWidth="1"/>
    <col min="13317" max="13317" width="13.25" style="203" customWidth="1"/>
    <col min="13318" max="13320" width="9" style="203"/>
    <col min="13321" max="13321" width="12.625" style="203" bestFit="1" customWidth="1"/>
    <col min="13322" max="13568" width="9" style="203"/>
    <col min="13569" max="13569" width="22.125" style="203" customWidth="1"/>
    <col min="13570" max="13570" width="9" style="203"/>
    <col min="13571" max="13571" width="8.5" style="203" customWidth="1"/>
    <col min="13572" max="13572" width="8" style="203" customWidth="1"/>
    <col min="13573" max="13573" width="13.25" style="203" customWidth="1"/>
    <col min="13574" max="13576" width="9" style="203"/>
    <col min="13577" max="13577" width="12.625" style="203" bestFit="1" customWidth="1"/>
    <col min="13578" max="13824" width="9" style="203"/>
    <col min="13825" max="13825" width="22.125" style="203" customWidth="1"/>
    <col min="13826" max="13826" width="9" style="203"/>
    <col min="13827" max="13827" width="8.5" style="203" customWidth="1"/>
    <col min="13828" max="13828" width="8" style="203" customWidth="1"/>
    <col min="13829" max="13829" width="13.25" style="203" customWidth="1"/>
    <col min="13830" max="13832" width="9" style="203"/>
    <col min="13833" max="13833" width="12.625" style="203" bestFit="1" customWidth="1"/>
    <col min="13834" max="14080" width="9" style="203"/>
    <col min="14081" max="14081" width="22.125" style="203" customWidth="1"/>
    <col min="14082" max="14082" width="9" style="203"/>
    <col min="14083" max="14083" width="8.5" style="203" customWidth="1"/>
    <col min="14084" max="14084" width="8" style="203" customWidth="1"/>
    <col min="14085" max="14085" width="13.25" style="203" customWidth="1"/>
    <col min="14086" max="14088" width="9" style="203"/>
    <col min="14089" max="14089" width="12.625" style="203" bestFit="1" customWidth="1"/>
    <col min="14090" max="14336" width="9" style="203"/>
    <col min="14337" max="14337" width="22.125" style="203" customWidth="1"/>
    <col min="14338" max="14338" width="9" style="203"/>
    <col min="14339" max="14339" width="8.5" style="203" customWidth="1"/>
    <col min="14340" max="14340" width="8" style="203" customWidth="1"/>
    <col min="14341" max="14341" width="13.25" style="203" customWidth="1"/>
    <col min="14342" max="14344" width="9" style="203"/>
    <col min="14345" max="14345" width="12.625" style="203" bestFit="1" customWidth="1"/>
    <col min="14346" max="14592" width="9" style="203"/>
    <col min="14593" max="14593" width="22.125" style="203" customWidth="1"/>
    <col min="14594" max="14594" width="9" style="203"/>
    <col min="14595" max="14595" width="8.5" style="203" customWidth="1"/>
    <col min="14596" max="14596" width="8" style="203" customWidth="1"/>
    <col min="14597" max="14597" width="13.25" style="203" customWidth="1"/>
    <col min="14598" max="14600" width="9" style="203"/>
    <col min="14601" max="14601" width="12.625" style="203" bestFit="1" customWidth="1"/>
    <col min="14602" max="14848" width="9" style="203"/>
    <col min="14849" max="14849" width="22.125" style="203" customWidth="1"/>
    <col min="14850" max="14850" width="9" style="203"/>
    <col min="14851" max="14851" width="8.5" style="203" customWidth="1"/>
    <col min="14852" max="14852" width="8" style="203" customWidth="1"/>
    <col min="14853" max="14853" width="13.25" style="203" customWidth="1"/>
    <col min="14854" max="14856" width="9" style="203"/>
    <col min="14857" max="14857" width="12.625" style="203" bestFit="1" customWidth="1"/>
    <col min="14858" max="15104" width="9" style="203"/>
    <col min="15105" max="15105" width="22.125" style="203" customWidth="1"/>
    <col min="15106" max="15106" width="9" style="203"/>
    <col min="15107" max="15107" width="8.5" style="203" customWidth="1"/>
    <col min="15108" max="15108" width="8" style="203" customWidth="1"/>
    <col min="15109" max="15109" width="13.25" style="203" customWidth="1"/>
    <col min="15110" max="15112" width="9" style="203"/>
    <col min="15113" max="15113" width="12.625" style="203" bestFit="1" customWidth="1"/>
    <col min="15114" max="15360" width="9" style="203"/>
    <col min="15361" max="15361" width="22.125" style="203" customWidth="1"/>
    <col min="15362" max="15362" width="9" style="203"/>
    <col min="15363" max="15363" width="8.5" style="203" customWidth="1"/>
    <col min="15364" max="15364" width="8" style="203" customWidth="1"/>
    <col min="15365" max="15365" width="13.25" style="203" customWidth="1"/>
    <col min="15366" max="15368" width="9" style="203"/>
    <col min="15369" max="15369" width="12.625" style="203" bestFit="1" customWidth="1"/>
    <col min="15370" max="15616" width="9" style="203"/>
    <col min="15617" max="15617" width="22.125" style="203" customWidth="1"/>
    <col min="15618" max="15618" width="9" style="203"/>
    <col min="15619" max="15619" width="8.5" style="203" customWidth="1"/>
    <col min="15620" max="15620" width="8" style="203" customWidth="1"/>
    <col min="15621" max="15621" width="13.25" style="203" customWidth="1"/>
    <col min="15622" max="15624" width="9" style="203"/>
    <col min="15625" max="15625" width="12.625" style="203" bestFit="1" customWidth="1"/>
    <col min="15626" max="15872" width="9" style="203"/>
    <col min="15873" max="15873" width="22.125" style="203" customWidth="1"/>
    <col min="15874" max="15874" width="9" style="203"/>
    <col min="15875" max="15875" width="8.5" style="203" customWidth="1"/>
    <col min="15876" max="15876" width="8" style="203" customWidth="1"/>
    <col min="15877" max="15877" width="13.25" style="203" customWidth="1"/>
    <col min="15878" max="15880" width="9" style="203"/>
    <col min="15881" max="15881" width="12.625" style="203" bestFit="1" customWidth="1"/>
    <col min="15882" max="16128" width="9" style="203"/>
    <col min="16129" max="16129" width="22.125" style="203" customWidth="1"/>
    <col min="16130" max="16130" width="9" style="203"/>
    <col min="16131" max="16131" width="8.5" style="203" customWidth="1"/>
    <col min="16132" max="16132" width="8" style="203" customWidth="1"/>
    <col min="16133" max="16133" width="13.25" style="203" customWidth="1"/>
    <col min="16134" max="16136" width="9" style="203"/>
    <col min="16137" max="16137" width="12.625" style="203" bestFit="1" customWidth="1"/>
    <col min="16138" max="16384" width="9" style="203"/>
  </cols>
  <sheetData>
    <row r="1" spans="1:15" ht="9" customHeight="1"/>
    <row r="2" spans="1:15" ht="30.75" customHeight="1">
      <c r="A2" s="1571" t="s">
        <v>331</v>
      </c>
      <c r="B2" s="1571"/>
      <c r="C2" s="1571"/>
      <c r="D2" s="1571"/>
      <c r="E2" s="1571"/>
      <c r="F2" s="1571"/>
      <c r="G2" s="1571"/>
      <c r="H2" s="1571"/>
      <c r="I2" s="1571"/>
      <c r="J2" s="1571"/>
      <c r="K2" s="1571"/>
      <c r="L2" s="1571"/>
    </row>
    <row r="3" spans="1:15" ht="21" customHeight="1">
      <c r="A3" s="216" t="s">
        <v>764</v>
      </c>
    </row>
    <row r="5" spans="1:15" ht="24.95" customHeight="1">
      <c r="A5" s="1570" t="s">
        <v>168</v>
      </c>
      <c r="B5" s="1570" t="s">
        <v>164</v>
      </c>
      <c r="C5" s="1570" t="s">
        <v>5</v>
      </c>
      <c r="D5" s="1570" t="s">
        <v>4</v>
      </c>
      <c r="E5" s="1570" t="s">
        <v>169</v>
      </c>
      <c r="F5" s="1570" t="s">
        <v>170</v>
      </c>
      <c r="G5" s="1570"/>
      <c r="H5" s="1570" t="s">
        <v>91</v>
      </c>
      <c r="I5" s="1570"/>
      <c r="J5" s="1570" t="s">
        <v>88</v>
      </c>
      <c r="K5" s="1570"/>
      <c r="L5" s="1570" t="s">
        <v>2</v>
      </c>
    </row>
    <row r="6" spans="1:15" ht="24.95" customHeight="1">
      <c r="A6" s="1570"/>
      <c r="B6" s="1570"/>
      <c r="C6" s="1570"/>
      <c r="D6" s="1570"/>
      <c r="E6" s="1570"/>
      <c r="F6" s="637" t="s">
        <v>165</v>
      </c>
      <c r="G6" s="637" t="s">
        <v>166</v>
      </c>
      <c r="H6" s="637" t="s">
        <v>165</v>
      </c>
      <c r="I6" s="637" t="s">
        <v>166</v>
      </c>
      <c r="J6" s="637" t="s">
        <v>165</v>
      </c>
      <c r="K6" s="637" t="s">
        <v>166</v>
      </c>
      <c r="L6" s="1570"/>
    </row>
    <row r="7" spans="1:15" ht="20.100000000000001" customHeight="1">
      <c r="A7" s="1572" t="s">
        <v>765</v>
      </c>
      <c r="B7" s="1572"/>
      <c r="C7" s="1572"/>
      <c r="D7" s="1572"/>
      <c r="E7" s="1572"/>
      <c r="F7" s="223"/>
      <c r="G7" s="223"/>
      <c r="H7" s="223"/>
      <c r="I7" s="223"/>
      <c r="J7" s="223"/>
      <c r="K7" s="223"/>
      <c r="L7" s="222"/>
    </row>
    <row r="8" spans="1:15" ht="20.100000000000001" customHeight="1">
      <c r="A8" s="1568" t="s">
        <v>171</v>
      </c>
      <c r="B8" s="1568"/>
      <c r="C8" s="1568"/>
      <c r="D8" s="1568"/>
      <c r="E8" s="638">
        <f>E23</f>
        <v>31080.985971927352</v>
      </c>
      <c r="F8" s="223"/>
      <c r="G8" s="223"/>
      <c r="H8" s="223"/>
      <c r="I8" s="638">
        <f>I23</f>
        <v>31080.985971927352</v>
      </c>
      <c r="J8" s="223"/>
      <c r="K8" s="223"/>
      <c r="L8" s="222" t="s">
        <v>766</v>
      </c>
    </row>
    <row r="9" spans="1:15" ht="20.100000000000001" customHeight="1">
      <c r="A9" s="1568" t="s">
        <v>767</v>
      </c>
      <c r="B9" s="1568"/>
      <c r="C9" s="1568"/>
      <c r="D9" s="1568"/>
      <c r="E9" s="638">
        <f>E8*1.1</f>
        <v>34189.084569120088</v>
      </c>
      <c r="F9" s="223"/>
      <c r="G9" s="223"/>
      <c r="H9" s="223"/>
      <c r="I9" s="223"/>
      <c r="J9" s="223"/>
      <c r="K9" s="223"/>
      <c r="L9" s="222"/>
    </row>
    <row r="10" spans="1:15" ht="20.100000000000001" customHeight="1">
      <c r="A10" s="1568" t="s">
        <v>768</v>
      </c>
      <c r="B10" s="1568"/>
      <c r="C10" s="1568"/>
      <c r="D10" s="1568"/>
      <c r="E10" s="638">
        <f>(E8+E9)*0.2-800</f>
        <v>12254.014108209489</v>
      </c>
      <c r="F10" s="223"/>
      <c r="G10" s="223"/>
      <c r="H10" s="223"/>
      <c r="I10" s="223"/>
      <c r="J10" s="223"/>
      <c r="K10" s="223"/>
      <c r="L10" s="222"/>
    </row>
    <row r="11" spans="1:15" ht="20.100000000000001" customHeight="1">
      <c r="A11" s="639" t="s">
        <v>172</v>
      </c>
      <c r="B11" s="1569"/>
      <c r="C11" s="1569"/>
      <c r="D11" s="1569"/>
      <c r="E11" s="640">
        <f>E8+E9+E10</f>
        <v>77524.084649256925</v>
      </c>
      <c r="F11" s="223"/>
      <c r="G11" s="223"/>
      <c r="H11" s="223"/>
      <c r="I11" s="223"/>
      <c r="J11" s="223"/>
      <c r="K11" s="223"/>
      <c r="L11" s="222"/>
    </row>
    <row r="12" spans="1:15" ht="20.100000000000001" customHeight="1">
      <c r="A12" s="639"/>
      <c r="B12" s="1569"/>
      <c r="C12" s="1569"/>
      <c r="D12" s="1569"/>
      <c r="E12" s="224"/>
      <c r="F12" s="223"/>
      <c r="G12" s="223"/>
      <c r="H12" s="223"/>
      <c r="I12" s="223"/>
      <c r="J12" s="223"/>
      <c r="K12" s="223"/>
      <c r="L12" s="222"/>
    </row>
    <row r="13" spans="1:15" ht="20.100000000000001" customHeight="1">
      <c r="A13" s="1568" t="s">
        <v>769</v>
      </c>
      <c r="B13" s="1568"/>
      <c r="C13" s="1568"/>
      <c r="D13" s="1568"/>
      <c r="E13" s="1568"/>
      <c r="F13" s="223"/>
      <c r="G13" s="223"/>
      <c r="H13" s="223"/>
      <c r="I13" s="223"/>
      <c r="J13" s="223"/>
      <c r="K13" s="223"/>
      <c r="L13" s="222"/>
    </row>
    <row r="14" spans="1:15" s="217" customFormat="1" ht="20.100000000000001" customHeight="1">
      <c r="A14" s="221" t="s">
        <v>173</v>
      </c>
      <c r="B14" s="219"/>
      <c r="C14" s="219"/>
      <c r="D14" s="221">
        <v>0.4</v>
      </c>
      <c r="E14" s="641">
        <f t="shared" ref="E14:E23" si="0">I14</f>
        <v>130130.92928200001</v>
      </c>
      <c r="F14" s="219"/>
      <c r="G14" s="219"/>
      <c r="H14" s="641">
        <f>N16</f>
        <v>325327.32320500002</v>
      </c>
      <c r="I14" s="641">
        <f t="shared" ref="I14:I19" si="1">H14*D14</f>
        <v>130130.92928200001</v>
      </c>
      <c r="J14" s="219"/>
      <c r="K14" s="219"/>
      <c r="L14" s="221"/>
      <c r="M14" s="18" t="s">
        <v>928</v>
      </c>
      <c r="N14" s="17"/>
      <c r="O14" s="17"/>
    </row>
    <row r="15" spans="1:15" s="217" customFormat="1" ht="20.100000000000001" customHeight="1">
      <c r="A15" s="221" t="s">
        <v>174</v>
      </c>
      <c r="B15" s="219"/>
      <c r="C15" s="219"/>
      <c r="D15" s="221">
        <v>0.7</v>
      </c>
      <c r="E15" s="641">
        <f t="shared" si="0"/>
        <v>167005.14621000001</v>
      </c>
      <c r="F15" s="219"/>
      <c r="G15" s="219"/>
      <c r="H15" s="641">
        <f>N17</f>
        <v>238578.78030000001</v>
      </c>
      <c r="I15" s="641">
        <f t="shared" si="1"/>
        <v>167005.14621000001</v>
      </c>
      <c r="J15" s="219"/>
      <c r="K15" s="219"/>
      <c r="L15" s="221"/>
      <c r="M15" s="128" t="s">
        <v>770</v>
      </c>
      <c r="N15" s="128" t="s">
        <v>771</v>
      </c>
      <c r="O15" s="11" t="s">
        <v>772</v>
      </c>
    </row>
    <row r="16" spans="1:15" s="217" customFormat="1" ht="20.100000000000001" customHeight="1">
      <c r="A16" s="221" t="s">
        <v>175</v>
      </c>
      <c r="B16" s="219"/>
      <c r="C16" s="219"/>
      <c r="D16" s="221">
        <v>1.4</v>
      </c>
      <c r="E16" s="641">
        <f t="shared" si="0"/>
        <v>279308.25465339998</v>
      </c>
      <c r="F16" s="219"/>
      <c r="G16" s="219"/>
      <c r="H16" s="641">
        <f>N18</f>
        <v>199505.89618100002</v>
      </c>
      <c r="I16" s="641">
        <f t="shared" si="1"/>
        <v>279308.25465339998</v>
      </c>
      <c r="J16" s="219"/>
      <c r="K16" s="219"/>
      <c r="L16" s="221"/>
      <c r="M16" s="129" t="s">
        <v>773</v>
      </c>
      <c r="N16" s="130">
        <f>+'1-2.수량산출'!M4</f>
        <v>325327.32320500002</v>
      </c>
      <c r="O16" s="17"/>
    </row>
    <row r="17" spans="1:15" s="217" customFormat="1" ht="20.100000000000001" customHeight="1">
      <c r="A17" s="221" t="s">
        <v>176</v>
      </c>
      <c r="B17" s="219"/>
      <c r="C17" s="219"/>
      <c r="D17" s="642">
        <v>2</v>
      </c>
      <c r="E17" s="641">
        <f t="shared" si="0"/>
        <v>346037.56522600004</v>
      </c>
      <c r="F17" s="219"/>
      <c r="G17" s="219"/>
      <c r="H17" s="641">
        <f>N19</f>
        <v>173018.78261300002</v>
      </c>
      <c r="I17" s="641">
        <f t="shared" si="1"/>
        <v>346037.56522600004</v>
      </c>
      <c r="J17" s="219"/>
      <c r="K17" s="219"/>
      <c r="L17" s="221"/>
      <c r="M17" s="129" t="s">
        <v>774</v>
      </c>
      <c r="N17" s="130">
        <f>+'1-2.수량산출'!M5</f>
        <v>238578.78030000001</v>
      </c>
      <c r="O17" s="17"/>
    </row>
    <row r="18" spans="1:15" s="217" customFormat="1" ht="20.100000000000001" customHeight="1">
      <c r="A18" s="221" t="s">
        <v>177</v>
      </c>
      <c r="B18" s="219"/>
      <c r="C18" s="219"/>
      <c r="D18" s="221">
        <v>3.8</v>
      </c>
      <c r="E18" s="641">
        <f t="shared" si="0"/>
        <v>511026.00949319993</v>
      </c>
      <c r="F18" s="219"/>
      <c r="G18" s="219"/>
      <c r="H18" s="641">
        <f>N20</f>
        <v>134480.52881399999</v>
      </c>
      <c r="I18" s="641">
        <f t="shared" si="1"/>
        <v>511026.00949319993</v>
      </c>
      <c r="J18" s="219"/>
      <c r="K18" s="219"/>
      <c r="L18" s="221"/>
      <c r="M18" s="129" t="s">
        <v>775</v>
      </c>
      <c r="N18" s="130">
        <f>+'1-2.수량산출'!M6</f>
        <v>199505.89618100002</v>
      </c>
      <c r="O18" s="17"/>
    </row>
    <row r="19" spans="1:15" s="217" customFormat="1" ht="20.100000000000001" customHeight="1">
      <c r="A19" s="221" t="s">
        <v>776</v>
      </c>
      <c r="B19" s="219"/>
      <c r="C19" s="219"/>
      <c r="D19" s="221">
        <v>4.3</v>
      </c>
      <c r="E19" s="641">
        <f t="shared" si="0"/>
        <v>505119.8719724</v>
      </c>
      <c r="F19" s="219"/>
      <c r="G19" s="219"/>
      <c r="H19" s="641">
        <f>N23</f>
        <v>117469.737668</v>
      </c>
      <c r="I19" s="641">
        <f t="shared" si="1"/>
        <v>505119.8719724</v>
      </c>
      <c r="J19" s="219"/>
      <c r="K19" s="219"/>
      <c r="L19" s="221"/>
      <c r="M19" s="129" t="s">
        <v>777</v>
      </c>
      <c r="N19" s="130">
        <f>+'1-2.수량산출'!M7</f>
        <v>173018.78261300002</v>
      </c>
      <c r="O19" s="17"/>
    </row>
    <row r="20" spans="1:15" s="217" customFormat="1" ht="20.100000000000001" customHeight="1">
      <c r="A20" s="221" t="s">
        <v>778</v>
      </c>
      <c r="B20" s="219"/>
      <c r="C20" s="219"/>
      <c r="D20" s="219"/>
      <c r="E20" s="641">
        <f t="shared" si="0"/>
        <v>1938627.7768369999</v>
      </c>
      <c r="F20" s="219"/>
      <c r="G20" s="219"/>
      <c r="H20" s="220"/>
      <c r="I20" s="641">
        <f>SUM(I14:I19)</f>
        <v>1938627.7768369999</v>
      </c>
      <c r="J20" s="219"/>
      <c r="K20" s="219"/>
      <c r="L20" s="221"/>
      <c r="M20" s="129" t="s">
        <v>779</v>
      </c>
      <c r="N20" s="130">
        <f>+'1-2.수량산출'!M8</f>
        <v>134480.52881399999</v>
      </c>
      <c r="O20" s="17"/>
    </row>
    <row r="21" spans="1:15" s="217" customFormat="1" ht="20.100000000000001" customHeight="1">
      <c r="A21" s="166" t="s">
        <v>780</v>
      </c>
      <c r="B21" s="643">
        <f>D24</f>
        <v>8.0162335295324322E-2</v>
      </c>
      <c r="C21" s="219"/>
      <c r="D21" s="219"/>
      <c r="E21" s="644">
        <f t="shared" si="0"/>
        <v>155404.92985963676</v>
      </c>
      <c r="F21" s="219"/>
      <c r="G21" s="219"/>
      <c r="H21" s="220"/>
      <c r="I21" s="645">
        <f>I20*B21</f>
        <v>155404.92985963676</v>
      </c>
      <c r="J21" s="219"/>
      <c r="K21" s="219"/>
      <c r="L21" s="221"/>
      <c r="M21" s="129" t="s">
        <v>781</v>
      </c>
      <c r="N21" s="130">
        <f>+'1-2.수량산출'!M9</f>
        <v>155643.29721300001</v>
      </c>
      <c r="O21" s="17"/>
    </row>
    <row r="22" spans="1:15" s="217" customFormat="1" ht="20.100000000000001" customHeight="1">
      <c r="A22" s="166" t="s">
        <v>782</v>
      </c>
      <c r="B22" s="218">
        <v>0.2</v>
      </c>
      <c r="C22" s="219"/>
      <c r="D22" s="219"/>
      <c r="E22" s="220">
        <f t="shared" si="0"/>
        <v>0.2</v>
      </c>
      <c r="F22" s="219"/>
      <c r="G22" s="219"/>
      <c r="H22" s="220"/>
      <c r="I22" s="220">
        <v>0.2</v>
      </c>
      <c r="J22" s="219"/>
      <c r="K22" s="219"/>
      <c r="L22" s="221"/>
      <c r="M22" s="129" t="s">
        <v>783</v>
      </c>
      <c r="N22" s="130">
        <f>+'1-2.수량산출'!M10</f>
        <v>135345.48429600001</v>
      </c>
      <c r="O22" s="17"/>
    </row>
    <row r="23" spans="1:15" ht="20.100000000000001" customHeight="1">
      <c r="A23" s="222" t="s">
        <v>784</v>
      </c>
      <c r="B23" s="223"/>
      <c r="C23" s="223"/>
      <c r="D23" s="223"/>
      <c r="E23" s="224">
        <f t="shared" si="0"/>
        <v>31080.985971927352</v>
      </c>
      <c r="F23" s="225"/>
      <c r="G23" s="225"/>
      <c r="H23" s="226"/>
      <c r="I23" s="224">
        <f>I21*I22</f>
        <v>31080.985971927352</v>
      </c>
      <c r="J23" s="223"/>
      <c r="K23" s="223"/>
      <c r="L23" s="222"/>
      <c r="M23" s="129" t="s">
        <v>785</v>
      </c>
      <c r="N23" s="130">
        <f>+'1-2.수량산출'!M11</f>
        <v>117469.737668</v>
      </c>
      <c r="O23" s="17"/>
    </row>
    <row r="24" spans="1:15" ht="19.5" customHeight="1">
      <c r="A24" s="203" t="s">
        <v>938</v>
      </c>
      <c r="D24" s="646">
        <f>(0.3213/50)^0.5</f>
        <v>8.0162335295324322E-2</v>
      </c>
      <c r="E24" s="203" t="s">
        <v>786</v>
      </c>
      <c r="M24" s="681" t="s">
        <v>151</v>
      </c>
      <c r="N24" s="681" t="s">
        <v>152</v>
      </c>
      <c r="O24" s="681" t="s">
        <v>153</v>
      </c>
    </row>
    <row r="25" spans="1:15" ht="18" customHeight="1">
      <c r="A25" s="203" t="s">
        <v>787</v>
      </c>
      <c r="M25" s="682" t="s">
        <v>154</v>
      </c>
      <c r="N25" s="682">
        <v>42</v>
      </c>
      <c r="O25" s="683">
        <v>23642</v>
      </c>
    </row>
    <row r="26" spans="1:15" ht="18" customHeight="1">
      <c r="A26" s="203" t="s">
        <v>788</v>
      </c>
      <c r="M26" s="682" t="s">
        <v>937</v>
      </c>
      <c r="N26" s="682">
        <v>6</v>
      </c>
      <c r="O26" s="683">
        <v>1752</v>
      </c>
    </row>
    <row r="27" spans="1:15">
      <c r="M27" s="682" t="s">
        <v>155</v>
      </c>
      <c r="N27" s="682">
        <v>33</v>
      </c>
      <c r="O27" s="683">
        <v>4173</v>
      </c>
    </row>
    <row r="28" spans="1:15">
      <c r="M28" s="682" t="s">
        <v>156</v>
      </c>
      <c r="N28" s="682">
        <v>7</v>
      </c>
      <c r="O28" s="683">
        <v>4957</v>
      </c>
    </row>
    <row r="29" spans="1:15">
      <c r="M29" s="682" t="s">
        <v>157</v>
      </c>
      <c r="N29" s="682">
        <v>3</v>
      </c>
      <c r="O29" s="683">
        <v>12553</v>
      </c>
    </row>
    <row r="30" spans="1:15">
      <c r="M30" s="682" t="s">
        <v>158</v>
      </c>
      <c r="N30" s="682">
        <v>9</v>
      </c>
      <c r="O30" s="683">
        <v>0</v>
      </c>
    </row>
    <row r="31" spans="1:15">
      <c r="M31" s="682" t="s">
        <v>939</v>
      </c>
      <c r="N31" s="682">
        <v>4</v>
      </c>
      <c r="O31" s="683">
        <v>768</v>
      </c>
    </row>
    <row r="32" spans="1:15">
      <c r="M32" s="682" t="s">
        <v>159</v>
      </c>
      <c r="N32" s="682">
        <v>2</v>
      </c>
      <c r="O32" s="683">
        <v>1560</v>
      </c>
    </row>
    <row r="33" spans="13:15">
      <c r="M33" s="682" t="s">
        <v>160</v>
      </c>
      <c r="N33" s="682">
        <v>6</v>
      </c>
      <c r="O33" s="683">
        <v>3213</v>
      </c>
    </row>
    <row r="34" spans="13:15">
      <c r="M34" s="684" t="s">
        <v>161</v>
      </c>
      <c r="N34" s="684">
        <v>45</v>
      </c>
      <c r="O34" s="685">
        <v>32317</v>
      </c>
    </row>
    <row r="35" spans="13:15">
      <c r="M35" s="680"/>
      <c r="N35" s="680"/>
      <c r="O35" s="686">
        <f>SUM(O25:O34)</f>
        <v>84935</v>
      </c>
    </row>
  </sheetData>
  <mergeCells count="17">
    <mergeCell ref="A2:L2"/>
    <mergeCell ref="L5:L6"/>
    <mergeCell ref="A7:E7"/>
    <mergeCell ref="A8:D8"/>
    <mergeCell ref="A9:D9"/>
    <mergeCell ref="A5:A6"/>
    <mergeCell ref="B5:B6"/>
    <mergeCell ref="C5:C6"/>
    <mergeCell ref="D5:D6"/>
    <mergeCell ref="E5:E6"/>
    <mergeCell ref="F5:G5"/>
    <mergeCell ref="A10:D10"/>
    <mergeCell ref="B11:D11"/>
    <mergeCell ref="A13:E13"/>
    <mergeCell ref="H5:I5"/>
    <mergeCell ref="J5:K5"/>
    <mergeCell ref="B12:D12"/>
  </mergeCells>
  <phoneticPr fontId="2" type="noConversion"/>
  <pageMargins left="0.7" right="0.7" top="0.75" bottom="0.75" header="0.3" footer="0.3"/>
  <pageSetup paperSize="9" scale="92"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2"/>
  <sheetViews>
    <sheetView view="pageBreakPreview" zoomScale="115" zoomScaleSheetLayoutView="115" workbookViewId="0">
      <selection activeCell="I8" sqref="I8:K8"/>
    </sheetView>
  </sheetViews>
  <sheetFormatPr defaultRowHeight="13.5"/>
  <cols>
    <col min="1" max="1" width="27.75" style="213" customWidth="1"/>
    <col min="2" max="2" width="17.5" style="213" customWidth="1"/>
    <col min="3" max="4" width="16.5" style="213" customWidth="1"/>
    <col min="5" max="6" width="9" style="213"/>
    <col min="7" max="7" width="11.125" style="213" bestFit="1" customWidth="1"/>
    <col min="8" max="9" width="9" style="213"/>
    <col min="10" max="10" width="4.5" style="213" customWidth="1"/>
    <col min="11" max="256" width="9" style="213"/>
    <col min="257" max="257" width="22.625" style="213" customWidth="1"/>
    <col min="258" max="258" width="17.5" style="213" customWidth="1"/>
    <col min="259" max="260" width="16.5" style="213" customWidth="1"/>
    <col min="261" max="262" width="9" style="213"/>
    <col min="263" max="263" width="11.125" style="213" bestFit="1" customWidth="1"/>
    <col min="264" max="265" width="9" style="213"/>
    <col min="266" max="266" width="4.5" style="213" customWidth="1"/>
    <col min="267" max="512" width="9" style="213"/>
    <col min="513" max="513" width="22.625" style="213" customWidth="1"/>
    <col min="514" max="514" width="17.5" style="213" customWidth="1"/>
    <col min="515" max="516" width="16.5" style="213" customWidth="1"/>
    <col min="517" max="518" width="9" style="213"/>
    <col min="519" max="519" width="11.125" style="213" bestFit="1" customWidth="1"/>
    <col min="520" max="521" width="9" style="213"/>
    <col min="522" max="522" width="4.5" style="213" customWidth="1"/>
    <col min="523" max="768" width="9" style="213"/>
    <col min="769" max="769" width="22.625" style="213" customWidth="1"/>
    <col min="770" max="770" width="17.5" style="213" customWidth="1"/>
    <col min="771" max="772" width="16.5" style="213" customWidth="1"/>
    <col min="773" max="774" width="9" style="213"/>
    <col min="775" max="775" width="11.125" style="213" bestFit="1" customWidth="1"/>
    <col min="776" max="777" width="9" style="213"/>
    <col min="778" max="778" width="4.5" style="213" customWidth="1"/>
    <col min="779" max="1024" width="9" style="213"/>
    <col min="1025" max="1025" width="22.625" style="213" customWidth="1"/>
    <col min="1026" max="1026" width="17.5" style="213" customWidth="1"/>
    <col min="1027" max="1028" width="16.5" style="213" customWidth="1"/>
    <col min="1029" max="1030" width="9" style="213"/>
    <col min="1031" max="1031" width="11.125" style="213" bestFit="1" customWidth="1"/>
    <col min="1032" max="1033" width="9" style="213"/>
    <col min="1034" max="1034" width="4.5" style="213" customWidth="1"/>
    <col min="1035" max="1280" width="9" style="213"/>
    <col min="1281" max="1281" width="22.625" style="213" customWidth="1"/>
    <col min="1282" max="1282" width="17.5" style="213" customWidth="1"/>
    <col min="1283" max="1284" width="16.5" style="213" customWidth="1"/>
    <col min="1285" max="1286" width="9" style="213"/>
    <col min="1287" max="1287" width="11.125" style="213" bestFit="1" customWidth="1"/>
    <col min="1288" max="1289" width="9" style="213"/>
    <col min="1290" max="1290" width="4.5" style="213" customWidth="1"/>
    <col min="1291" max="1536" width="9" style="213"/>
    <col min="1537" max="1537" width="22.625" style="213" customWidth="1"/>
    <col min="1538" max="1538" width="17.5" style="213" customWidth="1"/>
    <col min="1539" max="1540" width="16.5" style="213" customWidth="1"/>
    <col min="1541" max="1542" width="9" style="213"/>
    <col min="1543" max="1543" width="11.125" style="213" bestFit="1" customWidth="1"/>
    <col min="1544" max="1545" width="9" style="213"/>
    <col min="1546" max="1546" width="4.5" style="213" customWidth="1"/>
    <col min="1547" max="1792" width="9" style="213"/>
    <col min="1793" max="1793" width="22.625" style="213" customWidth="1"/>
    <col min="1794" max="1794" width="17.5" style="213" customWidth="1"/>
    <col min="1795" max="1796" width="16.5" style="213" customWidth="1"/>
    <col min="1797" max="1798" width="9" style="213"/>
    <col min="1799" max="1799" width="11.125" style="213" bestFit="1" customWidth="1"/>
    <col min="1800" max="1801" width="9" style="213"/>
    <col min="1802" max="1802" width="4.5" style="213" customWidth="1"/>
    <col min="1803" max="2048" width="9" style="213"/>
    <col min="2049" max="2049" width="22.625" style="213" customWidth="1"/>
    <col min="2050" max="2050" width="17.5" style="213" customWidth="1"/>
    <col min="2051" max="2052" width="16.5" style="213" customWidth="1"/>
    <col min="2053" max="2054" width="9" style="213"/>
    <col min="2055" max="2055" width="11.125" style="213" bestFit="1" customWidth="1"/>
    <col min="2056" max="2057" width="9" style="213"/>
    <col min="2058" max="2058" width="4.5" style="213" customWidth="1"/>
    <col min="2059" max="2304" width="9" style="213"/>
    <col min="2305" max="2305" width="22.625" style="213" customWidth="1"/>
    <col min="2306" max="2306" width="17.5" style="213" customWidth="1"/>
    <col min="2307" max="2308" width="16.5" style="213" customWidth="1"/>
    <col min="2309" max="2310" width="9" style="213"/>
    <col min="2311" max="2311" width="11.125" style="213" bestFit="1" customWidth="1"/>
    <col min="2312" max="2313" width="9" style="213"/>
    <col min="2314" max="2314" width="4.5" style="213" customWidth="1"/>
    <col min="2315" max="2560" width="9" style="213"/>
    <col min="2561" max="2561" width="22.625" style="213" customWidth="1"/>
    <col min="2562" max="2562" width="17.5" style="213" customWidth="1"/>
    <col min="2563" max="2564" width="16.5" style="213" customWidth="1"/>
    <col min="2565" max="2566" width="9" style="213"/>
    <col min="2567" max="2567" width="11.125" style="213" bestFit="1" customWidth="1"/>
    <col min="2568" max="2569" width="9" style="213"/>
    <col min="2570" max="2570" width="4.5" style="213" customWidth="1"/>
    <col min="2571" max="2816" width="9" style="213"/>
    <col min="2817" max="2817" width="22.625" style="213" customWidth="1"/>
    <col min="2818" max="2818" width="17.5" style="213" customWidth="1"/>
    <col min="2819" max="2820" width="16.5" style="213" customWidth="1"/>
    <col min="2821" max="2822" width="9" style="213"/>
    <col min="2823" max="2823" width="11.125" style="213" bestFit="1" customWidth="1"/>
    <col min="2824" max="2825" width="9" style="213"/>
    <col min="2826" max="2826" width="4.5" style="213" customWidth="1"/>
    <col min="2827" max="3072" width="9" style="213"/>
    <col min="3073" max="3073" width="22.625" style="213" customWidth="1"/>
    <col min="3074" max="3074" width="17.5" style="213" customWidth="1"/>
    <col min="3075" max="3076" width="16.5" style="213" customWidth="1"/>
    <col min="3077" max="3078" width="9" style="213"/>
    <col min="3079" max="3079" width="11.125" style="213" bestFit="1" customWidth="1"/>
    <col min="3080" max="3081" width="9" style="213"/>
    <col min="3082" max="3082" width="4.5" style="213" customWidth="1"/>
    <col min="3083" max="3328" width="9" style="213"/>
    <col min="3329" max="3329" width="22.625" style="213" customWidth="1"/>
    <col min="3330" max="3330" width="17.5" style="213" customWidth="1"/>
    <col min="3331" max="3332" width="16.5" style="213" customWidth="1"/>
    <col min="3333" max="3334" width="9" style="213"/>
    <col min="3335" max="3335" width="11.125" style="213" bestFit="1" customWidth="1"/>
    <col min="3336" max="3337" width="9" style="213"/>
    <col min="3338" max="3338" width="4.5" style="213" customWidth="1"/>
    <col min="3339" max="3584" width="9" style="213"/>
    <col min="3585" max="3585" width="22.625" style="213" customWidth="1"/>
    <col min="3586" max="3586" width="17.5" style="213" customWidth="1"/>
    <col min="3587" max="3588" width="16.5" style="213" customWidth="1"/>
    <col min="3589" max="3590" width="9" style="213"/>
    <col min="3591" max="3591" width="11.125" style="213" bestFit="1" customWidth="1"/>
    <col min="3592" max="3593" width="9" style="213"/>
    <col min="3594" max="3594" width="4.5" style="213" customWidth="1"/>
    <col min="3595" max="3840" width="9" style="213"/>
    <col min="3841" max="3841" width="22.625" style="213" customWidth="1"/>
    <col min="3842" max="3842" width="17.5" style="213" customWidth="1"/>
    <col min="3843" max="3844" width="16.5" style="213" customWidth="1"/>
    <col min="3845" max="3846" width="9" style="213"/>
    <col min="3847" max="3847" width="11.125" style="213" bestFit="1" customWidth="1"/>
    <col min="3848" max="3849" width="9" style="213"/>
    <col min="3850" max="3850" width="4.5" style="213" customWidth="1"/>
    <col min="3851" max="4096" width="9" style="213"/>
    <col min="4097" max="4097" width="22.625" style="213" customWidth="1"/>
    <col min="4098" max="4098" width="17.5" style="213" customWidth="1"/>
    <col min="4099" max="4100" width="16.5" style="213" customWidth="1"/>
    <col min="4101" max="4102" width="9" style="213"/>
    <col min="4103" max="4103" width="11.125" style="213" bestFit="1" customWidth="1"/>
    <col min="4104" max="4105" width="9" style="213"/>
    <col min="4106" max="4106" width="4.5" style="213" customWidth="1"/>
    <col min="4107" max="4352" width="9" style="213"/>
    <col min="4353" max="4353" width="22.625" style="213" customWidth="1"/>
    <col min="4354" max="4354" width="17.5" style="213" customWidth="1"/>
    <col min="4355" max="4356" width="16.5" style="213" customWidth="1"/>
    <col min="4357" max="4358" width="9" style="213"/>
    <col min="4359" max="4359" width="11.125" style="213" bestFit="1" customWidth="1"/>
    <col min="4360" max="4361" width="9" style="213"/>
    <col min="4362" max="4362" width="4.5" style="213" customWidth="1"/>
    <col min="4363" max="4608" width="9" style="213"/>
    <col min="4609" max="4609" width="22.625" style="213" customWidth="1"/>
    <col min="4610" max="4610" width="17.5" style="213" customWidth="1"/>
    <col min="4611" max="4612" width="16.5" style="213" customWidth="1"/>
    <col min="4613" max="4614" width="9" style="213"/>
    <col min="4615" max="4615" width="11.125" style="213" bestFit="1" customWidth="1"/>
    <col min="4616" max="4617" width="9" style="213"/>
    <col min="4618" max="4618" width="4.5" style="213" customWidth="1"/>
    <col min="4619" max="4864" width="9" style="213"/>
    <col min="4865" max="4865" width="22.625" style="213" customWidth="1"/>
    <col min="4866" max="4866" width="17.5" style="213" customWidth="1"/>
    <col min="4867" max="4868" width="16.5" style="213" customWidth="1"/>
    <col min="4869" max="4870" width="9" style="213"/>
    <col min="4871" max="4871" width="11.125" style="213" bestFit="1" customWidth="1"/>
    <col min="4872" max="4873" width="9" style="213"/>
    <col min="4874" max="4874" width="4.5" style="213" customWidth="1"/>
    <col min="4875" max="5120" width="9" style="213"/>
    <col min="5121" max="5121" width="22.625" style="213" customWidth="1"/>
    <col min="5122" max="5122" width="17.5" style="213" customWidth="1"/>
    <col min="5123" max="5124" width="16.5" style="213" customWidth="1"/>
    <col min="5125" max="5126" width="9" style="213"/>
    <col min="5127" max="5127" width="11.125" style="213" bestFit="1" customWidth="1"/>
    <col min="5128" max="5129" width="9" style="213"/>
    <col min="5130" max="5130" width="4.5" style="213" customWidth="1"/>
    <col min="5131" max="5376" width="9" style="213"/>
    <col min="5377" max="5377" width="22.625" style="213" customWidth="1"/>
    <col min="5378" max="5378" width="17.5" style="213" customWidth="1"/>
    <col min="5379" max="5380" width="16.5" style="213" customWidth="1"/>
    <col min="5381" max="5382" width="9" style="213"/>
    <col min="5383" max="5383" width="11.125" style="213" bestFit="1" customWidth="1"/>
    <col min="5384" max="5385" width="9" style="213"/>
    <col min="5386" max="5386" width="4.5" style="213" customWidth="1"/>
    <col min="5387" max="5632" width="9" style="213"/>
    <col min="5633" max="5633" width="22.625" style="213" customWidth="1"/>
    <col min="5634" max="5634" width="17.5" style="213" customWidth="1"/>
    <col min="5635" max="5636" width="16.5" style="213" customWidth="1"/>
    <col min="5637" max="5638" width="9" style="213"/>
    <col min="5639" max="5639" width="11.125" style="213" bestFit="1" customWidth="1"/>
    <col min="5640" max="5641" width="9" style="213"/>
    <col min="5642" max="5642" width="4.5" style="213" customWidth="1"/>
    <col min="5643" max="5888" width="9" style="213"/>
    <col min="5889" max="5889" width="22.625" style="213" customWidth="1"/>
    <col min="5890" max="5890" width="17.5" style="213" customWidth="1"/>
    <col min="5891" max="5892" width="16.5" style="213" customWidth="1"/>
    <col min="5893" max="5894" width="9" style="213"/>
    <col min="5895" max="5895" width="11.125" style="213" bestFit="1" customWidth="1"/>
    <col min="5896" max="5897" width="9" style="213"/>
    <col min="5898" max="5898" width="4.5" style="213" customWidth="1"/>
    <col min="5899" max="6144" width="9" style="213"/>
    <col min="6145" max="6145" width="22.625" style="213" customWidth="1"/>
    <col min="6146" max="6146" width="17.5" style="213" customWidth="1"/>
    <col min="6147" max="6148" width="16.5" style="213" customWidth="1"/>
    <col min="6149" max="6150" width="9" style="213"/>
    <col min="6151" max="6151" width="11.125" style="213" bestFit="1" customWidth="1"/>
    <col min="6152" max="6153" width="9" style="213"/>
    <col min="6154" max="6154" width="4.5" style="213" customWidth="1"/>
    <col min="6155" max="6400" width="9" style="213"/>
    <col min="6401" max="6401" width="22.625" style="213" customWidth="1"/>
    <col min="6402" max="6402" width="17.5" style="213" customWidth="1"/>
    <col min="6403" max="6404" width="16.5" style="213" customWidth="1"/>
    <col min="6405" max="6406" width="9" style="213"/>
    <col min="6407" max="6407" width="11.125" style="213" bestFit="1" customWidth="1"/>
    <col min="6408" max="6409" width="9" style="213"/>
    <col min="6410" max="6410" width="4.5" style="213" customWidth="1"/>
    <col min="6411" max="6656" width="9" style="213"/>
    <col min="6657" max="6657" width="22.625" style="213" customWidth="1"/>
    <col min="6658" max="6658" width="17.5" style="213" customWidth="1"/>
    <col min="6659" max="6660" width="16.5" style="213" customWidth="1"/>
    <col min="6661" max="6662" width="9" style="213"/>
    <col min="6663" max="6663" width="11.125" style="213" bestFit="1" customWidth="1"/>
    <col min="6664" max="6665" width="9" style="213"/>
    <col min="6666" max="6666" width="4.5" style="213" customWidth="1"/>
    <col min="6667" max="6912" width="9" style="213"/>
    <col min="6913" max="6913" width="22.625" style="213" customWidth="1"/>
    <col min="6914" max="6914" width="17.5" style="213" customWidth="1"/>
    <col min="6915" max="6916" width="16.5" style="213" customWidth="1"/>
    <col min="6917" max="6918" width="9" style="213"/>
    <col min="6919" max="6919" width="11.125" style="213" bestFit="1" customWidth="1"/>
    <col min="6920" max="6921" width="9" style="213"/>
    <col min="6922" max="6922" width="4.5" style="213" customWidth="1"/>
    <col min="6923" max="7168" width="9" style="213"/>
    <col min="7169" max="7169" width="22.625" style="213" customWidth="1"/>
    <col min="7170" max="7170" width="17.5" style="213" customWidth="1"/>
    <col min="7171" max="7172" width="16.5" style="213" customWidth="1"/>
    <col min="7173" max="7174" width="9" style="213"/>
    <col min="7175" max="7175" width="11.125" style="213" bestFit="1" customWidth="1"/>
    <col min="7176" max="7177" width="9" style="213"/>
    <col min="7178" max="7178" width="4.5" style="213" customWidth="1"/>
    <col min="7179" max="7424" width="9" style="213"/>
    <col min="7425" max="7425" width="22.625" style="213" customWidth="1"/>
    <col min="7426" max="7426" width="17.5" style="213" customWidth="1"/>
    <col min="7427" max="7428" width="16.5" style="213" customWidth="1"/>
    <col min="7429" max="7430" width="9" style="213"/>
    <col min="7431" max="7431" width="11.125" style="213" bestFit="1" customWidth="1"/>
    <col min="7432" max="7433" width="9" style="213"/>
    <col min="7434" max="7434" width="4.5" style="213" customWidth="1"/>
    <col min="7435" max="7680" width="9" style="213"/>
    <col min="7681" max="7681" width="22.625" style="213" customWidth="1"/>
    <col min="7682" max="7682" width="17.5" style="213" customWidth="1"/>
    <col min="7683" max="7684" width="16.5" style="213" customWidth="1"/>
    <col min="7685" max="7686" width="9" style="213"/>
    <col min="7687" max="7687" width="11.125" style="213" bestFit="1" customWidth="1"/>
    <col min="7688" max="7689" width="9" style="213"/>
    <col min="7690" max="7690" width="4.5" style="213" customWidth="1"/>
    <col min="7691" max="7936" width="9" style="213"/>
    <col min="7937" max="7937" width="22.625" style="213" customWidth="1"/>
    <col min="7938" max="7938" width="17.5" style="213" customWidth="1"/>
    <col min="7939" max="7940" width="16.5" style="213" customWidth="1"/>
    <col min="7941" max="7942" width="9" style="213"/>
    <col min="7943" max="7943" width="11.125" style="213" bestFit="1" customWidth="1"/>
    <col min="7944" max="7945" width="9" style="213"/>
    <col min="7946" max="7946" width="4.5" style="213" customWidth="1"/>
    <col min="7947" max="8192" width="9" style="213"/>
    <col min="8193" max="8193" width="22.625" style="213" customWidth="1"/>
    <col min="8194" max="8194" width="17.5" style="213" customWidth="1"/>
    <col min="8195" max="8196" width="16.5" style="213" customWidth="1"/>
    <col min="8197" max="8198" width="9" style="213"/>
    <col min="8199" max="8199" width="11.125" style="213" bestFit="1" customWidth="1"/>
    <col min="8200" max="8201" width="9" style="213"/>
    <col min="8202" max="8202" width="4.5" style="213" customWidth="1"/>
    <col min="8203" max="8448" width="9" style="213"/>
    <col min="8449" max="8449" width="22.625" style="213" customWidth="1"/>
    <col min="8450" max="8450" width="17.5" style="213" customWidth="1"/>
    <col min="8451" max="8452" width="16.5" style="213" customWidth="1"/>
    <col min="8453" max="8454" width="9" style="213"/>
    <col min="8455" max="8455" width="11.125" style="213" bestFit="1" customWidth="1"/>
    <col min="8456" max="8457" width="9" style="213"/>
    <col min="8458" max="8458" width="4.5" style="213" customWidth="1"/>
    <col min="8459" max="8704" width="9" style="213"/>
    <col min="8705" max="8705" width="22.625" style="213" customWidth="1"/>
    <col min="8706" max="8706" width="17.5" style="213" customWidth="1"/>
    <col min="8707" max="8708" width="16.5" style="213" customWidth="1"/>
    <col min="8709" max="8710" width="9" style="213"/>
    <col min="8711" max="8711" width="11.125" style="213" bestFit="1" customWidth="1"/>
    <col min="8712" max="8713" width="9" style="213"/>
    <col min="8714" max="8714" width="4.5" style="213" customWidth="1"/>
    <col min="8715" max="8960" width="9" style="213"/>
    <col min="8961" max="8961" width="22.625" style="213" customWidth="1"/>
    <col min="8962" max="8962" width="17.5" style="213" customWidth="1"/>
    <col min="8963" max="8964" width="16.5" style="213" customWidth="1"/>
    <col min="8965" max="8966" width="9" style="213"/>
    <col min="8967" max="8967" width="11.125" style="213" bestFit="1" customWidth="1"/>
    <col min="8968" max="8969" width="9" style="213"/>
    <col min="8970" max="8970" width="4.5" style="213" customWidth="1"/>
    <col min="8971" max="9216" width="9" style="213"/>
    <col min="9217" max="9217" width="22.625" style="213" customWidth="1"/>
    <col min="9218" max="9218" width="17.5" style="213" customWidth="1"/>
    <col min="9219" max="9220" width="16.5" style="213" customWidth="1"/>
    <col min="9221" max="9222" width="9" style="213"/>
    <col min="9223" max="9223" width="11.125" style="213" bestFit="1" customWidth="1"/>
    <col min="9224" max="9225" width="9" style="213"/>
    <col min="9226" max="9226" width="4.5" style="213" customWidth="1"/>
    <col min="9227" max="9472" width="9" style="213"/>
    <col min="9473" max="9473" width="22.625" style="213" customWidth="1"/>
    <col min="9474" max="9474" width="17.5" style="213" customWidth="1"/>
    <col min="9475" max="9476" width="16.5" style="213" customWidth="1"/>
    <col min="9477" max="9478" width="9" style="213"/>
    <col min="9479" max="9479" width="11.125" style="213" bestFit="1" customWidth="1"/>
    <col min="9480" max="9481" width="9" style="213"/>
    <col min="9482" max="9482" width="4.5" style="213" customWidth="1"/>
    <col min="9483" max="9728" width="9" style="213"/>
    <col min="9729" max="9729" width="22.625" style="213" customWidth="1"/>
    <col min="9730" max="9730" width="17.5" style="213" customWidth="1"/>
    <col min="9731" max="9732" width="16.5" style="213" customWidth="1"/>
    <col min="9733" max="9734" width="9" style="213"/>
    <col min="9735" max="9735" width="11.125" style="213" bestFit="1" customWidth="1"/>
    <col min="9736" max="9737" width="9" style="213"/>
    <col min="9738" max="9738" width="4.5" style="213" customWidth="1"/>
    <col min="9739" max="9984" width="9" style="213"/>
    <col min="9985" max="9985" width="22.625" style="213" customWidth="1"/>
    <col min="9986" max="9986" width="17.5" style="213" customWidth="1"/>
    <col min="9987" max="9988" width="16.5" style="213" customWidth="1"/>
    <col min="9989" max="9990" width="9" style="213"/>
    <col min="9991" max="9991" width="11.125" style="213" bestFit="1" customWidth="1"/>
    <col min="9992" max="9993" width="9" style="213"/>
    <col min="9994" max="9994" width="4.5" style="213" customWidth="1"/>
    <col min="9995" max="10240" width="9" style="213"/>
    <col min="10241" max="10241" width="22.625" style="213" customWidth="1"/>
    <col min="10242" max="10242" width="17.5" style="213" customWidth="1"/>
    <col min="10243" max="10244" width="16.5" style="213" customWidth="1"/>
    <col min="10245" max="10246" width="9" style="213"/>
    <col min="10247" max="10247" width="11.125" style="213" bestFit="1" customWidth="1"/>
    <col min="10248" max="10249" width="9" style="213"/>
    <col min="10250" max="10250" width="4.5" style="213" customWidth="1"/>
    <col min="10251" max="10496" width="9" style="213"/>
    <col min="10497" max="10497" width="22.625" style="213" customWidth="1"/>
    <col min="10498" max="10498" width="17.5" style="213" customWidth="1"/>
    <col min="10499" max="10500" width="16.5" style="213" customWidth="1"/>
    <col min="10501" max="10502" width="9" style="213"/>
    <col min="10503" max="10503" width="11.125" style="213" bestFit="1" customWidth="1"/>
    <col min="10504" max="10505" width="9" style="213"/>
    <col min="10506" max="10506" width="4.5" style="213" customWidth="1"/>
    <col min="10507" max="10752" width="9" style="213"/>
    <col min="10753" max="10753" width="22.625" style="213" customWidth="1"/>
    <col min="10754" max="10754" width="17.5" style="213" customWidth="1"/>
    <col min="10755" max="10756" width="16.5" style="213" customWidth="1"/>
    <col min="10757" max="10758" width="9" style="213"/>
    <col min="10759" max="10759" width="11.125" style="213" bestFit="1" customWidth="1"/>
    <col min="10760" max="10761" width="9" style="213"/>
    <col min="10762" max="10762" width="4.5" style="213" customWidth="1"/>
    <col min="10763" max="11008" width="9" style="213"/>
    <col min="11009" max="11009" width="22.625" style="213" customWidth="1"/>
    <col min="11010" max="11010" width="17.5" style="213" customWidth="1"/>
    <col min="11011" max="11012" width="16.5" style="213" customWidth="1"/>
    <col min="11013" max="11014" width="9" style="213"/>
    <col min="11015" max="11015" width="11.125" style="213" bestFit="1" customWidth="1"/>
    <col min="11016" max="11017" width="9" style="213"/>
    <col min="11018" max="11018" width="4.5" style="213" customWidth="1"/>
    <col min="11019" max="11264" width="9" style="213"/>
    <col min="11265" max="11265" width="22.625" style="213" customWidth="1"/>
    <col min="11266" max="11266" width="17.5" style="213" customWidth="1"/>
    <col min="11267" max="11268" width="16.5" style="213" customWidth="1"/>
    <col min="11269" max="11270" width="9" style="213"/>
    <col min="11271" max="11271" width="11.125" style="213" bestFit="1" customWidth="1"/>
    <col min="11272" max="11273" width="9" style="213"/>
    <col min="11274" max="11274" width="4.5" style="213" customWidth="1"/>
    <col min="11275" max="11520" width="9" style="213"/>
    <col min="11521" max="11521" width="22.625" style="213" customWidth="1"/>
    <col min="11522" max="11522" width="17.5" style="213" customWidth="1"/>
    <col min="11523" max="11524" width="16.5" style="213" customWidth="1"/>
    <col min="11525" max="11526" width="9" style="213"/>
    <col min="11527" max="11527" width="11.125" style="213" bestFit="1" customWidth="1"/>
    <col min="11528" max="11529" width="9" style="213"/>
    <col min="11530" max="11530" width="4.5" style="213" customWidth="1"/>
    <col min="11531" max="11776" width="9" style="213"/>
    <col min="11777" max="11777" width="22.625" style="213" customWidth="1"/>
    <col min="11778" max="11778" width="17.5" style="213" customWidth="1"/>
    <col min="11779" max="11780" width="16.5" style="213" customWidth="1"/>
    <col min="11781" max="11782" width="9" style="213"/>
    <col min="11783" max="11783" width="11.125" style="213" bestFit="1" customWidth="1"/>
    <col min="11784" max="11785" width="9" style="213"/>
    <col min="11786" max="11786" width="4.5" style="213" customWidth="1"/>
    <col min="11787" max="12032" width="9" style="213"/>
    <col min="12033" max="12033" width="22.625" style="213" customWidth="1"/>
    <col min="12034" max="12034" width="17.5" style="213" customWidth="1"/>
    <col min="12035" max="12036" width="16.5" style="213" customWidth="1"/>
    <col min="12037" max="12038" width="9" style="213"/>
    <col min="12039" max="12039" width="11.125" style="213" bestFit="1" customWidth="1"/>
    <col min="12040" max="12041" width="9" style="213"/>
    <col min="12042" max="12042" width="4.5" style="213" customWidth="1"/>
    <col min="12043" max="12288" width="9" style="213"/>
    <col min="12289" max="12289" width="22.625" style="213" customWidth="1"/>
    <col min="12290" max="12290" width="17.5" style="213" customWidth="1"/>
    <col min="12291" max="12292" width="16.5" style="213" customWidth="1"/>
    <col min="12293" max="12294" width="9" style="213"/>
    <col min="12295" max="12295" width="11.125" style="213" bestFit="1" customWidth="1"/>
    <col min="12296" max="12297" width="9" style="213"/>
    <col min="12298" max="12298" width="4.5" style="213" customWidth="1"/>
    <col min="12299" max="12544" width="9" style="213"/>
    <col min="12545" max="12545" width="22.625" style="213" customWidth="1"/>
    <col min="12546" max="12546" width="17.5" style="213" customWidth="1"/>
    <col min="12547" max="12548" width="16.5" style="213" customWidth="1"/>
    <col min="12549" max="12550" width="9" style="213"/>
    <col min="12551" max="12551" width="11.125" style="213" bestFit="1" customWidth="1"/>
    <col min="12552" max="12553" width="9" style="213"/>
    <col min="12554" max="12554" width="4.5" style="213" customWidth="1"/>
    <col min="12555" max="12800" width="9" style="213"/>
    <col min="12801" max="12801" width="22.625" style="213" customWidth="1"/>
    <col min="12802" max="12802" width="17.5" style="213" customWidth="1"/>
    <col min="12803" max="12804" width="16.5" style="213" customWidth="1"/>
    <col min="12805" max="12806" width="9" style="213"/>
    <col min="12807" max="12807" width="11.125" style="213" bestFit="1" customWidth="1"/>
    <col min="12808" max="12809" width="9" style="213"/>
    <col min="12810" max="12810" width="4.5" style="213" customWidth="1"/>
    <col min="12811" max="13056" width="9" style="213"/>
    <col min="13057" max="13057" width="22.625" style="213" customWidth="1"/>
    <col min="13058" max="13058" width="17.5" style="213" customWidth="1"/>
    <col min="13059" max="13060" width="16.5" style="213" customWidth="1"/>
    <col min="13061" max="13062" width="9" style="213"/>
    <col min="13063" max="13063" width="11.125" style="213" bestFit="1" customWidth="1"/>
    <col min="13064" max="13065" width="9" style="213"/>
    <col min="13066" max="13066" width="4.5" style="213" customWidth="1"/>
    <col min="13067" max="13312" width="9" style="213"/>
    <col min="13313" max="13313" width="22.625" style="213" customWidth="1"/>
    <col min="13314" max="13314" width="17.5" style="213" customWidth="1"/>
    <col min="13315" max="13316" width="16.5" style="213" customWidth="1"/>
    <col min="13317" max="13318" width="9" style="213"/>
    <col min="13319" max="13319" width="11.125" style="213" bestFit="1" customWidth="1"/>
    <col min="13320" max="13321" width="9" style="213"/>
    <col min="13322" max="13322" width="4.5" style="213" customWidth="1"/>
    <col min="13323" max="13568" width="9" style="213"/>
    <col min="13569" max="13569" width="22.625" style="213" customWidth="1"/>
    <col min="13570" max="13570" width="17.5" style="213" customWidth="1"/>
    <col min="13571" max="13572" width="16.5" style="213" customWidth="1"/>
    <col min="13573" max="13574" width="9" style="213"/>
    <col min="13575" max="13575" width="11.125" style="213" bestFit="1" customWidth="1"/>
    <col min="13576" max="13577" width="9" style="213"/>
    <col min="13578" max="13578" width="4.5" style="213" customWidth="1"/>
    <col min="13579" max="13824" width="9" style="213"/>
    <col min="13825" max="13825" width="22.625" style="213" customWidth="1"/>
    <col min="13826" max="13826" width="17.5" style="213" customWidth="1"/>
    <col min="13827" max="13828" width="16.5" style="213" customWidth="1"/>
    <col min="13829" max="13830" width="9" style="213"/>
    <col min="13831" max="13831" width="11.125" style="213" bestFit="1" customWidth="1"/>
    <col min="13832" max="13833" width="9" style="213"/>
    <col min="13834" max="13834" width="4.5" style="213" customWidth="1"/>
    <col min="13835" max="14080" width="9" style="213"/>
    <col min="14081" max="14081" width="22.625" style="213" customWidth="1"/>
    <col min="14082" max="14082" width="17.5" style="213" customWidth="1"/>
    <col min="14083" max="14084" width="16.5" style="213" customWidth="1"/>
    <col min="14085" max="14086" width="9" style="213"/>
    <col min="14087" max="14087" width="11.125" style="213" bestFit="1" customWidth="1"/>
    <col min="14088" max="14089" width="9" style="213"/>
    <col min="14090" max="14090" width="4.5" style="213" customWidth="1"/>
    <col min="14091" max="14336" width="9" style="213"/>
    <col min="14337" max="14337" width="22.625" style="213" customWidth="1"/>
    <col min="14338" max="14338" width="17.5" style="213" customWidth="1"/>
    <col min="14339" max="14340" width="16.5" style="213" customWidth="1"/>
    <col min="14341" max="14342" width="9" style="213"/>
    <col min="14343" max="14343" width="11.125" style="213" bestFit="1" customWidth="1"/>
    <col min="14344" max="14345" width="9" style="213"/>
    <col min="14346" max="14346" width="4.5" style="213" customWidth="1"/>
    <col min="14347" max="14592" width="9" style="213"/>
    <col min="14593" max="14593" width="22.625" style="213" customWidth="1"/>
    <col min="14594" max="14594" width="17.5" style="213" customWidth="1"/>
    <col min="14595" max="14596" width="16.5" style="213" customWidth="1"/>
    <col min="14597" max="14598" width="9" style="213"/>
    <col min="14599" max="14599" width="11.125" style="213" bestFit="1" customWidth="1"/>
    <col min="14600" max="14601" width="9" style="213"/>
    <col min="14602" max="14602" width="4.5" style="213" customWidth="1"/>
    <col min="14603" max="14848" width="9" style="213"/>
    <col min="14849" max="14849" width="22.625" style="213" customWidth="1"/>
    <col min="14850" max="14850" width="17.5" style="213" customWidth="1"/>
    <col min="14851" max="14852" width="16.5" style="213" customWidth="1"/>
    <col min="14853" max="14854" width="9" style="213"/>
    <col min="14855" max="14855" width="11.125" style="213" bestFit="1" customWidth="1"/>
    <col min="14856" max="14857" width="9" style="213"/>
    <col min="14858" max="14858" width="4.5" style="213" customWidth="1"/>
    <col min="14859" max="15104" width="9" style="213"/>
    <col min="15105" max="15105" width="22.625" style="213" customWidth="1"/>
    <col min="15106" max="15106" width="17.5" style="213" customWidth="1"/>
    <col min="15107" max="15108" width="16.5" style="213" customWidth="1"/>
    <col min="15109" max="15110" width="9" style="213"/>
    <col min="15111" max="15111" width="11.125" style="213" bestFit="1" customWidth="1"/>
    <col min="15112" max="15113" width="9" style="213"/>
    <col min="15114" max="15114" width="4.5" style="213" customWidth="1"/>
    <col min="15115" max="15360" width="9" style="213"/>
    <col min="15361" max="15361" width="22.625" style="213" customWidth="1"/>
    <col min="15362" max="15362" width="17.5" style="213" customWidth="1"/>
    <col min="15363" max="15364" width="16.5" style="213" customWidth="1"/>
    <col min="15365" max="15366" width="9" style="213"/>
    <col min="15367" max="15367" width="11.125" style="213" bestFit="1" customWidth="1"/>
    <col min="15368" max="15369" width="9" style="213"/>
    <col min="15370" max="15370" width="4.5" style="213" customWidth="1"/>
    <col min="15371" max="15616" width="9" style="213"/>
    <col min="15617" max="15617" width="22.625" style="213" customWidth="1"/>
    <col min="15618" max="15618" width="17.5" style="213" customWidth="1"/>
    <col min="15619" max="15620" width="16.5" style="213" customWidth="1"/>
    <col min="15621" max="15622" width="9" style="213"/>
    <col min="15623" max="15623" width="11.125" style="213" bestFit="1" customWidth="1"/>
    <col min="15624" max="15625" width="9" style="213"/>
    <col min="15626" max="15626" width="4.5" style="213" customWidth="1"/>
    <col min="15627" max="15872" width="9" style="213"/>
    <col min="15873" max="15873" width="22.625" style="213" customWidth="1"/>
    <col min="15874" max="15874" width="17.5" style="213" customWidth="1"/>
    <col min="15875" max="15876" width="16.5" style="213" customWidth="1"/>
    <col min="15877" max="15878" width="9" style="213"/>
    <col min="15879" max="15879" width="11.125" style="213" bestFit="1" customWidth="1"/>
    <col min="15880" max="15881" width="9" style="213"/>
    <col min="15882" max="15882" width="4.5" style="213" customWidth="1"/>
    <col min="15883" max="16128" width="9" style="213"/>
    <col min="16129" max="16129" width="22.625" style="213" customWidth="1"/>
    <col min="16130" max="16130" width="17.5" style="213" customWidth="1"/>
    <col min="16131" max="16132" width="16.5" style="213" customWidth="1"/>
    <col min="16133" max="16134" width="9" style="213"/>
    <col min="16135" max="16135" width="11.125" style="213" bestFit="1" customWidth="1"/>
    <col min="16136" max="16137" width="9" style="213"/>
    <col min="16138" max="16138" width="4.5" style="213" customWidth="1"/>
    <col min="16139" max="16384" width="9" style="213"/>
  </cols>
  <sheetData>
    <row r="2" spans="1:9" ht="25.5">
      <c r="A2" s="1571" t="s">
        <v>789</v>
      </c>
      <c r="B2" s="1571"/>
      <c r="C2" s="1571"/>
      <c r="D2" s="1571"/>
      <c r="E2" s="1571"/>
    </row>
    <row r="3" spans="1:9">
      <c r="A3" s="1576" t="s">
        <v>299</v>
      </c>
      <c r="B3" s="1576"/>
      <c r="C3" s="1576"/>
      <c r="D3" s="1576"/>
      <c r="E3" s="1576"/>
      <c r="F3" s="227"/>
      <c r="G3" s="227"/>
      <c r="H3" s="227"/>
      <c r="I3" s="227"/>
    </row>
    <row r="4" spans="1:9">
      <c r="A4" s="1576"/>
      <c r="B4" s="1576"/>
      <c r="C4" s="1576"/>
      <c r="D4" s="1576"/>
      <c r="E4" s="1576"/>
    </row>
    <row r="6" spans="1:9" s="214" customFormat="1" ht="24" customHeight="1" thickBot="1">
      <c r="A6" s="1573" t="s">
        <v>1259</v>
      </c>
      <c r="B6" s="1573"/>
      <c r="C6" s="1573"/>
      <c r="D6" s="1573"/>
      <c r="E6" s="1573"/>
      <c r="F6" s="1573"/>
      <c r="G6" s="1573"/>
      <c r="H6" s="1573"/>
    </row>
    <row r="7" spans="1:9" s="214" customFormat="1" ht="24" customHeight="1" thickBot="1">
      <c r="A7" s="647" t="s">
        <v>178</v>
      </c>
      <c r="B7" s="648" t="s">
        <v>179</v>
      </c>
      <c r="C7" s="648" t="s">
        <v>180</v>
      </c>
      <c r="D7" s="649" t="s">
        <v>2</v>
      </c>
    </row>
    <row r="8" spans="1:9" s="214" customFormat="1" ht="19.5" customHeight="1">
      <c r="A8" s="650" t="s">
        <v>1260</v>
      </c>
      <c r="B8" s="651">
        <v>0</v>
      </c>
      <c r="C8" s="651">
        <v>6</v>
      </c>
      <c r="D8" s="652" t="s">
        <v>940</v>
      </c>
    </row>
    <row r="9" spans="1:9" s="214" customFormat="1" ht="19.5" customHeight="1">
      <c r="A9" s="653"/>
      <c r="B9" s="654"/>
      <c r="C9" s="654"/>
      <c r="D9" s="655"/>
    </row>
    <row r="10" spans="1:9" s="214" customFormat="1" ht="24" customHeight="1" thickBot="1">
      <c r="A10" s="656" t="s">
        <v>3</v>
      </c>
      <c r="B10" s="657">
        <f>B8+B9</f>
        <v>0</v>
      </c>
      <c r="C10" s="657">
        <f>C8+C9</f>
        <v>6</v>
      </c>
      <c r="D10" s="658"/>
    </row>
    <row r="11" spans="1:9" s="214" customFormat="1" ht="18" customHeight="1"/>
    <row r="12" spans="1:9" s="214" customFormat="1" ht="18" customHeight="1">
      <c r="A12" s="1573" t="s">
        <v>181</v>
      </c>
      <c r="B12" s="1573"/>
      <c r="C12" s="1573"/>
      <c r="D12" s="1573"/>
      <c r="E12" s="1573"/>
      <c r="F12" s="1573"/>
      <c r="G12" s="1573"/>
      <c r="H12" s="1573"/>
      <c r="I12" s="1573"/>
    </row>
    <row r="13" spans="1:9" s="214" customFormat="1" ht="18" customHeight="1">
      <c r="A13" s="232" t="s">
        <v>502</v>
      </c>
      <c r="B13" s="232"/>
      <c r="C13" s="232"/>
      <c r="D13" s="232"/>
      <c r="E13" s="232"/>
      <c r="F13" s="563"/>
      <c r="G13" s="563"/>
      <c r="H13" s="563"/>
      <c r="I13" s="563"/>
    </row>
    <row r="14" spans="1:9" s="214" customFormat="1" ht="18" customHeight="1">
      <c r="A14" s="232" t="s">
        <v>300</v>
      </c>
      <c r="B14" s="232"/>
      <c r="C14" s="232"/>
      <c r="D14" s="232"/>
      <c r="E14" s="232"/>
      <c r="F14" s="232"/>
      <c r="G14" s="232"/>
      <c r="H14" s="232"/>
      <c r="I14" s="232"/>
    </row>
    <row r="15" spans="1:9" s="214" customFormat="1" ht="17.25" customHeight="1">
      <c r="A15" s="563"/>
      <c r="B15" s="563"/>
      <c r="C15" s="563"/>
      <c r="D15" s="563"/>
      <c r="E15" s="563"/>
      <c r="F15" s="563"/>
      <c r="G15" s="563"/>
      <c r="H15" s="563"/>
    </row>
    <row r="16" spans="1:9" s="214" customFormat="1" ht="21.75" customHeight="1">
      <c r="A16" s="1573" t="s">
        <v>199</v>
      </c>
      <c r="B16" s="1573"/>
      <c r="C16" s="1573"/>
      <c r="D16" s="1573"/>
      <c r="E16" s="1573"/>
      <c r="F16" s="1573"/>
      <c r="G16" s="1573"/>
      <c r="H16" s="1573"/>
    </row>
    <row r="17" spans="1:8" s="214" customFormat="1" ht="21.75" customHeight="1">
      <c r="A17" s="1574" t="s">
        <v>966</v>
      </c>
      <c r="B17" s="1574"/>
      <c r="C17" s="1574"/>
      <c r="D17" s="1574"/>
      <c r="E17" s="1574"/>
      <c r="F17" s="1574"/>
      <c r="G17" s="1574"/>
      <c r="H17" s="1574"/>
    </row>
    <row r="18" spans="1:8" s="214" customFormat="1" ht="21.75" customHeight="1">
      <c r="A18" s="1573" t="s">
        <v>1432</v>
      </c>
      <c r="B18" s="1573"/>
      <c r="C18" s="1573"/>
      <c r="D18" s="1573"/>
      <c r="E18" s="1573"/>
      <c r="F18" s="1573"/>
      <c r="G18" s="1573"/>
      <c r="H18" s="563"/>
    </row>
    <row r="19" spans="1:8" ht="18" customHeight="1">
      <c r="A19" s="239"/>
      <c r="B19" s="239"/>
      <c r="C19" s="239"/>
      <c r="D19" s="239"/>
      <c r="E19" s="239"/>
      <c r="F19" s="233">
        <f>73000*용역비총괄표!O9</f>
        <v>69692.881000000008</v>
      </c>
      <c r="G19" s="239"/>
      <c r="H19" s="239"/>
    </row>
    <row r="20" spans="1:8" ht="18" customHeight="1">
      <c r="A20" s="659" t="s">
        <v>200</v>
      </c>
      <c r="B20" s="660">
        <f>C10*69695</f>
        <v>418170</v>
      </c>
      <c r="C20" s="659" t="s">
        <v>79</v>
      </c>
      <c r="D20" s="659"/>
      <c r="E20" s="659"/>
      <c r="F20" s="659"/>
      <c r="G20" s="659"/>
      <c r="H20" s="239"/>
    </row>
    <row r="21" spans="1:8" ht="18" customHeight="1">
      <c r="G21" s="228"/>
    </row>
    <row r="22" spans="1:8" ht="18" customHeight="1">
      <c r="A22" s="1575"/>
      <c r="B22" s="1575"/>
    </row>
  </sheetData>
  <mergeCells count="9">
    <mergeCell ref="A16:H16"/>
    <mergeCell ref="A17:H17"/>
    <mergeCell ref="A18:G18"/>
    <mergeCell ref="A22:B22"/>
    <mergeCell ref="A2:E2"/>
    <mergeCell ref="A3:E3"/>
    <mergeCell ref="A4:E4"/>
    <mergeCell ref="A6:H6"/>
    <mergeCell ref="A12:I12"/>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topLeftCell="A13" zoomScale="115" zoomScaleNormal="85" zoomScaleSheetLayoutView="115" workbookViewId="0">
      <selection activeCell="I8" sqref="I8:K8"/>
    </sheetView>
  </sheetViews>
  <sheetFormatPr defaultRowHeight="13.5"/>
  <cols>
    <col min="1" max="1" width="32.875" style="213" customWidth="1"/>
    <col min="2" max="2" width="25.5" style="213" customWidth="1"/>
    <col min="3" max="3" width="14.625" style="213" customWidth="1"/>
    <col min="4" max="6" width="9" style="213"/>
    <col min="7" max="7" width="11.125" style="213" bestFit="1" customWidth="1"/>
    <col min="8" max="8" width="8.375" style="213" bestFit="1" customWidth="1"/>
    <col min="9" max="9" width="13.625" style="228" customWidth="1"/>
    <col min="10" max="10" width="1.125" style="213" customWidth="1"/>
    <col min="11" max="11" width="15.5" style="228" bestFit="1" customWidth="1"/>
    <col min="12" max="256" width="9" style="213"/>
    <col min="257" max="257" width="32.875" style="213" customWidth="1"/>
    <col min="258" max="258" width="25.5" style="213" customWidth="1"/>
    <col min="259" max="259" width="14.625" style="213" customWidth="1"/>
    <col min="260" max="262" width="9" style="213"/>
    <col min="263" max="263" width="11.125" style="213" bestFit="1" customWidth="1"/>
    <col min="264" max="264" width="6.25" style="213" customWidth="1"/>
    <col min="265" max="265" width="13.625" style="213" customWidth="1"/>
    <col min="266" max="266" width="1.125" style="213" customWidth="1"/>
    <col min="267" max="267" width="15.5" style="213" bestFit="1" customWidth="1"/>
    <col min="268" max="512" width="9" style="213"/>
    <col min="513" max="513" width="32.875" style="213" customWidth="1"/>
    <col min="514" max="514" width="25.5" style="213" customWidth="1"/>
    <col min="515" max="515" width="14.625" style="213" customWidth="1"/>
    <col min="516" max="518" width="9" style="213"/>
    <col min="519" max="519" width="11.125" style="213" bestFit="1" customWidth="1"/>
    <col min="520" max="520" width="6.25" style="213" customWidth="1"/>
    <col min="521" max="521" width="13.625" style="213" customWidth="1"/>
    <col min="522" max="522" width="1.125" style="213" customWidth="1"/>
    <col min="523" max="523" width="15.5" style="213" bestFit="1" customWidth="1"/>
    <col min="524" max="768" width="9" style="213"/>
    <col min="769" max="769" width="32.875" style="213" customWidth="1"/>
    <col min="770" max="770" width="25.5" style="213" customWidth="1"/>
    <col min="771" max="771" width="14.625" style="213" customWidth="1"/>
    <col min="772" max="774" width="9" style="213"/>
    <col min="775" max="775" width="11.125" style="213" bestFit="1" customWidth="1"/>
    <col min="776" max="776" width="6.25" style="213" customWidth="1"/>
    <col min="777" max="777" width="13.625" style="213" customWidth="1"/>
    <col min="778" max="778" width="1.125" style="213" customWidth="1"/>
    <col min="779" max="779" width="15.5" style="213" bestFit="1" customWidth="1"/>
    <col min="780" max="1024" width="9" style="213"/>
    <col min="1025" max="1025" width="32.875" style="213" customWidth="1"/>
    <col min="1026" max="1026" width="25.5" style="213" customWidth="1"/>
    <col min="1027" max="1027" width="14.625" style="213" customWidth="1"/>
    <col min="1028" max="1030" width="9" style="213"/>
    <col min="1031" max="1031" width="11.125" style="213" bestFit="1" customWidth="1"/>
    <col min="1032" max="1032" width="6.25" style="213" customWidth="1"/>
    <col min="1033" max="1033" width="13.625" style="213" customWidth="1"/>
    <col min="1034" max="1034" width="1.125" style="213" customWidth="1"/>
    <col min="1035" max="1035" width="15.5" style="213" bestFit="1" customWidth="1"/>
    <col min="1036" max="1280" width="9" style="213"/>
    <col min="1281" max="1281" width="32.875" style="213" customWidth="1"/>
    <col min="1282" max="1282" width="25.5" style="213" customWidth="1"/>
    <col min="1283" max="1283" width="14.625" style="213" customWidth="1"/>
    <col min="1284" max="1286" width="9" style="213"/>
    <col min="1287" max="1287" width="11.125" style="213" bestFit="1" customWidth="1"/>
    <col min="1288" max="1288" width="6.25" style="213" customWidth="1"/>
    <col min="1289" max="1289" width="13.625" style="213" customWidth="1"/>
    <col min="1290" max="1290" width="1.125" style="213" customWidth="1"/>
    <col min="1291" max="1291" width="15.5" style="213" bestFit="1" customWidth="1"/>
    <col min="1292" max="1536" width="9" style="213"/>
    <col min="1537" max="1537" width="32.875" style="213" customWidth="1"/>
    <col min="1538" max="1538" width="25.5" style="213" customWidth="1"/>
    <col min="1539" max="1539" width="14.625" style="213" customWidth="1"/>
    <col min="1540" max="1542" width="9" style="213"/>
    <col min="1543" max="1543" width="11.125" style="213" bestFit="1" customWidth="1"/>
    <col min="1544" max="1544" width="6.25" style="213" customWidth="1"/>
    <col min="1545" max="1545" width="13.625" style="213" customWidth="1"/>
    <col min="1546" max="1546" width="1.125" style="213" customWidth="1"/>
    <col min="1547" max="1547" width="15.5" style="213" bestFit="1" customWidth="1"/>
    <col min="1548" max="1792" width="9" style="213"/>
    <col min="1793" max="1793" width="32.875" style="213" customWidth="1"/>
    <col min="1794" max="1794" width="25.5" style="213" customWidth="1"/>
    <col min="1795" max="1795" width="14.625" style="213" customWidth="1"/>
    <col min="1796" max="1798" width="9" style="213"/>
    <col min="1799" max="1799" width="11.125" style="213" bestFit="1" customWidth="1"/>
    <col min="1800" max="1800" width="6.25" style="213" customWidth="1"/>
    <col min="1801" max="1801" width="13.625" style="213" customWidth="1"/>
    <col min="1802" max="1802" width="1.125" style="213" customWidth="1"/>
    <col min="1803" max="1803" width="15.5" style="213" bestFit="1" customWidth="1"/>
    <col min="1804" max="2048" width="9" style="213"/>
    <col min="2049" max="2049" width="32.875" style="213" customWidth="1"/>
    <col min="2050" max="2050" width="25.5" style="213" customWidth="1"/>
    <col min="2051" max="2051" width="14.625" style="213" customWidth="1"/>
    <col min="2052" max="2054" width="9" style="213"/>
    <col min="2055" max="2055" width="11.125" style="213" bestFit="1" customWidth="1"/>
    <col min="2056" max="2056" width="6.25" style="213" customWidth="1"/>
    <col min="2057" max="2057" width="13.625" style="213" customWidth="1"/>
    <col min="2058" max="2058" width="1.125" style="213" customWidth="1"/>
    <col min="2059" max="2059" width="15.5" style="213" bestFit="1" customWidth="1"/>
    <col min="2060" max="2304" width="9" style="213"/>
    <col min="2305" max="2305" width="32.875" style="213" customWidth="1"/>
    <col min="2306" max="2306" width="25.5" style="213" customWidth="1"/>
    <col min="2307" max="2307" width="14.625" style="213" customWidth="1"/>
    <col min="2308" max="2310" width="9" style="213"/>
    <col min="2311" max="2311" width="11.125" style="213" bestFit="1" customWidth="1"/>
    <col min="2312" max="2312" width="6.25" style="213" customWidth="1"/>
    <col min="2313" max="2313" width="13.625" style="213" customWidth="1"/>
    <col min="2314" max="2314" width="1.125" style="213" customWidth="1"/>
    <col min="2315" max="2315" width="15.5" style="213" bestFit="1" customWidth="1"/>
    <col min="2316" max="2560" width="9" style="213"/>
    <col min="2561" max="2561" width="32.875" style="213" customWidth="1"/>
    <col min="2562" max="2562" width="25.5" style="213" customWidth="1"/>
    <col min="2563" max="2563" width="14.625" style="213" customWidth="1"/>
    <col min="2564" max="2566" width="9" style="213"/>
    <col min="2567" max="2567" width="11.125" style="213" bestFit="1" customWidth="1"/>
    <col min="2568" max="2568" width="6.25" style="213" customWidth="1"/>
    <col min="2569" max="2569" width="13.625" style="213" customWidth="1"/>
    <col min="2570" max="2570" width="1.125" style="213" customWidth="1"/>
    <col min="2571" max="2571" width="15.5" style="213" bestFit="1" customWidth="1"/>
    <col min="2572" max="2816" width="9" style="213"/>
    <col min="2817" max="2817" width="32.875" style="213" customWidth="1"/>
    <col min="2818" max="2818" width="25.5" style="213" customWidth="1"/>
    <col min="2819" max="2819" width="14.625" style="213" customWidth="1"/>
    <col min="2820" max="2822" width="9" style="213"/>
    <col min="2823" max="2823" width="11.125" style="213" bestFit="1" customWidth="1"/>
    <col min="2824" max="2824" width="6.25" style="213" customWidth="1"/>
    <col min="2825" max="2825" width="13.625" style="213" customWidth="1"/>
    <col min="2826" max="2826" width="1.125" style="213" customWidth="1"/>
    <col min="2827" max="2827" width="15.5" style="213" bestFit="1" customWidth="1"/>
    <col min="2828" max="3072" width="9" style="213"/>
    <col min="3073" max="3073" width="32.875" style="213" customWidth="1"/>
    <col min="3074" max="3074" width="25.5" style="213" customWidth="1"/>
    <col min="3075" max="3075" width="14.625" style="213" customWidth="1"/>
    <col min="3076" max="3078" width="9" style="213"/>
    <col min="3079" max="3079" width="11.125" style="213" bestFit="1" customWidth="1"/>
    <col min="3080" max="3080" width="6.25" style="213" customWidth="1"/>
    <col min="3081" max="3081" width="13.625" style="213" customWidth="1"/>
    <col min="3082" max="3082" width="1.125" style="213" customWidth="1"/>
    <col min="3083" max="3083" width="15.5" style="213" bestFit="1" customWidth="1"/>
    <col min="3084" max="3328" width="9" style="213"/>
    <col min="3329" max="3329" width="32.875" style="213" customWidth="1"/>
    <col min="3330" max="3330" width="25.5" style="213" customWidth="1"/>
    <col min="3331" max="3331" width="14.625" style="213" customWidth="1"/>
    <col min="3332" max="3334" width="9" style="213"/>
    <col min="3335" max="3335" width="11.125" style="213" bestFit="1" customWidth="1"/>
    <col min="3336" max="3336" width="6.25" style="213" customWidth="1"/>
    <col min="3337" max="3337" width="13.625" style="213" customWidth="1"/>
    <col min="3338" max="3338" width="1.125" style="213" customWidth="1"/>
    <col min="3339" max="3339" width="15.5" style="213" bestFit="1" customWidth="1"/>
    <col min="3340" max="3584" width="9" style="213"/>
    <col min="3585" max="3585" width="32.875" style="213" customWidth="1"/>
    <col min="3586" max="3586" width="25.5" style="213" customWidth="1"/>
    <col min="3587" max="3587" width="14.625" style="213" customWidth="1"/>
    <col min="3588" max="3590" width="9" style="213"/>
    <col min="3591" max="3591" width="11.125" style="213" bestFit="1" customWidth="1"/>
    <col min="3592" max="3592" width="6.25" style="213" customWidth="1"/>
    <col min="3593" max="3593" width="13.625" style="213" customWidth="1"/>
    <col min="3594" max="3594" width="1.125" style="213" customWidth="1"/>
    <col min="3595" max="3595" width="15.5" style="213" bestFit="1" customWidth="1"/>
    <col min="3596" max="3840" width="9" style="213"/>
    <col min="3841" max="3841" width="32.875" style="213" customWidth="1"/>
    <col min="3842" max="3842" width="25.5" style="213" customWidth="1"/>
    <col min="3843" max="3843" width="14.625" style="213" customWidth="1"/>
    <col min="3844" max="3846" width="9" style="213"/>
    <col min="3847" max="3847" width="11.125" style="213" bestFit="1" customWidth="1"/>
    <col min="3848" max="3848" width="6.25" style="213" customWidth="1"/>
    <col min="3849" max="3849" width="13.625" style="213" customWidth="1"/>
    <col min="3850" max="3850" width="1.125" style="213" customWidth="1"/>
    <col min="3851" max="3851" width="15.5" style="213" bestFit="1" customWidth="1"/>
    <col min="3852" max="4096" width="9" style="213"/>
    <col min="4097" max="4097" width="32.875" style="213" customWidth="1"/>
    <col min="4098" max="4098" width="25.5" style="213" customWidth="1"/>
    <col min="4099" max="4099" width="14.625" style="213" customWidth="1"/>
    <col min="4100" max="4102" width="9" style="213"/>
    <col min="4103" max="4103" width="11.125" style="213" bestFit="1" customWidth="1"/>
    <col min="4104" max="4104" width="6.25" style="213" customWidth="1"/>
    <col min="4105" max="4105" width="13.625" style="213" customWidth="1"/>
    <col min="4106" max="4106" width="1.125" style="213" customWidth="1"/>
    <col min="4107" max="4107" width="15.5" style="213" bestFit="1" customWidth="1"/>
    <col min="4108" max="4352" width="9" style="213"/>
    <col min="4353" max="4353" width="32.875" style="213" customWidth="1"/>
    <col min="4354" max="4354" width="25.5" style="213" customWidth="1"/>
    <col min="4355" max="4355" width="14.625" style="213" customWidth="1"/>
    <col min="4356" max="4358" width="9" style="213"/>
    <col min="4359" max="4359" width="11.125" style="213" bestFit="1" customWidth="1"/>
    <col min="4360" max="4360" width="6.25" style="213" customWidth="1"/>
    <col min="4361" max="4361" width="13.625" style="213" customWidth="1"/>
    <col min="4362" max="4362" width="1.125" style="213" customWidth="1"/>
    <col min="4363" max="4363" width="15.5" style="213" bestFit="1" customWidth="1"/>
    <col min="4364" max="4608" width="9" style="213"/>
    <col min="4609" max="4609" width="32.875" style="213" customWidth="1"/>
    <col min="4610" max="4610" width="25.5" style="213" customWidth="1"/>
    <col min="4611" max="4611" width="14.625" style="213" customWidth="1"/>
    <col min="4612" max="4614" width="9" style="213"/>
    <col min="4615" max="4615" width="11.125" style="213" bestFit="1" customWidth="1"/>
    <col min="4616" max="4616" width="6.25" style="213" customWidth="1"/>
    <col min="4617" max="4617" width="13.625" style="213" customWidth="1"/>
    <col min="4618" max="4618" width="1.125" style="213" customWidth="1"/>
    <col min="4619" max="4619" width="15.5" style="213" bestFit="1" customWidth="1"/>
    <col min="4620" max="4864" width="9" style="213"/>
    <col min="4865" max="4865" width="32.875" style="213" customWidth="1"/>
    <col min="4866" max="4866" width="25.5" style="213" customWidth="1"/>
    <col min="4867" max="4867" width="14.625" style="213" customWidth="1"/>
    <col min="4868" max="4870" width="9" style="213"/>
    <col min="4871" max="4871" width="11.125" style="213" bestFit="1" customWidth="1"/>
    <col min="4872" max="4872" width="6.25" style="213" customWidth="1"/>
    <col min="4873" max="4873" width="13.625" style="213" customWidth="1"/>
    <col min="4874" max="4874" width="1.125" style="213" customWidth="1"/>
    <col min="4875" max="4875" width="15.5" style="213" bestFit="1" customWidth="1"/>
    <col min="4876" max="5120" width="9" style="213"/>
    <col min="5121" max="5121" width="32.875" style="213" customWidth="1"/>
    <col min="5122" max="5122" width="25.5" style="213" customWidth="1"/>
    <col min="5123" max="5123" width="14.625" style="213" customWidth="1"/>
    <col min="5124" max="5126" width="9" style="213"/>
    <col min="5127" max="5127" width="11.125" style="213" bestFit="1" customWidth="1"/>
    <col min="5128" max="5128" width="6.25" style="213" customWidth="1"/>
    <col min="5129" max="5129" width="13.625" style="213" customWidth="1"/>
    <col min="5130" max="5130" width="1.125" style="213" customWidth="1"/>
    <col min="5131" max="5131" width="15.5" style="213" bestFit="1" customWidth="1"/>
    <col min="5132" max="5376" width="9" style="213"/>
    <col min="5377" max="5377" width="32.875" style="213" customWidth="1"/>
    <col min="5378" max="5378" width="25.5" style="213" customWidth="1"/>
    <col min="5379" max="5379" width="14.625" style="213" customWidth="1"/>
    <col min="5380" max="5382" width="9" style="213"/>
    <col min="5383" max="5383" width="11.125" style="213" bestFit="1" customWidth="1"/>
    <col min="5384" max="5384" width="6.25" style="213" customWidth="1"/>
    <col min="5385" max="5385" width="13.625" style="213" customWidth="1"/>
    <col min="5386" max="5386" width="1.125" style="213" customWidth="1"/>
    <col min="5387" max="5387" width="15.5" style="213" bestFit="1" customWidth="1"/>
    <col min="5388" max="5632" width="9" style="213"/>
    <col min="5633" max="5633" width="32.875" style="213" customWidth="1"/>
    <col min="5634" max="5634" width="25.5" style="213" customWidth="1"/>
    <col min="5635" max="5635" width="14.625" style="213" customWidth="1"/>
    <col min="5636" max="5638" width="9" style="213"/>
    <col min="5639" max="5639" width="11.125" style="213" bestFit="1" customWidth="1"/>
    <col min="5640" max="5640" width="6.25" style="213" customWidth="1"/>
    <col min="5641" max="5641" width="13.625" style="213" customWidth="1"/>
    <col min="5642" max="5642" width="1.125" style="213" customWidth="1"/>
    <col min="5643" max="5643" width="15.5" style="213" bestFit="1" customWidth="1"/>
    <col min="5644" max="5888" width="9" style="213"/>
    <col min="5889" max="5889" width="32.875" style="213" customWidth="1"/>
    <col min="5890" max="5890" width="25.5" style="213" customWidth="1"/>
    <col min="5891" max="5891" width="14.625" style="213" customWidth="1"/>
    <col min="5892" max="5894" width="9" style="213"/>
    <col min="5895" max="5895" width="11.125" style="213" bestFit="1" customWidth="1"/>
    <col min="5896" max="5896" width="6.25" style="213" customWidth="1"/>
    <col min="5897" max="5897" width="13.625" style="213" customWidth="1"/>
    <col min="5898" max="5898" width="1.125" style="213" customWidth="1"/>
    <col min="5899" max="5899" width="15.5" style="213" bestFit="1" customWidth="1"/>
    <col min="5900" max="6144" width="9" style="213"/>
    <col min="6145" max="6145" width="32.875" style="213" customWidth="1"/>
    <col min="6146" max="6146" width="25.5" style="213" customWidth="1"/>
    <col min="6147" max="6147" width="14.625" style="213" customWidth="1"/>
    <col min="6148" max="6150" width="9" style="213"/>
    <col min="6151" max="6151" width="11.125" style="213" bestFit="1" customWidth="1"/>
    <col min="6152" max="6152" width="6.25" style="213" customWidth="1"/>
    <col min="6153" max="6153" width="13.625" style="213" customWidth="1"/>
    <col min="6154" max="6154" width="1.125" style="213" customWidth="1"/>
    <col min="6155" max="6155" width="15.5" style="213" bestFit="1" customWidth="1"/>
    <col min="6156" max="6400" width="9" style="213"/>
    <col min="6401" max="6401" width="32.875" style="213" customWidth="1"/>
    <col min="6402" max="6402" width="25.5" style="213" customWidth="1"/>
    <col min="6403" max="6403" width="14.625" style="213" customWidth="1"/>
    <col min="6404" max="6406" width="9" style="213"/>
    <col min="6407" max="6407" width="11.125" style="213" bestFit="1" customWidth="1"/>
    <col min="6408" max="6408" width="6.25" style="213" customWidth="1"/>
    <col min="6409" max="6409" width="13.625" style="213" customWidth="1"/>
    <col min="6410" max="6410" width="1.125" style="213" customWidth="1"/>
    <col min="6411" max="6411" width="15.5" style="213" bestFit="1" customWidth="1"/>
    <col min="6412" max="6656" width="9" style="213"/>
    <col min="6657" max="6657" width="32.875" style="213" customWidth="1"/>
    <col min="6658" max="6658" width="25.5" style="213" customWidth="1"/>
    <col min="6659" max="6659" width="14.625" style="213" customWidth="1"/>
    <col min="6660" max="6662" width="9" style="213"/>
    <col min="6663" max="6663" width="11.125" style="213" bestFit="1" customWidth="1"/>
    <col min="6664" max="6664" width="6.25" style="213" customWidth="1"/>
    <col min="6665" max="6665" width="13.625" style="213" customWidth="1"/>
    <col min="6666" max="6666" width="1.125" style="213" customWidth="1"/>
    <col min="6667" max="6667" width="15.5" style="213" bestFit="1" customWidth="1"/>
    <col min="6668" max="6912" width="9" style="213"/>
    <col min="6913" max="6913" width="32.875" style="213" customWidth="1"/>
    <col min="6914" max="6914" width="25.5" style="213" customWidth="1"/>
    <col min="6915" max="6915" width="14.625" style="213" customWidth="1"/>
    <col min="6916" max="6918" width="9" style="213"/>
    <col min="6919" max="6919" width="11.125" style="213" bestFit="1" customWidth="1"/>
    <col min="6920" max="6920" width="6.25" style="213" customWidth="1"/>
    <col min="6921" max="6921" width="13.625" style="213" customWidth="1"/>
    <col min="6922" max="6922" width="1.125" style="213" customWidth="1"/>
    <col min="6923" max="6923" width="15.5" style="213" bestFit="1" customWidth="1"/>
    <col min="6924" max="7168" width="9" style="213"/>
    <col min="7169" max="7169" width="32.875" style="213" customWidth="1"/>
    <col min="7170" max="7170" width="25.5" style="213" customWidth="1"/>
    <col min="7171" max="7171" width="14.625" style="213" customWidth="1"/>
    <col min="7172" max="7174" width="9" style="213"/>
    <col min="7175" max="7175" width="11.125" style="213" bestFit="1" customWidth="1"/>
    <col min="7176" max="7176" width="6.25" style="213" customWidth="1"/>
    <col min="7177" max="7177" width="13.625" style="213" customWidth="1"/>
    <col min="7178" max="7178" width="1.125" style="213" customWidth="1"/>
    <col min="7179" max="7179" width="15.5" style="213" bestFit="1" customWidth="1"/>
    <col min="7180" max="7424" width="9" style="213"/>
    <col min="7425" max="7425" width="32.875" style="213" customWidth="1"/>
    <col min="7426" max="7426" width="25.5" style="213" customWidth="1"/>
    <col min="7427" max="7427" width="14.625" style="213" customWidth="1"/>
    <col min="7428" max="7430" width="9" style="213"/>
    <col min="7431" max="7431" width="11.125" style="213" bestFit="1" customWidth="1"/>
    <col min="7432" max="7432" width="6.25" style="213" customWidth="1"/>
    <col min="7433" max="7433" width="13.625" style="213" customWidth="1"/>
    <col min="7434" max="7434" width="1.125" style="213" customWidth="1"/>
    <col min="7435" max="7435" width="15.5" style="213" bestFit="1" customWidth="1"/>
    <col min="7436" max="7680" width="9" style="213"/>
    <col min="7681" max="7681" width="32.875" style="213" customWidth="1"/>
    <col min="7682" max="7682" width="25.5" style="213" customWidth="1"/>
    <col min="7683" max="7683" width="14.625" style="213" customWidth="1"/>
    <col min="7684" max="7686" width="9" style="213"/>
    <col min="7687" max="7687" width="11.125" style="213" bestFit="1" customWidth="1"/>
    <col min="7688" max="7688" width="6.25" style="213" customWidth="1"/>
    <col min="7689" max="7689" width="13.625" style="213" customWidth="1"/>
    <col min="7690" max="7690" width="1.125" style="213" customWidth="1"/>
    <col min="7691" max="7691" width="15.5" style="213" bestFit="1" customWidth="1"/>
    <col min="7692" max="7936" width="9" style="213"/>
    <col min="7937" max="7937" width="32.875" style="213" customWidth="1"/>
    <col min="7938" max="7938" width="25.5" style="213" customWidth="1"/>
    <col min="7939" max="7939" width="14.625" style="213" customWidth="1"/>
    <col min="7940" max="7942" width="9" style="213"/>
    <col min="7943" max="7943" width="11.125" style="213" bestFit="1" customWidth="1"/>
    <col min="7944" max="7944" width="6.25" style="213" customWidth="1"/>
    <col min="7945" max="7945" width="13.625" style="213" customWidth="1"/>
    <col min="7946" max="7946" width="1.125" style="213" customWidth="1"/>
    <col min="7947" max="7947" width="15.5" style="213" bestFit="1" customWidth="1"/>
    <col min="7948" max="8192" width="9" style="213"/>
    <col min="8193" max="8193" width="32.875" style="213" customWidth="1"/>
    <col min="8194" max="8194" width="25.5" style="213" customWidth="1"/>
    <col min="8195" max="8195" width="14.625" style="213" customWidth="1"/>
    <col min="8196" max="8198" width="9" style="213"/>
    <col min="8199" max="8199" width="11.125" style="213" bestFit="1" customWidth="1"/>
    <col min="8200" max="8200" width="6.25" style="213" customWidth="1"/>
    <col min="8201" max="8201" width="13.625" style="213" customWidth="1"/>
    <col min="8202" max="8202" width="1.125" style="213" customWidth="1"/>
    <col min="8203" max="8203" width="15.5" style="213" bestFit="1" customWidth="1"/>
    <col min="8204" max="8448" width="9" style="213"/>
    <col min="8449" max="8449" width="32.875" style="213" customWidth="1"/>
    <col min="8450" max="8450" width="25.5" style="213" customWidth="1"/>
    <col min="8451" max="8451" width="14.625" style="213" customWidth="1"/>
    <col min="8452" max="8454" width="9" style="213"/>
    <col min="8455" max="8455" width="11.125" style="213" bestFit="1" customWidth="1"/>
    <col min="8456" max="8456" width="6.25" style="213" customWidth="1"/>
    <col min="8457" max="8457" width="13.625" style="213" customWidth="1"/>
    <col min="8458" max="8458" width="1.125" style="213" customWidth="1"/>
    <col min="8459" max="8459" width="15.5" style="213" bestFit="1" customWidth="1"/>
    <col min="8460" max="8704" width="9" style="213"/>
    <col min="8705" max="8705" width="32.875" style="213" customWidth="1"/>
    <col min="8706" max="8706" width="25.5" style="213" customWidth="1"/>
    <col min="8707" max="8707" width="14.625" style="213" customWidth="1"/>
    <col min="8708" max="8710" width="9" style="213"/>
    <col min="8711" max="8711" width="11.125" style="213" bestFit="1" customWidth="1"/>
    <col min="8712" max="8712" width="6.25" style="213" customWidth="1"/>
    <col min="8713" max="8713" width="13.625" style="213" customWidth="1"/>
    <col min="8714" max="8714" width="1.125" style="213" customWidth="1"/>
    <col min="8715" max="8715" width="15.5" style="213" bestFit="1" customWidth="1"/>
    <col min="8716" max="8960" width="9" style="213"/>
    <col min="8961" max="8961" width="32.875" style="213" customWidth="1"/>
    <col min="8962" max="8962" width="25.5" style="213" customWidth="1"/>
    <col min="8963" max="8963" width="14.625" style="213" customWidth="1"/>
    <col min="8964" max="8966" width="9" style="213"/>
    <col min="8967" max="8967" width="11.125" style="213" bestFit="1" customWidth="1"/>
    <col min="8968" max="8968" width="6.25" style="213" customWidth="1"/>
    <col min="8969" max="8969" width="13.625" style="213" customWidth="1"/>
    <col min="8970" max="8970" width="1.125" style="213" customWidth="1"/>
    <col min="8971" max="8971" width="15.5" style="213" bestFit="1" customWidth="1"/>
    <col min="8972" max="9216" width="9" style="213"/>
    <col min="9217" max="9217" width="32.875" style="213" customWidth="1"/>
    <col min="9218" max="9218" width="25.5" style="213" customWidth="1"/>
    <col min="9219" max="9219" width="14.625" style="213" customWidth="1"/>
    <col min="9220" max="9222" width="9" style="213"/>
    <col min="9223" max="9223" width="11.125" style="213" bestFit="1" customWidth="1"/>
    <col min="9224" max="9224" width="6.25" style="213" customWidth="1"/>
    <col min="9225" max="9225" width="13.625" style="213" customWidth="1"/>
    <col min="9226" max="9226" width="1.125" style="213" customWidth="1"/>
    <col min="9227" max="9227" width="15.5" style="213" bestFit="1" customWidth="1"/>
    <col min="9228" max="9472" width="9" style="213"/>
    <col min="9473" max="9473" width="32.875" style="213" customWidth="1"/>
    <col min="9474" max="9474" width="25.5" style="213" customWidth="1"/>
    <col min="9475" max="9475" width="14.625" style="213" customWidth="1"/>
    <col min="9476" max="9478" width="9" style="213"/>
    <col min="9479" max="9479" width="11.125" style="213" bestFit="1" customWidth="1"/>
    <col min="9480" max="9480" width="6.25" style="213" customWidth="1"/>
    <col min="9481" max="9481" width="13.625" style="213" customWidth="1"/>
    <col min="9482" max="9482" width="1.125" style="213" customWidth="1"/>
    <col min="9483" max="9483" width="15.5" style="213" bestFit="1" customWidth="1"/>
    <col min="9484" max="9728" width="9" style="213"/>
    <col min="9729" max="9729" width="32.875" style="213" customWidth="1"/>
    <col min="9730" max="9730" width="25.5" style="213" customWidth="1"/>
    <col min="9731" max="9731" width="14.625" style="213" customWidth="1"/>
    <col min="9732" max="9734" width="9" style="213"/>
    <col min="9735" max="9735" width="11.125" style="213" bestFit="1" customWidth="1"/>
    <col min="9736" max="9736" width="6.25" style="213" customWidth="1"/>
    <col min="9737" max="9737" width="13.625" style="213" customWidth="1"/>
    <col min="9738" max="9738" width="1.125" style="213" customWidth="1"/>
    <col min="9739" max="9739" width="15.5" style="213" bestFit="1" customWidth="1"/>
    <col min="9740" max="9984" width="9" style="213"/>
    <col min="9985" max="9985" width="32.875" style="213" customWidth="1"/>
    <col min="9986" max="9986" width="25.5" style="213" customWidth="1"/>
    <col min="9987" max="9987" width="14.625" style="213" customWidth="1"/>
    <col min="9988" max="9990" width="9" style="213"/>
    <col min="9991" max="9991" width="11.125" style="213" bestFit="1" customWidth="1"/>
    <col min="9992" max="9992" width="6.25" style="213" customWidth="1"/>
    <col min="9993" max="9993" width="13.625" style="213" customWidth="1"/>
    <col min="9994" max="9994" width="1.125" style="213" customWidth="1"/>
    <col min="9995" max="9995" width="15.5" style="213" bestFit="1" customWidth="1"/>
    <col min="9996" max="10240" width="9" style="213"/>
    <col min="10241" max="10241" width="32.875" style="213" customWidth="1"/>
    <col min="10242" max="10242" width="25.5" style="213" customWidth="1"/>
    <col min="10243" max="10243" width="14.625" style="213" customWidth="1"/>
    <col min="10244" max="10246" width="9" style="213"/>
    <col min="10247" max="10247" width="11.125" style="213" bestFit="1" customWidth="1"/>
    <col min="10248" max="10248" width="6.25" style="213" customWidth="1"/>
    <col min="10249" max="10249" width="13.625" style="213" customWidth="1"/>
    <col min="10250" max="10250" width="1.125" style="213" customWidth="1"/>
    <col min="10251" max="10251" width="15.5" style="213" bestFit="1" customWidth="1"/>
    <col min="10252" max="10496" width="9" style="213"/>
    <col min="10497" max="10497" width="32.875" style="213" customWidth="1"/>
    <col min="10498" max="10498" width="25.5" style="213" customWidth="1"/>
    <col min="10499" max="10499" width="14.625" style="213" customWidth="1"/>
    <col min="10500" max="10502" width="9" style="213"/>
    <col min="10503" max="10503" width="11.125" style="213" bestFit="1" customWidth="1"/>
    <col min="10504" max="10504" width="6.25" style="213" customWidth="1"/>
    <col min="10505" max="10505" width="13.625" style="213" customWidth="1"/>
    <col min="10506" max="10506" width="1.125" style="213" customWidth="1"/>
    <col min="10507" max="10507" width="15.5" style="213" bestFit="1" customWidth="1"/>
    <col min="10508" max="10752" width="9" style="213"/>
    <col min="10753" max="10753" width="32.875" style="213" customWidth="1"/>
    <col min="10754" max="10754" width="25.5" style="213" customWidth="1"/>
    <col min="10755" max="10755" width="14.625" style="213" customWidth="1"/>
    <col min="10756" max="10758" width="9" style="213"/>
    <col min="10759" max="10759" width="11.125" style="213" bestFit="1" customWidth="1"/>
    <col min="10760" max="10760" width="6.25" style="213" customWidth="1"/>
    <col min="10761" max="10761" width="13.625" style="213" customWidth="1"/>
    <col min="10762" max="10762" width="1.125" style="213" customWidth="1"/>
    <col min="10763" max="10763" width="15.5" style="213" bestFit="1" customWidth="1"/>
    <col min="10764" max="11008" width="9" style="213"/>
    <col min="11009" max="11009" width="32.875" style="213" customWidth="1"/>
    <col min="11010" max="11010" width="25.5" style="213" customWidth="1"/>
    <col min="11011" max="11011" width="14.625" style="213" customWidth="1"/>
    <col min="11012" max="11014" width="9" style="213"/>
    <col min="11015" max="11015" width="11.125" style="213" bestFit="1" customWidth="1"/>
    <col min="11016" max="11016" width="6.25" style="213" customWidth="1"/>
    <col min="11017" max="11017" width="13.625" style="213" customWidth="1"/>
    <col min="11018" max="11018" width="1.125" style="213" customWidth="1"/>
    <col min="11019" max="11019" width="15.5" style="213" bestFit="1" customWidth="1"/>
    <col min="11020" max="11264" width="9" style="213"/>
    <col min="11265" max="11265" width="32.875" style="213" customWidth="1"/>
    <col min="11266" max="11266" width="25.5" style="213" customWidth="1"/>
    <col min="11267" max="11267" width="14.625" style="213" customWidth="1"/>
    <col min="11268" max="11270" width="9" style="213"/>
    <col min="11271" max="11271" width="11.125" style="213" bestFit="1" customWidth="1"/>
    <col min="11272" max="11272" width="6.25" style="213" customWidth="1"/>
    <col min="11273" max="11273" width="13.625" style="213" customWidth="1"/>
    <col min="11274" max="11274" width="1.125" style="213" customWidth="1"/>
    <col min="11275" max="11275" width="15.5" style="213" bestFit="1" customWidth="1"/>
    <col min="11276" max="11520" width="9" style="213"/>
    <col min="11521" max="11521" width="32.875" style="213" customWidth="1"/>
    <col min="11522" max="11522" width="25.5" style="213" customWidth="1"/>
    <col min="11523" max="11523" width="14.625" style="213" customWidth="1"/>
    <col min="11524" max="11526" width="9" style="213"/>
    <col min="11527" max="11527" width="11.125" style="213" bestFit="1" customWidth="1"/>
    <col min="11528" max="11528" width="6.25" style="213" customWidth="1"/>
    <col min="11529" max="11529" width="13.625" style="213" customWidth="1"/>
    <col min="11530" max="11530" width="1.125" style="213" customWidth="1"/>
    <col min="11531" max="11531" width="15.5" style="213" bestFit="1" customWidth="1"/>
    <col min="11532" max="11776" width="9" style="213"/>
    <col min="11777" max="11777" width="32.875" style="213" customWidth="1"/>
    <col min="11778" max="11778" width="25.5" style="213" customWidth="1"/>
    <col min="11779" max="11779" width="14.625" style="213" customWidth="1"/>
    <col min="11780" max="11782" width="9" style="213"/>
    <col min="11783" max="11783" width="11.125" style="213" bestFit="1" customWidth="1"/>
    <col min="11784" max="11784" width="6.25" style="213" customWidth="1"/>
    <col min="11785" max="11785" width="13.625" style="213" customWidth="1"/>
    <col min="11786" max="11786" width="1.125" style="213" customWidth="1"/>
    <col min="11787" max="11787" width="15.5" style="213" bestFit="1" customWidth="1"/>
    <col min="11788" max="12032" width="9" style="213"/>
    <col min="12033" max="12033" width="32.875" style="213" customWidth="1"/>
    <col min="12034" max="12034" width="25.5" style="213" customWidth="1"/>
    <col min="12035" max="12035" width="14.625" style="213" customWidth="1"/>
    <col min="12036" max="12038" width="9" style="213"/>
    <col min="12039" max="12039" width="11.125" style="213" bestFit="1" customWidth="1"/>
    <col min="12040" max="12040" width="6.25" style="213" customWidth="1"/>
    <col min="12041" max="12041" width="13.625" style="213" customWidth="1"/>
    <col min="12042" max="12042" width="1.125" style="213" customWidth="1"/>
    <col min="12043" max="12043" width="15.5" style="213" bestFit="1" customWidth="1"/>
    <col min="12044" max="12288" width="9" style="213"/>
    <col min="12289" max="12289" width="32.875" style="213" customWidth="1"/>
    <col min="12290" max="12290" width="25.5" style="213" customWidth="1"/>
    <col min="12291" max="12291" width="14.625" style="213" customWidth="1"/>
    <col min="12292" max="12294" width="9" style="213"/>
    <col min="12295" max="12295" width="11.125" style="213" bestFit="1" customWidth="1"/>
    <col min="12296" max="12296" width="6.25" style="213" customWidth="1"/>
    <col min="12297" max="12297" width="13.625" style="213" customWidth="1"/>
    <col min="12298" max="12298" width="1.125" style="213" customWidth="1"/>
    <col min="12299" max="12299" width="15.5" style="213" bestFit="1" customWidth="1"/>
    <col min="12300" max="12544" width="9" style="213"/>
    <col min="12545" max="12545" width="32.875" style="213" customWidth="1"/>
    <col min="12546" max="12546" width="25.5" style="213" customWidth="1"/>
    <col min="12547" max="12547" width="14.625" style="213" customWidth="1"/>
    <col min="12548" max="12550" width="9" style="213"/>
    <col min="12551" max="12551" width="11.125" style="213" bestFit="1" customWidth="1"/>
    <col min="12552" max="12552" width="6.25" style="213" customWidth="1"/>
    <col min="12553" max="12553" width="13.625" style="213" customWidth="1"/>
    <col min="12554" max="12554" width="1.125" style="213" customWidth="1"/>
    <col min="12555" max="12555" width="15.5" style="213" bestFit="1" customWidth="1"/>
    <col min="12556" max="12800" width="9" style="213"/>
    <col min="12801" max="12801" width="32.875" style="213" customWidth="1"/>
    <col min="12802" max="12802" width="25.5" style="213" customWidth="1"/>
    <col min="12803" max="12803" width="14.625" style="213" customWidth="1"/>
    <col min="12804" max="12806" width="9" style="213"/>
    <col min="12807" max="12807" width="11.125" style="213" bestFit="1" customWidth="1"/>
    <col min="12808" max="12808" width="6.25" style="213" customWidth="1"/>
    <col min="12809" max="12809" width="13.625" style="213" customWidth="1"/>
    <col min="12810" max="12810" width="1.125" style="213" customWidth="1"/>
    <col min="12811" max="12811" width="15.5" style="213" bestFit="1" customWidth="1"/>
    <col min="12812" max="13056" width="9" style="213"/>
    <col min="13057" max="13057" width="32.875" style="213" customWidth="1"/>
    <col min="13058" max="13058" width="25.5" style="213" customWidth="1"/>
    <col min="13059" max="13059" width="14.625" style="213" customWidth="1"/>
    <col min="13060" max="13062" width="9" style="213"/>
    <col min="13063" max="13063" width="11.125" style="213" bestFit="1" customWidth="1"/>
    <col min="13064" max="13064" width="6.25" style="213" customWidth="1"/>
    <col min="13065" max="13065" width="13.625" style="213" customWidth="1"/>
    <col min="13066" max="13066" width="1.125" style="213" customWidth="1"/>
    <col min="13067" max="13067" width="15.5" style="213" bestFit="1" customWidth="1"/>
    <col min="13068" max="13312" width="9" style="213"/>
    <col min="13313" max="13313" width="32.875" style="213" customWidth="1"/>
    <col min="13314" max="13314" width="25.5" style="213" customWidth="1"/>
    <col min="13315" max="13315" width="14.625" style="213" customWidth="1"/>
    <col min="13316" max="13318" width="9" style="213"/>
    <col min="13319" max="13319" width="11.125" style="213" bestFit="1" customWidth="1"/>
    <col min="13320" max="13320" width="6.25" style="213" customWidth="1"/>
    <col min="13321" max="13321" width="13.625" style="213" customWidth="1"/>
    <col min="13322" max="13322" width="1.125" style="213" customWidth="1"/>
    <col min="13323" max="13323" width="15.5" style="213" bestFit="1" customWidth="1"/>
    <col min="13324" max="13568" width="9" style="213"/>
    <col min="13569" max="13569" width="32.875" style="213" customWidth="1"/>
    <col min="13570" max="13570" width="25.5" style="213" customWidth="1"/>
    <col min="13571" max="13571" width="14.625" style="213" customWidth="1"/>
    <col min="13572" max="13574" width="9" style="213"/>
    <col min="13575" max="13575" width="11.125" style="213" bestFit="1" customWidth="1"/>
    <col min="13576" max="13576" width="6.25" style="213" customWidth="1"/>
    <col min="13577" max="13577" width="13.625" style="213" customWidth="1"/>
    <col min="13578" max="13578" width="1.125" style="213" customWidth="1"/>
    <col min="13579" max="13579" width="15.5" style="213" bestFit="1" customWidth="1"/>
    <col min="13580" max="13824" width="9" style="213"/>
    <col min="13825" max="13825" width="32.875" style="213" customWidth="1"/>
    <col min="13826" max="13826" width="25.5" style="213" customWidth="1"/>
    <col min="13827" max="13827" width="14.625" style="213" customWidth="1"/>
    <col min="13828" max="13830" width="9" style="213"/>
    <col min="13831" max="13831" width="11.125" style="213" bestFit="1" customWidth="1"/>
    <col min="13832" max="13832" width="6.25" style="213" customWidth="1"/>
    <col min="13833" max="13833" width="13.625" style="213" customWidth="1"/>
    <col min="13834" max="13834" width="1.125" style="213" customWidth="1"/>
    <col min="13835" max="13835" width="15.5" style="213" bestFit="1" customWidth="1"/>
    <col min="13836" max="14080" width="9" style="213"/>
    <col min="14081" max="14081" width="32.875" style="213" customWidth="1"/>
    <col min="14082" max="14082" width="25.5" style="213" customWidth="1"/>
    <col min="14083" max="14083" width="14.625" style="213" customWidth="1"/>
    <col min="14084" max="14086" width="9" style="213"/>
    <col min="14087" max="14087" width="11.125" style="213" bestFit="1" customWidth="1"/>
    <col min="14088" max="14088" width="6.25" style="213" customWidth="1"/>
    <col min="14089" max="14089" width="13.625" style="213" customWidth="1"/>
    <col min="14090" max="14090" width="1.125" style="213" customWidth="1"/>
    <col min="14091" max="14091" width="15.5" style="213" bestFit="1" customWidth="1"/>
    <col min="14092" max="14336" width="9" style="213"/>
    <col min="14337" max="14337" width="32.875" style="213" customWidth="1"/>
    <col min="14338" max="14338" width="25.5" style="213" customWidth="1"/>
    <col min="14339" max="14339" width="14.625" style="213" customWidth="1"/>
    <col min="14340" max="14342" width="9" style="213"/>
    <col min="14343" max="14343" width="11.125" style="213" bestFit="1" customWidth="1"/>
    <col min="14344" max="14344" width="6.25" style="213" customWidth="1"/>
    <col min="14345" max="14345" width="13.625" style="213" customWidth="1"/>
    <col min="14346" max="14346" width="1.125" style="213" customWidth="1"/>
    <col min="14347" max="14347" width="15.5" style="213" bestFit="1" customWidth="1"/>
    <col min="14348" max="14592" width="9" style="213"/>
    <col min="14593" max="14593" width="32.875" style="213" customWidth="1"/>
    <col min="14594" max="14594" width="25.5" style="213" customWidth="1"/>
    <col min="14595" max="14595" width="14.625" style="213" customWidth="1"/>
    <col min="14596" max="14598" width="9" style="213"/>
    <col min="14599" max="14599" width="11.125" style="213" bestFit="1" customWidth="1"/>
    <col min="14600" max="14600" width="6.25" style="213" customWidth="1"/>
    <col min="14601" max="14601" width="13.625" style="213" customWidth="1"/>
    <col min="14602" max="14602" width="1.125" style="213" customWidth="1"/>
    <col min="14603" max="14603" width="15.5" style="213" bestFit="1" customWidth="1"/>
    <col min="14604" max="14848" width="9" style="213"/>
    <col min="14849" max="14849" width="32.875" style="213" customWidth="1"/>
    <col min="14850" max="14850" width="25.5" style="213" customWidth="1"/>
    <col min="14851" max="14851" width="14.625" style="213" customWidth="1"/>
    <col min="14852" max="14854" width="9" style="213"/>
    <col min="14855" max="14855" width="11.125" style="213" bestFit="1" customWidth="1"/>
    <col min="14856" max="14856" width="6.25" style="213" customWidth="1"/>
    <col min="14857" max="14857" width="13.625" style="213" customWidth="1"/>
    <col min="14858" max="14858" width="1.125" style="213" customWidth="1"/>
    <col min="14859" max="14859" width="15.5" style="213" bestFit="1" customWidth="1"/>
    <col min="14860" max="15104" width="9" style="213"/>
    <col min="15105" max="15105" width="32.875" style="213" customWidth="1"/>
    <col min="15106" max="15106" width="25.5" style="213" customWidth="1"/>
    <col min="15107" max="15107" width="14.625" style="213" customWidth="1"/>
    <col min="15108" max="15110" width="9" style="213"/>
    <col min="15111" max="15111" width="11.125" style="213" bestFit="1" customWidth="1"/>
    <col min="15112" max="15112" width="6.25" style="213" customWidth="1"/>
    <col min="15113" max="15113" width="13.625" style="213" customWidth="1"/>
    <col min="15114" max="15114" width="1.125" style="213" customWidth="1"/>
    <col min="15115" max="15115" width="15.5" style="213" bestFit="1" customWidth="1"/>
    <col min="15116" max="15360" width="9" style="213"/>
    <col min="15361" max="15361" width="32.875" style="213" customWidth="1"/>
    <col min="15362" max="15362" width="25.5" style="213" customWidth="1"/>
    <col min="15363" max="15363" width="14.625" style="213" customWidth="1"/>
    <col min="15364" max="15366" width="9" style="213"/>
    <col min="15367" max="15367" width="11.125" style="213" bestFit="1" customWidth="1"/>
    <col min="15368" max="15368" width="6.25" style="213" customWidth="1"/>
    <col min="15369" max="15369" width="13.625" style="213" customWidth="1"/>
    <col min="15370" max="15370" width="1.125" style="213" customWidth="1"/>
    <col min="15371" max="15371" width="15.5" style="213" bestFit="1" customWidth="1"/>
    <col min="15372" max="15616" width="9" style="213"/>
    <col min="15617" max="15617" width="32.875" style="213" customWidth="1"/>
    <col min="15618" max="15618" width="25.5" style="213" customWidth="1"/>
    <col min="15619" max="15619" width="14.625" style="213" customWidth="1"/>
    <col min="15620" max="15622" width="9" style="213"/>
    <col min="15623" max="15623" width="11.125" style="213" bestFit="1" customWidth="1"/>
    <col min="15624" max="15624" width="6.25" style="213" customWidth="1"/>
    <col min="15625" max="15625" width="13.625" style="213" customWidth="1"/>
    <col min="15626" max="15626" width="1.125" style="213" customWidth="1"/>
    <col min="15627" max="15627" width="15.5" style="213" bestFit="1" customWidth="1"/>
    <col min="15628" max="15872" width="9" style="213"/>
    <col min="15873" max="15873" width="32.875" style="213" customWidth="1"/>
    <col min="15874" max="15874" width="25.5" style="213" customWidth="1"/>
    <col min="15875" max="15875" width="14.625" style="213" customWidth="1"/>
    <col min="15876" max="15878" width="9" style="213"/>
    <col min="15879" max="15879" width="11.125" style="213" bestFit="1" customWidth="1"/>
    <col min="15880" max="15880" width="6.25" style="213" customWidth="1"/>
    <col min="15881" max="15881" width="13.625" style="213" customWidth="1"/>
    <col min="15882" max="15882" width="1.125" style="213" customWidth="1"/>
    <col min="15883" max="15883" width="15.5" style="213" bestFit="1" customWidth="1"/>
    <col min="15884" max="16128" width="9" style="213"/>
    <col min="16129" max="16129" width="32.875" style="213" customWidth="1"/>
    <col min="16130" max="16130" width="25.5" style="213" customWidth="1"/>
    <col min="16131" max="16131" width="14.625" style="213" customWidth="1"/>
    <col min="16132" max="16134" width="9" style="213"/>
    <col min="16135" max="16135" width="11.125" style="213" bestFit="1" customWidth="1"/>
    <col min="16136" max="16136" width="6.25" style="213" customWidth="1"/>
    <col min="16137" max="16137" width="13.625" style="213" customWidth="1"/>
    <col min="16138" max="16138" width="1.125" style="213" customWidth="1"/>
    <col min="16139" max="16139" width="15.5" style="213" bestFit="1" customWidth="1"/>
    <col min="16140" max="16384" width="9" style="213"/>
  </cols>
  <sheetData>
    <row r="1" spans="1:11" ht="25.5">
      <c r="A1" s="1571" t="s">
        <v>332</v>
      </c>
      <c r="B1" s="1571"/>
      <c r="C1" s="1571"/>
      <c r="D1" s="1571"/>
      <c r="E1" s="1571"/>
      <c r="F1" s="659"/>
      <c r="G1" s="659"/>
      <c r="H1" s="659"/>
    </row>
    <row r="2" spans="1:11" s="214" customFormat="1" ht="14.25" customHeight="1">
      <c r="A2" s="1577" t="s">
        <v>942</v>
      </c>
      <c r="B2" s="1577"/>
      <c r="C2" s="1577"/>
      <c r="D2" s="1577"/>
      <c r="E2" s="1577"/>
      <c r="F2" s="232"/>
      <c r="G2" s="563"/>
      <c r="H2" s="563"/>
      <c r="I2" s="229"/>
      <c r="K2" s="229"/>
    </row>
    <row r="3" spans="1:11" ht="15" customHeight="1">
      <c r="A3" s="239"/>
      <c r="B3" s="239"/>
      <c r="C3" s="239"/>
      <c r="D3" s="239"/>
      <c r="E3" s="239"/>
      <c r="F3" s="239"/>
      <c r="G3" s="239"/>
      <c r="H3" s="239"/>
    </row>
    <row r="4" spans="1:11" ht="24.75" customHeight="1">
      <c r="A4" s="1573" t="s">
        <v>958</v>
      </c>
      <c r="B4" s="1573"/>
      <c r="C4" s="1573"/>
      <c r="D4" s="1573"/>
      <c r="E4" s="1573"/>
      <c r="F4" s="1573"/>
      <c r="G4" s="239"/>
      <c r="H4" s="239"/>
    </row>
    <row r="5" spans="1:11" ht="15" customHeight="1">
      <c r="A5" s="239"/>
      <c r="B5" s="239"/>
      <c r="C5" s="239"/>
      <c r="D5" s="239"/>
      <c r="E5" s="239"/>
      <c r="F5" s="239"/>
      <c r="G5" s="239"/>
      <c r="H5" s="239"/>
    </row>
    <row r="6" spans="1:11" ht="24.75" customHeight="1">
      <c r="A6" s="1579" t="s">
        <v>182</v>
      </c>
      <c r="B6" s="1579"/>
      <c r="C6" s="1579"/>
      <c r="D6" s="1579"/>
      <c r="E6" s="1579"/>
      <c r="F6" s="1579"/>
      <c r="G6" s="239"/>
      <c r="H6" s="239"/>
    </row>
    <row r="7" spans="1:11" ht="15" customHeight="1">
      <c r="A7" s="239"/>
      <c r="B7" s="239"/>
      <c r="C7" s="239"/>
      <c r="D7" s="239"/>
      <c r="E7" s="239"/>
      <c r="F7" s="239"/>
      <c r="G7" s="239"/>
      <c r="H7" s="239"/>
    </row>
    <row r="8" spans="1:11" ht="24.75" customHeight="1">
      <c r="A8" s="1580" t="s">
        <v>790</v>
      </c>
      <c r="B8" s="1580"/>
      <c r="C8" s="1580"/>
      <c r="D8" s="1580"/>
      <c r="E8" s="1580"/>
      <c r="F8" s="1580"/>
      <c r="H8" s="239"/>
    </row>
    <row r="9" spans="1:11" ht="24.75" customHeight="1">
      <c r="A9" s="566" t="s">
        <v>791</v>
      </c>
      <c r="B9" s="566"/>
      <c r="C9" s="566"/>
      <c r="D9" s="566"/>
      <c r="E9" s="566"/>
      <c r="F9" s="566"/>
      <c r="G9" s="264" t="s">
        <v>183</v>
      </c>
      <c r="H9" s="239"/>
    </row>
    <row r="10" spans="1:11" ht="24.75" customHeight="1">
      <c r="A10" s="704" t="s">
        <v>959</v>
      </c>
      <c r="B10" s="563"/>
      <c r="C10" s="563"/>
      <c r="D10" s="563"/>
      <c r="E10" s="563"/>
      <c r="F10" s="563"/>
      <c r="G10" s="265">
        <v>0.04</v>
      </c>
      <c r="H10" s="239" t="s">
        <v>203</v>
      </c>
    </row>
    <row r="11" spans="1:11" ht="24.75" customHeight="1">
      <c r="A11" s="1574" t="s">
        <v>960</v>
      </c>
      <c r="B11" s="1574"/>
      <c r="C11" s="1574"/>
      <c r="D11" s="1574"/>
      <c r="E11" s="1574"/>
      <c r="F11" s="1574"/>
      <c r="G11" s="661">
        <f>ROUNDUP(0.3*0.05/0.04,0)</f>
        <v>1</v>
      </c>
      <c r="H11" s="230"/>
    </row>
    <row r="12" spans="1:11" ht="40.5" customHeight="1">
      <c r="A12" s="1581" t="s">
        <v>941</v>
      </c>
      <c r="B12" s="1582"/>
      <c r="C12" s="1582"/>
      <c r="D12" s="1582"/>
      <c r="E12" s="1582"/>
      <c r="F12" s="562"/>
      <c r="G12" s="661">
        <v>5</v>
      </c>
      <c r="H12" s="230"/>
    </row>
    <row r="13" spans="1:11" ht="15" customHeight="1">
      <c r="A13" s="563"/>
      <c r="B13" s="563"/>
      <c r="C13" s="563"/>
      <c r="D13" s="563"/>
      <c r="E13" s="563"/>
      <c r="F13" s="563"/>
      <c r="G13" s="239"/>
      <c r="H13" s="239"/>
    </row>
    <row r="14" spans="1:11" s="227" customFormat="1" ht="33.75" customHeight="1">
      <c r="A14" s="1583" t="s">
        <v>961</v>
      </c>
      <c r="B14" s="1583"/>
      <c r="C14" s="1583"/>
      <c r="D14" s="1583"/>
      <c r="E14" s="1583"/>
      <c r="F14" s="429"/>
      <c r="G14" s="227">
        <f>0.5*0.3/10</f>
        <v>1.4999999999999999E-2</v>
      </c>
      <c r="I14" s="231"/>
      <c r="K14" s="228"/>
    </row>
    <row r="15" spans="1:11" ht="24.75" customHeight="1">
      <c r="A15" s="701" t="s">
        <v>1433</v>
      </c>
      <c r="B15" s="232"/>
      <c r="C15" s="662">
        <f>267993*0.03</f>
        <v>8039.79</v>
      </c>
      <c r="D15" s="232" t="s">
        <v>79</v>
      </c>
      <c r="E15" s="232"/>
      <c r="F15" s="428" t="s">
        <v>301</v>
      </c>
      <c r="G15" s="663">
        <f>G14/0.5</f>
        <v>0.03</v>
      </c>
      <c r="H15" s="233">
        <f>280700*용역비총괄표!O9</f>
        <v>267983.44790000003</v>
      </c>
    </row>
    <row r="16" spans="1:11" ht="24.75" customHeight="1">
      <c r="A16" s="234" t="s">
        <v>503</v>
      </c>
      <c r="B16" s="234"/>
      <c r="C16" s="255">
        <f>C15</f>
        <v>8039.79</v>
      </c>
      <c r="D16" s="234" t="s">
        <v>79</v>
      </c>
      <c r="E16" s="234"/>
      <c r="F16" s="232"/>
      <c r="G16" s="233"/>
      <c r="H16" s="239"/>
    </row>
    <row r="17" spans="1:11" ht="15" customHeight="1">
      <c r="A17" s="563"/>
      <c r="B17" s="563"/>
      <c r="C17" s="563"/>
      <c r="D17" s="563"/>
      <c r="E17" s="563"/>
      <c r="F17" s="563"/>
      <c r="G17" s="239"/>
      <c r="H17" s="239"/>
      <c r="K17" s="213"/>
    </row>
    <row r="18" spans="1:11" ht="24.75" customHeight="1">
      <c r="A18" s="1580" t="s">
        <v>201</v>
      </c>
      <c r="B18" s="1580"/>
      <c r="C18" s="1580"/>
      <c r="D18" s="1580"/>
      <c r="E18" s="1580"/>
      <c r="F18" s="1580"/>
      <c r="G18" s="239"/>
      <c r="H18" s="239"/>
      <c r="I18" s="213"/>
      <c r="J18" s="564"/>
      <c r="K18" s="213"/>
    </row>
    <row r="19" spans="1:11" s="214" customFormat="1" ht="24.75" customHeight="1">
      <c r="A19" s="566" t="s">
        <v>792</v>
      </c>
      <c r="B19" s="567"/>
      <c r="C19" s="567"/>
      <c r="D19" s="567"/>
      <c r="E19" s="567"/>
      <c r="F19" s="567"/>
      <c r="G19" s="563"/>
      <c r="H19" s="563"/>
      <c r="I19" s="229"/>
      <c r="J19" s="565"/>
    </row>
    <row r="20" spans="1:11" s="214" customFormat="1" ht="24.75" customHeight="1">
      <c r="A20" s="566" t="s">
        <v>202</v>
      </c>
      <c r="B20" s="567"/>
      <c r="C20" s="567"/>
      <c r="D20" s="567"/>
      <c r="E20" s="567"/>
      <c r="F20" s="567"/>
      <c r="G20" s="563"/>
      <c r="H20" s="563"/>
      <c r="I20" s="229"/>
      <c r="J20" s="565"/>
    </row>
    <row r="21" spans="1:11" s="214" customFormat="1" ht="24.75" customHeight="1">
      <c r="A21" s="566" t="s">
        <v>793</v>
      </c>
      <c r="B21" s="567"/>
      <c r="C21" s="567"/>
      <c r="D21" s="567"/>
      <c r="E21" s="567"/>
      <c r="F21" s="567"/>
      <c r="G21" s="228" t="s">
        <v>184</v>
      </c>
      <c r="H21" s="563"/>
      <c r="J21" s="565"/>
    </row>
    <row r="22" spans="1:11" ht="24.75" customHeight="1">
      <c r="A22" s="1573" t="s">
        <v>794</v>
      </c>
      <c r="B22" s="1573"/>
      <c r="C22" s="235">
        <f>G12*G10*G23</f>
        <v>24.789408450704229</v>
      </c>
      <c r="D22" s="232" t="s">
        <v>795</v>
      </c>
      <c r="E22" s="232"/>
      <c r="F22" s="232"/>
      <c r="G22" s="705" t="s">
        <v>962</v>
      </c>
      <c r="H22" s="239"/>
      <c r="K22" s="213"/>
    </row>
    <row r="23" spans="1:11" ht="24.75" customHeight="1">
      <c r="A23" s="704" t="s">
        <v>963</v>
      </c>
      <c r="B23" s="563"/>
      <c r="C23" s="563"/>
      <c r="D23" s="563"/>
      <c r="E23" s="563"/>
      <c r="F23" s="236"/>
      <c r="G23" s="664">
        <f>3740102/30175</f>
        <v>123.94704225352113</v>
      </c>
      <c r="H23" s="239"/>
      <c r="I23" s="257"/>
      <c r="K23" s="213"/>
    </row>
    <row r="24" spans="1:11" s="214" customFormat="1" ht="15" customHeight="1">
      <c r="A24" s="563"/>
      <c r="B24" s="563"/>
      <c r="C24" s="563"/>
      <c r="D24" s="563"/>
      <c r="E24" s="563"/>
      <c r="F24" s="563"/>
      <c r="G24" s="563"/>
      <c r="H24" s="563"/>
      <c r="I24" s="256"/>
    </row>
    <row r="25" spans="1:11" s="214" customFormat="1" ht="24.75" customHeight="1">
      <c r="A25" s="1573" t="s">
        <v>964</v>
      </c>
      <c r="B25" s="1573"/>
      <c r="C25" s="1573"/>
      <c r="D25" s="1573"/>
      <c r="E25" s="1573"/>
      <c r="F25" s="1573"/>
      <c r="G25" s="260" t="s">
        <v>185</v>
      </c>
      <c r="H25" s="563"/>
      <c r="I25" s="262" t="s">
        <v>796</v>
      </c>
    </row>
    <row r="26" spans="1:11" s="214" customFormat="1" ht="24.75" customHeight="1">
      <c r="A26" s="702" t="s">
        <v>1434</v>
      </c>
      <c r="B26" s="259">
        <f>I26/G28*G26</f>
        <v>478993.06406746164</v>
      </c>
      <c r="C26" s="258" t="s">
        <v>186</v>
      </c>
      <c r="D26" s="237"/>
      <c r="E26" s="237"/>
      <c r="F26" s="237"/>
      <c r="G26" s="261">
        <f>667900*용역비총괄표!O9</f>
        <v>637642.1263</v>
      </c>
      <c r="H26" s="563"/>
      <c r="I26" s="262">
        <f>C22</f>
        <v>24.789408450704229</v>
      </c>
    </row>
    <row r="27" spans="1:11" s="214" customFormat="1" ht="15" customHeight="1">
      <c r="G27" s="263" t="s">
        <v>187</v>
      </c>
      <c r="I27" s="229"/>
    </row>
    <row r="28" spans="1:11" s="214" customFormat="1" ht="24.75" customHeight="1">
      <c r="A28" s="1578" t="s">
        <v>204</v>
      </c>
      <c r="B28" s="1578"/>
      <c r="C28" s="1578"/>
      <c r="D28" s="1578"/>
      <c r="E28" s="1578"/>
      <c r="F28" s="1578"/>
      <c r="G28" s="263">
        <v>33</v>
      </c>
      <c r="H28" s="214" t="s">
        <v>188</v>
      </c>
      <c r="I28" s="229"/>
      <c r="K28" s="229"/>
    </row>
    <row r="29" spans="1:11" s="214" customFormat="1" ht="24.75" customHeight="1">
      <c r="A29" s="1573" t="s">
        <v>797</v>
      </c>
      <c r="B29" s="1573"/>
      <c r="C29" s="1573"/>
      <c r="D29" s="1573"/>
      <c r="E29" s="1573"/>
      <c r="F29" s="1573"/>
      <c r="I29" s="229"/>
      <c r="K29" s="229"/>
    </row>
    <row r="30" spans="1:11" s="214" customFormat="1" ht="24.75" customHeight="1">
      <c r="A30" s="701" t="s">
        <v>1435</v>
      </c>
      <c r="B30" s="254">
        <f>C16+B26</f>
        <v>487032.85406746162</v>
      </c>
      <c r="C30" s="232" t="s">
        <v>798</v>
      </c>
      <c r="D30" s="232"/>
      <c r="E30" s="232"/>
      <c r="F30" s="232"/>
      <c r="I30" s="229"/>
      <c r="K30" s="229"/>
    </row>
    <row r="31" spans="1:11" s="214" customFormat="1" ht="15" customHeight="1">
      <c r="I31" s="229"/>
      <c r="K31" s="229"/>
    </row>
    <row r="32" spans="1:11" s="214" customFormat="1">
      <c r="A32" s="700" t="s">
        <v>965</v>
      </c>
      <c r="I32" s="229"/>
      <c r="K32" s="229"/>
    </row>
    <row r="33" spans="1:11" s="214" customFormat="1">
      <c r="A33" s="214" t="s">
        <v>799</v>
      </c>
      <c r="I33" s="229"/>
      <c r="K33" s="229"/>
    </row>
    <row r="34" spans="1:11" s="214" customFormat="1">
      <c r="A34" s="214" t="s">
        <v>800</v>
      </c>
      <c r="I34" s="229"/>
      <c r="K34" s="229"/>
    </row>
    <row r="35" spans="1:11" ht="15.75" customHeight="1"/>
  </sheetData>
  <mergeCells count="13">
    <mergeCell ref="A1:E1"/>
    <mergeCell ref="A2:E2"/>
    <mergeCell ref="A29:F29"/>
    <mergeCell ref="A28:F28"/>
    <mergeCell ref="A4:F4"/>
    <mergeCell ref="A6:F6"/>
    <mergeCell ref="A8:F8"/>
    <mergeCell ref="A11:F11"/>
    <mergeCell ref="A18:F18"/>
    <mergeCell ref="A22:B22"/>
    <mergeCell ref="A25:F25"/>
    <mergeCell ref="A12:E12"/>
    <mergeCell ref="A14:E14"/>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rowBreaks count="1" manualBreakCount="1">
    <brk id="17" max="4"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5"/>
  <sheetViews>
    <sheetView view="pageBreakPreview" zoomScale="85" zoomScaleNormal="70" zoomScaleSheetLayoutView="85" workbookViewId="0">
      <selection activeCell="I8" sqref="I8:K8"/>
    </sheetView>
  </sheetViews>
  <sheetFormatPr defaultRowHeight="13.5"/>
  <cols>
    <col min="1" max="1" width="30.125" style="134" customWidth="1"/>
    <col min="2" max="4" width="6.75" style="134" customWidth="1"/>
    <col min="5" max="5" width="6.5" style="134" customWidth="1"/>
    <col min="6" max="6" width="14.75" style="134" customWidth="1"/>
    <col min="7" max="7" width="6.625" style="134" customWidth="1"/>
    <col min="8" max="8" width="13.125" style="134" customWidth="1"/>
    <col min="9" max="9" width="7.375" style="134" customWidth="1"/>
    <col min="10" max="10" width="11.625" style="134" customWidth="1"/>
    <col min="11" max="11" width="7" style="134" customWidth="1"/>
    <col min="12" max="12" width="13.625" style="134" customWidth="1"/>
    <col min="13" max="13" width="9.5" style="134" customWidth="1"/>
    <col min="14" max="256" width="9" style="134"/>
    <col min="257" max="257" width="47.5" style="134" bestFit="1" customWidth="1"/>
    <col min="258" max="260" width="9.875" style="134" customWidth="1"/>
    <col min="261" max="261" width="20.625" style="134" customWidth="1"/>
    <col min="262" max="262" width="24.25" style="134" bestFit="1" customWidth="1"/>
    <col min="263" max="268" width="20.625" style="134" customWidth="1"/>
    <col min="269" max="269" width="12.125" style="134" customWidth="1"/>
    <col min="270" max="512" width="9" style="134"/>
    <col min="513" max="513" width="47.5" style="134" bestFit="1" customWidth="1"/>
    <col min="514" max="516" width="9.875" style="134" customWidth="1"/>
    <col min="517" max="517" width="20.625" style="134" customWidth="1"/>
    <col min="518" max="518" width="24.25" style="134" bestFit="1" customWidth="1"/>
    <col min="519" max="524" width="20.625" style="134" customWidth="1"/>
    <col min="525" max="525" width="12.125" style="134" customWidth="1"/>
    <col min="526" max="768" width="9" style="134"/>
    <col min="769" max="769" width="47.5" style="134" bestFit="1" customWidth="1"/>
    <col min="770" max="772" width="9.875" style="134" customWidth="1"/>
    <col min="773" max="773" width="20.625" style="134" customWidth="1"/>
    <col min="774" max="774" width="24.25" style="134" bestFit="1" customWidth="1"/>
    <col min="775" max="780" width="20.625" style="134" customWidth="1"/>
    <col min="781" max="781" width="12.125" style="134" customWidth="1"/>
    <col min="782" max="1024" width="9" style="134"/>
    <col min="1025" max="1025" width="47.5" style="134" bestFit="1" customWidth="1"/>
    <col min="1026" max="1028" width="9.875" style="134" customWidth="1"/>
    <col min="1029" max="1029" width="20.625" style="134" customWidth="1"/>
    <col min="1030" max="1030" width="24.25" style="134" bestFit="1" customWidth="1"/>
    <col min="1031" max="1036" width="20.625" style="134" customWidth="1"/>
    <col min="1037" max="1037" width="12.125" style="134" customWidth="1"/>
    <col min="1038" max="1280" width="9" style="134"/>
    <col min="1281" max="1281" width="47.5" style="134" bestFit="1" customWidth="1"/>
    <col min="1282" max="1284" width="9.875" style="134" customWidth="1"/>
    <col min="1285" max="1285" width="20.625" style="134" customWidth="1"/>
    <col min="1286" max="1286" width="24.25" style="134" bestFit="1" customWidth="1"/>
    <col min="1287" max="1292" width="20.625" style="134" customWidth="1"/>
    <col min="1293" max="1293" width="12.125" style="134" customWidth="1"/>
    <col min="1294" max="1536" width="9" style="134"/>
    <col min="1537" max="1537" width="47.5" style="134" bestFit="1" customWidth="1"/>
    <col min="1538" max="1540" width="9.875" style="134" customWidth="1"/>
    <col min="1541" max="1541" width="20.625" style="134" customWidth="1"/>
    <col min="1542" max="1542" width="24.25" style="134" bestFit="1" customWidth="1"/>
    <col min="1543" max="1548" width="20.625" style="134" customWidth="1"/>
    <col min="1549" max="1549" width="12.125" style="134" customWidth="1"/>
    <col min="1550" max="1792" width="9" style="134"/>
    <col min="1793" max="1793" width="47.5" style="134" bestFit="1" customWidth="1"/>
    <col min="1794" max="1796" width="9.875" style="134" customWidth="1"/>
    <col min="1797" max="1797" width="20.625" style="134" customWidth="1"/>
    <col min="1798" max="1798" width="24.25" style="134" bestFit="1" customWidth="1"/>
    <col min="1799" max="1804" width="20.625" style="134" customWidth="1"/>
    <col min="1805" max="1805" width="12.125" style="134" customWidth="1"/>
    <col min="1806" max="2048" width="9" style="134"/>
    <col min="2049" max="2049" width="47.5" style="134" bestFit="1" customWidth="1"/>
    <col min="2050" max="2052" width="9.875" style="134" customWidth="1"/>
    <col min="2053" max="2053" width="20.625" style="134" customWidth="1"/>
    <col min="2054" max="2054" width="24.25" style="134" bestFit="1" customWidth="1"/>
    <col min="2055" max="2060" width="20.625" style="134" customWidth="1"/>
    <col min="2061" max="2061" width="12.125" style="134" customWidth="1"/>
    <col min="2062" max="2304" width="9" style="134"/>
    <col min="2305" max="2305" width="47.5" style="134" bestFit="1" customWidth="1"/>
    <col min="2306" max="2308" width="9.875" style="134" customWidth="1"/>
    <col min="2309" max="2309" width="20.625" style="134" customWidth="1"/>
    <col min="2310" max="2310" width="24.25" style="134" bestFit="1" customWidth="1"/>
    <col min="2311" max="2316" width="20.625" style="134" customWidth="1"/>
    <col min="2317" max="2317" width="12.125" style="134" customWidth="1"/>
    <col min="2318" max="2560" width="9" style="134"/>
    <col min="2561" max="2561" width="47.5" style="134" bestFit="1" customWidth="1"/>
    <col min="2562" max="2564" width="9.875" style="134" customWidth="1"/>
    <col min="2565" max="2565" width="20.625" style="134" customWidth="1"/>
    <col min="2566" max="2566" width="24.25" style="134" bestFit="1" customWidth="1"/>
    <col min="2567" max="2572" width="20.625" style="134" customWidth="1"/>
    <col min="2573" max="2573" width="12.125" style="134" customWidth="1"/>
    <col min="2574" max="2816" width="9" style="134"/>
    <col min="2817" max="2817" width="47.5" style="134" bestFit="1" customWidth="1"/>
    <col min="2818" max="2820" width="9.875" style="134" customWidth="1"/>
    <col min="2821" max="2821" width="20.625" style="134" customWidth="1"/>
    <col min="2822" max="2822" width="24.25" style="134" bestFit="1" customWidth="1"/>
    <col min="2823" max="2828" width="20.625" style="134" customWidth="1"/>
    <col min="2829" max="2829" width="12.125" style="134" customWidth="1"/>
    <col min="2830" max="3072" width="9" style="134"/>
    <col min="3073" max="3073" width="47.5" style="134" bestFit="1" customWidth="1"/>
    <col min="3074" max="3076" width="9.875" style="134" customWidth="1"/>
    <col min="3077" max="3077" width="20.625" style="134" customWidth="1"/>
    <col min="3078" max="3078" width="24.25" style="134" bestFit="1" customWidth="1"/>
    <col min="3079" max="3084" width="20.625" style="134" customWidth="1"/>
    <col min="3085" max="3085" width="12.125" style="134" customWidth="1"/>
    <col min="3086" max="3328" width="9" style="134"/>
    <col min="3329" max="3329" width="47.5" style="134" bestFit="1" customWidth="1"/>
    <col min="3330" max="3332" width="9.875" style="134" customWidth="1"/>
    <col min="3333" max="3333" width="20.625" style="134" customWidth="1"/>
    <col min="3334" max="3334" width="24.25" style="134" bestFit="1" customWidth="1"/>
    <col min="3335" max="3340" width="20.625" style="134" customWidth="1"/>
    <col min="3341" max="3341" width="12.125" style="134" customWidth="1"/>
    <col min="3342" max="3584" width="9" style="134"/>
    <col min="3585" max="3585" width="47.5" style="134" bestFit="1" customWidth="1"/>
    <col min="3586" max="3588" width="9.875" style="134" customWidth="1"/>
    <col min="3589" max="3589" width="20.625" style="134" customWidth="1"/>
    <col min="3590" max="3590" width="24.25" style="134" bestFit="1" customWidth="1"/>
    <col min="3591" max="3596" width="20.625" style="134" customWidth="1"/>
    <col min="3597" max="3597" width="12.125" style="134" customWidth="1"/>
    <col min="3598" max="3840" width="9" style="134"/>
    <col min="3841" max="3841" width="47.5" style="134" bestFit="1" customWidth="1"/>
    <col min="3842" max="3844" width="9.875" style="134" customWidth="1"/>
    <col min="3845" max="3845" width="20.625" style="134" customWidth="1"/>
    <col min="3846" max="3846" width="24.25" style="134" bestFit="1" customWidth="1"/>
    <col min="3847" max="3852" width="20.625" style="134" customWidth="1"/>
    <col min="3853" max="3853" width="12.125" style="134" customWidth="1"/>
    <col min="3854" max="4096" width="9" style="134"/>
    <col min="4097" max="4097" width="47.5" style="134" bestFit="1" customWidth="1"/>
    <col min="4098" max="4100" width="9.875" style="134" customWidth="1"/>
    <col min="4101" max="4101" width="20.625" style="134" customWidth="1"/>
    <col min="4102" max="4102" width="24.25" style="134" bestFit="1" customWidth="1"/>
    <col min="4103" max="4108" width="20.625" style="134" customWidth="1"/>
    <col min="4109" max="4109" width="12.125" style="134" customWidth="1"/>
    <col min="4110" max="4352" width="9" style="134"/>
    <col min="4353" max="4353" width="47.5" style="134" bestFit="1" customWidth="1"/>
    <col min="4354" max="4356" width="9.875" style="134" customWidth="1"/>
    <col min="4357" max="4357" width="20.625" style="134" customWidth="1"/>
    <col min="4358" max="4358" width="24.25" style="134" bestFit="1" customWidth="1"/>
    <col min="4359" max="4364" width="20.625" style="134" customWidth="1"/>
    <col min="4365" max="4365" width="12.125" style="134" customWidth="1"/>
    <col min="4366" max="4608" width="9" style="134"/>
    <col min="4609" max="4609" width="47.5" style="134" bestFit="1" customWidth="1"/>
    <col min="4610" max="4612" width="9.875" style="134" customWidth="1"/>
    <col min="4613" max="4613" width="20.625" style="134" customWidth="1"/>
    <col min="4614" max="4614" width="24.25" style="134" bestFit="1" customWidth="1"/>
    <col min="4615" max="4620" width="20.625" style="134" customWidth="1"/>
    <col min="4621" max="4621" width="12.125" style="134" customWidth="1"/>
    <col min="4622" max="4864" width="9" style="134"/>
    <col min="4865" max="4865" width="47.5" style="134" bestFit="1" customWidth="1"/>
    <col min="4866" max="4868" width="9.875" style="134" customWidth="1"/>
    <col min="4869" max="4869" width="20.625" style="134" customWidth="1"/>
    <col min="4870" max="4870" width="24.25" style="134" bestFit="1" customWidth="1"/>
    <col min="4871" max="4876" width="20.625" style="134" customWidth="1"/>
    <col min="4877" max="4877" width="12.125" style="134" customWidth="1"/>
    <col min="4878" max="5120" width="9" style="134"/>
    <col min="5121" max="5121" width="47.5" style="134" bestFit="1" customWidth="1"/>
    <col min="5122" max="5124" width="9.875" style="134" customWidth="1"/>
    <col min="5125" max="5125" width="20.625" style="134" customWidth="1"/>
    <col min="5126" max="5126" width="24.25" style="134" bestFit="1" customWidth="1"/>
    <col min="5127" max="5132" width="20.625" style="134" customWidth="1"/>
    <col min="5133" max="5133" width="12.125" style="134" customWidth="1"/>
    <col min="5134" max="5376" width="9" style="134"/>
    <col min="5377" max="5377" width="47.5" style="134" bestFit="1" customWidth="1"/>
    <col min="5378" max="5380" width="9.875" style="134" customWidth="1"/>
    <col min="5381" max="5381" width="20.625" style="134" customWidth="1"/>
    <col min="5382" max="5382" width="24.25" style="134" bestFit="1" customWidth="1"/>
    <col min="5383" max="5388" width="20.625" style="134" customWidth="1"/>
    <col min="5389" max="5389" width="12.125" style="134" customWidth="1"/>
    <col min="5390" max="5632" width="9" style="134"/>
    <col min="5633" max="5633" width="47.5" style="134" bestFit="1" customWidth="1"/>
    <col min="5634" max="5636" width="9.875" style="134" customWidth="1"/>
    <col min="5637" max="5637" width="20.625" style="134" customWidth="1"/>
    <col min="5638" max="5638" width="24.25" style="134" bestFit="1" customWidth="1"/>
    <col min="5639" max="5644" width="20.625" style="134" customWidth="1"/>
    <col min="5645" max="5645" width="12.125" style="134" customWidth="1"/>
    <col min="5646" max="5888" width="9" style="134"/>
    <col min="5889" max="5889" width="47.5" style="134" bestFit="1" customWidth="1"/>
    <col min="5890" max="5892" width="9.875" style="134" customWidth="1"/>
    <col min="5893" max="5893" width="20.625" style="134" customWidth="1"/>
    <col min="5894" max="5894" width="24.25" style="134" bestFit="1" customWidth="1"/>
    <col min="5895" max="5900" width="20.625" style="134" customWidth="1"/>
    <col min="5901" max="5901" width="12.125" style="134" customWidth="1"/>
    <col min="5902" max="6144" width="9" style="134"/>
    <col min="6145" max="6145" width="47.5" style="134" bestFit="1" customWidth="1"/>
    <col min="6146" max="6148" width="9.875" style="134" customWidth="1"/>
    <col min="6149" max="6149" width="20.625" style="134" customWidth="1"/>
    <col min="6150" max="6150" width="24.25" style="134" bestFit="1" customWidth="1"/>
    <col min="6151" max="6156" width="20.625" style="134" customWidth="1"/>
    <col min="6157" max="6157" width="12.125" style="134" customWidth="1"/>
    <col min="6158" max="6400" width="9" style="134"/>
    <col min="6401" max="6401" width="47.5" style="134" bestFit="1" customWidth="1"/>
    <col min="6402" max="6404" width="9.875" style="134" customWidth="1"/>
    <col min="6405" max="6405" width="20.625" style="134" customWidth="1"/>
    <col min="6406" max="6406" width="24.25" style="134" bestFit="1" customWidth="1"/>
    <col min="6407" max="6412" width="20.625" style="134" customWidth="1"/>
    <col min="6413" max="6413" width="12.125" style="134" customWidth="1"/>
    <col min="6414" max="6656" width="9" style="134"/>
    <col min="6657" max="6657" width="47.5" style="134" bestFit="1" customWidth="1"/>
    <col min="6658" max="6660" width="9.875" style="134" customWidth="1"/>
    <col min="6661" max="6661" width="20.625" style="134" customWidth="1"/>
    <col min="6662" max="6662" width="24.25" style="134" bestFit="1" customWidth="1"/>
    <col min="6663" max="6668" width="20.625" style="134" customWidth="1"/>
    <col min="6669" max="6669" width="12.125" style="134" customWidth="1"/>
    <col min="6670" max="6912" width="9" style="134"/>
    <col min="6913" max="6913" width="47.5" style="134" bestFit="1" customWidth="1"/>
    <col min="6914" max="6916" width="9.875" style="134" customWidth="1"/>
    <col min="6917" max="6917" width="20.625" style="134" customWidth="1"/>
    <col min="6918" max="6918" width="24.25" style="134" bestFit="1" customWidth="1"/>
    <col min="6919" max="6924" width="20.625" style="134" customWidth="1"/>
    <col min="6925" max="6925" width="12.125" style="134" customWidth="1"/>
    <col min="6926" max="7168" width="9" style="134"/>
    <col min="7169" max="7169" width="47.5" style="134" bestFit="1" customWidth="1"/>
    <col min="7170" max="7172" width="9.875" style="134" customWidth="1"/>
    <col min="7173" max="7173" width="20.625" style="134" customWidth="1"/>
    <col min="7174" max="7174" width="24.25" style="134" bestFit="1" customWidth="1"/>
    <col min="7175" max="7180" width="20.625" style="134" customWidth="1"/>
    <col min="7181" max="7181" width="12.125" style="134" customWidth="1"/>
    <col min="7182" max="7424" width="9" style="134"/>
    <col min="7425" max="7425" width="47.5" style="134" bestFit="1" customWidth="1"/>
    <col min="7426" max="7428" width="9.875" style="134" customWidth="1"/>
    <col min="7429" max="7429" width="20.625" style="134" customWidth="1"/>
    <col min="7430" max="7430" width="24.25" style="134" bestFit="1" customWidth="1"/>
    <col min="7431" max="7436" width="20.625" style="134" customWidth="1"/>
    <col min="7437" max="7437" width="12.125" style="134" customWidth="1"/>
    <col min="7438" max="7680" width="9" style="134"/>
    <col min="7681" max="7681" width="47.5" style="134" bestFit="1" customWidth="1"/>
    <col min="7682" max="7684" width="9.875" style="134" customWidth="1"/>
    <col min="7685" max="7685" width="20.625" style="134" customWidth="1"/>
    <col min="7686" max="7686" width="24.25" style="134" bestFit="1" customWidth="1"/>
    <col min="7687" max="7692" width="20.625" style="134" customWidth="1"/>
    <col min="7693" max="7693" width="12.125" style="134" customWidth="1"/>
    <col min="7694" max="7936" width="9" style="134"/>
    <col min="7937" max="7937" width="47.5" style="134" bestFit="1" customWidth="1"/>
    <col min="7938" max="7940" width="9.875" style="134" customWidth="1"/>
    <col min="7941" max="7941" width="20.625" style="134" customWidth="1"/>
    <col min="7942" max="7942" width="24.25" style="134" bestFit="1" customWidth="1"/>
    <col min="7943" max="7948" width="20.625" style="134" customWidth="1"/>
    <col min="7949" max="7949" width="12.125" style="134" customWidth="1"/>
    <col min="7950" max="8192" width="9" style="134"/>
    <col min="8193" max="8193" width="47.5" style="134" bestFit="1" customWidth="1"/>
    <col min="8194" max="8196" width="9.875" style="134" customWidth="1"/>
    <col min="8197" max="8197" width="20.625" style="134" customWidth="1"/>
    <col min="8198" max="8198" width="24.25" style="134" bestFit="1" customWidth="1"/>
    <col min="8199" max="8204" width="20.625" style="134" customWidth="1"/>
    <col min="8205" max="8205" width="12.125" style="134" customWidth="1"/>
    <col min="8206" max="8448" width="9" style="134"/>
    <col min="8449" max="8449" width="47.5" style="134" bestFit="1" customWidth="1"/>
    <col min="8450" max="8452" width="9.875" style="134" customWidth="1"/>
    <col min="8453" max="8453" width="20.625" style="134" customWidth="1"/>
    <col min="8454" max="8454" width="24.25" style="134" bestFit="1" customWidth="1"/>
    <col min="8455" max="8460" width="20.625" style="134" customWidth="1"/>
    <col min="8461" max="8461" width="12.125" style="134" customWidth="1"/>
    <col min="8462" max="8704" width="9" style="134"/>
    <col min="8705" max="8705" width="47.5" style="134" bestFit="1" customWidth="1"/>
    <col min="8706" max="8708" width="9.875" style="134" customWidth="1"/>
    <col min="8709" max="8709" width="20.625" style="134" customWidth="1"/>
    <col min="8710" max="8710" width="24.25" style="134" bestFit="1" customWidth="1"/>
    <col min="8711" max="8716" width="20.625" style="134" customWidth="1"/>
    <col min="8717" max="8717" width="12.125" style="134" customWidth="1"/>
    <col min="8718" max="8960" width="9" style="134"/>
    <col min="8961" max="8961" width="47.5" style="134" bestFit="1" customWidth="1"/>
    <col min="8962" max="8964" width="9.875" style="134" customWidth="1"/>
    <col min="8965" max="8965" width="20.625" style="134" customWidth="1"/>
    <col min="8966" max="8966" width="24.25" style="134" bestFit="1" customWidth="1"/>
    <col min="8967" max="8972" width="20.625" style="134" customWidth="1"/>
    <col min="8973" max="8973" width="12.125" style="134" customWidth="1"/>
    <col min="8974" max="9216" width="9" style="134"/>
    <col min="9217" max="9217" width="47.5" style="134" bestFit="1" customWidth="1"/>
    <col min="9218" max="9220" width="9.875" style="134" customWidth="1"/>
    <col min="9221" max="9221" width="20.625" style="134" customWidth="1"/>
    <col min="9222" max="9222" width="24.25" style="134" bestFit="1" customWidth="1"/>
    <col min="9223" max="9228" width="20.625" style="134" customWidth="1"/>
    <col min="9229" max="9229" width="12.125" style="134" customWidth="1"/>
    <col min="9230" max="9472" width="9" style="134"/>
    <col min="9473" max="9473" width="47.5" style="134" bestFit="1" customWidth="1"/>
    <col min="9474" max="9476" width="9.875" style="134" customWidth="1"/>
    <col min="9477" max="9477" width="20.625" style="134" customWidth="1"/>
    <col min="9478" max="9478" width="24.25" style="134" bestFit="1" customWidth="1"/>
    <col min="9479" max="9484" width="20.625" style="134" customWidth="1"/>
    <col min="9485" max="9485" width="12.125" style="134" customWidth="1"/>
    <col min="9486" max="9728" width="9" style="134"/>
    <col min="9729" max="9729" width="47.5" style="134" bestFit="1" customWidth="1"/>
    <col min="9730" max="9732" width="9.875" style="134" customWidth="1"/>
    <col min="9733" max="9733" width="20.625" style="134" customWidth="1"/>
    <col min="9734" max="9734" width="24.25" style="134" bestFit="1" customWidth="1"/>
    <col min="9735" max="9740" width="20.625" style="134" customWidth="1"/>
    <col min="9741" max="9741" width="12.125" style="134" customWidth="1"/>
    <col min="9742" max="9984" width="9" style="134"/>
    <col min="9985" max="9985" width="47.5" style="134" bestFit="1" customWidth="1"/>
    <col min="9986" max="9988" width="9.875" style="134" customWidth="1"/>
    <col min="9989" max="9989" width="20.625" style="134" customWidth="1"/>
    <col min="9990" max="9990" width="24.25" style="134" bestFit="1" customWidth="1"/>
    <col min="9991" max="9996" width="20.625" style="134" customWidth="1"/>
    <col min="9997" max="9997" width="12.125" style="134" customWidth="1"/>
    <col min="9998" max="10240" width="9" style="134"/>
    <col min="10241" max="10241" width="47.5" style="134" bestFit="1" customWidth="1"/>
    <col min="10242" max="10244" width="9.875" style="134" customWidth="1"/>
    <col min="10245" max="10245" width="20.625" style="134" customWidth="1"/>
    <col min="10246" max="10246" width="24.25" style="134" bestFit="1" customWidth="1"/>
    <col min="10247" max="10252" width="20.625" style="134" customWidth="1"/>
    <col min="10253" max="10253" width="12.125" style="134" customWidth="1"/>
    <col min="10254" max="10496" width="9" style="134"/>
    <col min="10497" max="10497" width="47.5" style="134" bestFit="1" customWidth="1"/>
    <col min="10498" max="10500" width="9.875" style="134" customWidth="1"/>
    <col min="10501" max="10501" width="20.625" style="134" customWidth="1"/>
    <col min="10502" max="10502" width="24.25" style="134" bestFit="1" customWidth="1"/>
    <col min="10503" max="10508" width="20.625" style="134" customWidth="1"/>
    <col min="10509" max="10509" width="12.125" style="134" customWidth="1"/>
    <col min="10510" max="10752" width="9" style="134"/>
    <col min="10753" max="10753" width="47.5" style="134" bestFit="1" customWidth="1"/>
    <col min="10754" max="10756" width="9.875" style="134" customWidth="1"/>
    <col min="10757" max="10757" width="20.625" style="134" customWidth="1"/>
    <col min="10758" max="10758" width="24.25" style="134" bestFit="1" customWidth="1"/>
    <col min="10759" max="10764" width="20.625" style="134" customWidth="1"/>
    <col min="10765" max="10765" width="12.125" style="134" customWidth="1"/>
    <col min="10766" max="11008" width="9" style="134"/>
    <col min="11009" max="11009" width="47.5" style="134" bestFit="1" customWidth="1"/>
    <col min="11010" max="11012" width="9.875" style="134" customWidth="1"/>
    <col min="11013" max="11013" width="20.625" style="134" customWidth="1"/>
    <col min="11014" max="11014" width="24.25" style="134" bestFit="1" customWidth="1"/>
    <col min="11015" max="11020" width="20.625" style="134" customWidth="1"/>
    <col min="11021" max="11021" width="12.125" style="134" customWidth="1"/>
    <col min="11022" max="11264" width="9" style="134"/>
    <col min="11265" max="11265" width="47.5" style="134" bestFit="1" customWidth="1"/>
    <col min="11266" max="11268" width="9.875" style="134" customWidth="1"/>
    <col min="11269" max="11269" width="20.625" style="134" customWidth="1"/>
    <col min="11270" max="11270" width="24.25" style="134" bestFit="1" customWidth="1"/>
    <col min="11271" max="11276" width="20.625" style="134" customWidth="1"/>
    <col min="11277" max="11277" width="12.125" style="134" customWidth="1"/>
    <col min="11278" max="11520" width="9" style="134"/>
    <col min="11521" max="11521" width="47.5" style="134" bestFit="1" customWidth="1"/>
    <col min="11522" max="11524" width="9.875" style="134" customWidth="1"/>
    <col min="11525" max="11525" width="20.625" style="134" customWidth="1"/>
    <col min="11526" max="11526" width="24.25" style="134" bestFit="1" customWidth="1"/>
    <col min="11527" max="11532" width="20.625" style="134" customWidth="1"/>
    <col min="11533" max="11533" width="12.125" style="134" customWidth="1"/>
    <col min="11534" max="11776" width="9" style="134"/>
    <col min="11777" max="11777" width="47.5" style="134" bestFit="1" customWidth="1"/>
    <col min="11778" max="11780" width="9.875" style="134" customWidth="1"/>
    <col min="11781" max="11781" width="20.625" style="134" customWidth="1"/>
    <col min="11782" max="11782" width="24.25" style="134" bestFit="1" customWidth="1"/>
    <col min="11783" max="11788" width="20.625" style="134" customWidth="1"/>
    <col min="11789" max="11789" width="12.125" style="134" customWidth="1"/>
    <col min="11790" max="12032" width="9" style="134"/>
    <col min="12033" max="12033" width="47.5" style="134" bestFit="1" customWidth="1"/>
    <col min="12034" max="12036" width="9.875" style="134" customWidth="1"/>
    <col min="12037" max="12037" width="20.625" style="134" customWidth="1"/>
    <col min="12038" max="12038" width="24.25" style="134" bestFit="1" customWidth="1"/>
    <col min="12039" max="12044" width="20.625" style="134" customWidth="1"/>
    <col min="12045" max="12045" width="12.125" style="134" customWidth="1"/>
    <col min="12046" max="12288" width="9" style="134"/>
    <col min="12289" max="12289" width="47.5" style="134" bestFit="1" customWidth="1"/>
    <col min="12290" max="12292" width="9.875" style="134" customWidth="1"/>
    <col min="12293" max="12293" width="20.625" style="134" customWidth="1"/>
    <col min="12294" max="12294" width="24.25" style="134" bestFit="1" customWidth="1"/>
    <col min="12295" max="12300" width="20.625" style="134" customWidth="1"/>
    <col min="12301" max="12301" width="12.125" style="134" customWidth="1"/>
    <col min="12302" max="12544" width="9" style="134"/>
    <col min="12545" max="12545" width="47.5" style="134" bestFit="1" customWidth="1"/>
    <col min="12546" max="12548" width="9.875" style="134" customWidth="1"/>
    <col min="12549" max="12549" width="20.625" style="134" customWidth="1"/>
    <col min="12550" max="12550" width="24.25" style="134" bestFit="1" customWidth="1"/>
    <col min="12551" max="12556" width="20.625" style="134" customWidth="1"/>
    <col min="12557" max="12557" width="12.125" style="134" customWidth="1"/>
    <col min="12558" max="12800" width="9" style="134"/>
    <col min="12801" max="12801" width="47.5" style="134" bestFit="1" customWidth="1"/>
    <col min="12802" max="12804" width="9.875" style="134" customWidth="1"/>
    <col min="12805" max="12805" width="20.625" style="134" customWidth="1"/>
    <col min="12806" max="12806" width="24.25" style="134" bestFit="1" customWidth="1"/>
    <col min="12807" max="12812" width="20.625" style="134" customWidth="1"/>
    <col min="12813" max="12813" width="12.125" style="134" customWidth="1"/>
    <col min="12814" max="13056" width="9" style="134"/>
    <col min="13057" max="13057" width="47.5" style="134" bestFit="1" customWidth="1"/>
    <col min="13058" max="13060" width="9.875" style="134" customWidth="1"/>
    <col min="13061" max="13061" width="20.625" style="134" customWidth="1"/>
    <col min="13062" max="13062" width="24.25" style="134" bestFit="1" customWidth="1"/>
    <col min="13063" max="13068" width="20.625" style="134" customWidth="1"/>
    <col min="13069" max="13069" width="12.125" style="134" customWidth="1"/>
    <col min="13070" max="13312" width="9" style="134"/>
    <col min="13313" max="13313" width="47.5" style="134" bestFit="1" customWidth="1"/>
    <col min="13314" max="13316" width="9.875" style="134" customWidth="1"/>
    <col min="13317" max="13317" width="20.625" style="134" customWidth="1"/>
    <col min="13318" max="13318" width="24.25" style="134" bestFit="1" customWidth="1"/>
    <col min="13319" max="13324" width="20.625" style="134" customWidth="1"/>
    <col min="13325" max="13325" width="12.125" style="134" customWidth="1"/>
    <col min="13326" max="13568" width="9" style="134"/>
    <col min="13569" max="13569" width="47.5" style="134" bestFit="1" customWidth="1"/>
    <col min="13570" max="13572" width="9.875" style="134" customWidth="1"/>
    <col min="13573" max="13573" width="20.625" style="134" customWidth="1"/>
    <col min="13574" max="13574" width="24.25" style="134" bestFit="1" customWidth="1"/>
    <col min="13575" max="13580" width="20.625" style="134" customWidth="1"/>
    <col min="13581" max="13581" width="12.125" style="134" customWidth="1"/>
    <col min="13582" max="13824" width="9" style="134"/>
    <col min="13825" max="13825" width="47.5" style="134" bestFit="1" customWidth="1"/>
    <col min="13826" max="13828" width="9.875" style="134" customWidth="1"/>
    <col min="13829" max="13829" width="20.625" style="134" customWidth="1"/>
    <col min="13830" max="13830" width="24.25" style="134" bestFit="1" customWidth="1"/>
    <col min="13831" max="13836" width="20.625" style="134" customWidth="1"/>
    <col min="13837" max="13837" width="12.125" style="134" customWidth="1"/>
    <col min="13838" max="14080" width="9" style="134"/>
    <col min="14081" max="14081" width="47.5" style="134" bestFit="1" customWidth="1"/>
    <col min="14082" max="14084" width="9.875" style="134" customWidth="1"/>
    <col min="14085" max="14085" width="20.625" style="134" customWidth="1"/>
    <col min="14086" max="14086" width="24.25" style="134" bestFit="1" customWidth="1"/>
    <col min="14087" max="14092" width="20.625" style="134" customWidth="1"/>
    <col min="14093" max="14093" width="12.125" style="134" customWidth="1"/>
    <col min="14094" max="14336" width="9" style="134"/>
    <col min="14337" max="14337" width="47.5" style="134" bestFit="1" customWidth="1"/>
    <col min="14338" max="14340" width="9.875" style="134" customWidth="1"/>
    <col min="14341" max="14341" width="20.625" style="134" customWidth="1"/>
    <col min="14342" max="14342" width="24.25" style="134" bestFit="1" customWidth="1"/>
    <col min="14343" max="14348" width="20.625" style="134" customWidth="1"/>
    <col min="14349" max="14349" width="12.125" style="134" customWidth="1"/>
    <col min="14350" max="14592" width="9" style="134"/>
    <col min="14593" max="14593" width="47.5" style="134" bestFit="1" customWidth="1"/>
    <col min="14594" max="14596" width="9.875" style="134" customWidth="1"/>
    <col min="14597" max="14597" width="20.625" style="134" customWidth="1"/>
    <col min="14598" max="14598" width="24.25" style="134" bestFit="1" customWidth="1"/>
    <col min="14599" max="14604" width="20.625" style="134" customWidth="1"/>
    <col min="14605" max="14605" width="12.125" style="134" customWidth="1"/>
    <col min="14606" max="14848" width="9" style="134"/>
    <col min="14849" max="14849" width="47.5" style="134" bestFit="1" customWidth="1"/>
    <col min="14850" max="14852" width="9.875" style="134" customWidth="1"/>
    <col min="14853" max="14853" width="20.625" style="134" customWidth="1"/>
    <col min="14854" max="14854" width="24.25" style="134" bestFit="1" customWidth="1"/>
    <col min="14855" max="14860" width="20.625" style="134" customWidth="1"/>
    <col min="14861" max="14861" width="12.125" style="134" customWidth="1"/>
    <col min="14862" max="15104" width="9" style="134"/>
    <col min="15105" max="15105" width="47.5" style="134" bestFit="1" customWidth="1"/>
    <col min="15106" max="15108" width="9.875" style="134" customWidth="1"/>
    <col min="15109" max="15109" width="20.625" style="134" customWidth="1"/>
    <col min="15110" max="15110" width="24.25" style="134" bestFit="1" customWidth="1"/>
    <col min="15111" max="15116" width="20.625" style="134" customWidth="1"/>
    <col min="15117" max="15117" width="12.125" style="134" customWidth="1"/>
    <col min="15118" max="15360" width="9" style="134"/>
    <col min="15361" max="15361" width="47.5" style="134" bestFit="1" customWidth="1"/>
    <col min="15362" max="15364" width="9.875" style="134" customWidth="1"/>
    <col min="15365" max="15365" width="20.625" style="134" customWidth="1"/>
    <col min="15366" max="15366" width="24.25" style="134" bestFit="1" customWidth="1"/>
    <col min="15367" max="15372" width="20.625" style="134" customWidth="1"/>
    <col min="15373" max="15373" width="12.125" style="134" customWidth="1"/>
    <col min="15374" max="15616" width="9" style="134"/>
    <col min="15617" max="15617" width="47.5" style="134" bestFit="1" customWidth="1"/>
    <col min="15618" max="15620" width="9.875" style="134" customWidth="1"/>
    <col min="15621" max="15621" width="20.625" style="134" customWidth="1"/>
    <col min="15622" max="15622" width="24.25" style="134" bestFit="1" customWidth="1"/>
    <col min="15623" max="15628" width="20.625" style="134" customWidth="1"/>
    <col min="15629" max="15629" width="12.125" style="134" customWidth="1"/>
    <col min="15630" max="15872" width="9" style="134"/>
    <col min="15873" max="15873" width="47.5" style="134" bestFit="1" customWidth="1"/>
    <col min="15874" max="15876" width="9.875" style="134" customWidth="1"/>
    <col min="15877" max="15877" width="20.625" style="134" customWidth="1"/>
    <col min="15878" max="15878" width="24.25" style="134" bestFit="1" customWidth="1"/>
    <col min="15879" max="15884" width="20.625" style="134" customWidth="1"/>
    <col min="15885" max="15885" width="12.125" style="134" customWidth="1"/>
    <col min="15886" max="16128" width="9" style="134"/>
    <col min="16129" max="16129" width="47.5" style="134" bestFit="1" customWidth="1"/>
    <col min="16130" max="16132" width="9.875" style="134" customWidth="1"/>
    <col min="16133" max="16133" width="20.625" style="134" customWidth="1"/>
    <col min="16134" max="16134" width="24.25" style="134" bestFit="1" customWidth="1"/>
    <col min="16135" max="16140" width="20.625" style="134" customWidth="1"/>
    <col min="16141" max="16141" width="12.125" style="134" customWidth="1"/>
    <col min="16142" max="16384" width="9" style="134"/>
  </cols>
  <sheetData>
    <row r="1" spans="1:13" s="10" customFormat="1" ht="44.45" customHeight="1">
      <c r="A1" s="1560" t="s">
        <v>247</v>
      </c>
      <c r="B1" s="1560"/>
      <c r="C1" s="1560"/>
      <c r="D1" s="1560"/>
      <c r="E1" s="1560"/>
      <c r="F1" s="1560"/>
      <c r="G1" s="1560"/>
      <c r="H1" s="1560"/>
      <c r="I1" s="1560"/>
      <c r="J1" s="1560"/>
      <c r="K1" s="1560"/>
      <c r="L1" s="1560"/>
      <c r="M1" s="1560"/>
    </row>
    <row r="2" spans="1:13" s="8" customFormat="1" ht="19.5" customHeight="1">
      <c r="A2" s="341"/>
      <c r="B2" s="341"/>
      <c r="C2" s="341"/>
      <c r="D2" s="341"/>
      <c r="E2" s="341"/>
      <c r="F2" s="341"/>
      <c r="G2" s="341"/>
      <c r="H2" s="341"/>
      <c r="I2" s="341"/>
      <c r="J2" s="341"/>
      <c r="K2" s="341"/>
      <c r="L2" s="341"/>
      <c r="M2" s="341"/>
    </row>
    <row r="3" spans="1:13" s="11" customFormat="1" ht="19.5" customHeight="1">
      <c r="A3" s="1482" t="s">
        <v>214</v>
      </c>
      <c r="B3" s="1482" t="s">
        <v>215</v>
      </c>
      <c r="C3" s="1482" t="s">
        <v>216</v>
      </c>
      <c r="D3" s="1482" t="s">
        <v>217</v>
      </c>
      <c r="E3" s="1482" t="s">
        <v>8</v>
      </c>
      <c r="F3" s="1482"/>
      <c r="G3" s="1482" t="s">
        <v>218</v>
      </c>
      <c r="H3" s="1482"/>
      <c r="I3" s="1482" t="s">
        <v>219</v>
      </c>
      <c r="J3" s="1482"/>
      <c r="K3" s="1482" t="s">
        <v>220</v>
      </c>
      <c r="L3" s="1482"/>
      <c r="M3" s="1482" t="s">
        <v>221</v>
      </c>
    </row>
    <row r="4" spans="1:13" s="11" customFormat="1" ht="19.5" customHeight="1">
      <c r="A4" s="1482"/>
      <c r="B4" s="1482"/>
      <c r="C4" s="1482"/>
      <c r="D4" s="1482"/>
      <c r="E4" s="266" t="s">
        <v>222</v>
      </c>
      <c r="F4" s="266" t="s">
        <v>223</v>
      </c>
      <c r="G4" s="75" t="s">
        <v>224</v>
      </c>
      <c r="H4" s="76" t="s">
        <v>225</v>
      </c>
      <c r="I4" s="266" t="s">
        <v>226</v>
      </c>
      <c r="J4" s="266" t="s">
        <v>225</v>
      </c>
      <c r="K4" s="266" t="s">
        <v>226</v>
      </c>
      <c r="L4" s="266" t="s">
        <v>225</v>
      </c>
      <c r="M4" s="1482"/>
    </row>
    <row r="5" spans="1:13" s="11" customFormat="1" ht="19.5" customHeight="1">
      <c r="A5" s="96" t="s">
        <v>227</v>
      </c>
      <c r="B5" s="97"/>
      <c r="C5" s="97"/>
      <c r="D5" s="97"/>
      <c r="E5" s="97"/>
      <c r="F5" s="97"/>
      <c r="G5" s="98"/>
      <c r="H5" s="99"/>
      <c r="I5" s="97"/>
      <c r="J5" s="97"/>
      <c r="K5" s="97"/>
      <c r="L5" s="97"/>
      <c r="M5" s="97"/>
    </row>
    <row r="6" spans="1:13" s="117" customFormat="1" ht="19.5" customHeight="1">
      <c r="A6" s="114" t="s">
        <v>228</v>
      </c>
      <c r="B6" s="114"/>
      <c r="C6" s="115"/>
      <c r="D6" s="266"/>
      <c r="E6" s="116"/>
      <c r="F6" s="116">
        <f>SUM(F7:F12)</f>
        <v>8081729</v>
      </c>
      <c r="G6" s="116"/>
      <c r="H6" s="116">
        <f>SUM(H7:H11)</f>
        <v>8081729</v>
      </c>
      <c r="I6" s="116"/>
      <c r="J6" s="116"/>
      <c r="K6" s="116"/>
      <c r="L6" s="116"/>
      <c r="M6" s="114"/>
    </row>
    <row r="7" spans="1:13" s="10" customFormat="1" ht="19.5" customHeight="1">
      <c r="A7" s="342" t="s">
        <v>229</v>
      </c>
      <c r="B7" s="104"/>
      <c r="C7" s="105">
        <v>1</v>
      </c>
      <c r="D7" s="105" t="s">
        <v>230</v>
      </c>
      <c r="E7" s="104"/>
      <c r="F7" s="107">
        <f>H7+J7+L7</f>
        <v>282345</v>
      </c>
      <c r="G7" s="107"/>
      <c r="H7" s="107">
        <f>'5-1.일위대가'!H14</f>
        <v>282345</v>
      </c>
      <c r="I7" s="104"/>
      <c r="J7" s="104"/>
      <c r="K7" s="104"/>
      <c r="L7" s="104"/>
      <c r="M7" s="105" t="s">
        <v>231</v>
      </c>
    </row>
    <row r="8" spans="1:13" s="10" customFormat="1" ht="19.5" customHeight="1">
      <c r="A8" s="342" t="s">
        <v>232</v>
      </c>
      <c r="B8" s="104"/>
      <c r="C8" s="105">
        <v>1</v>
      </c>
      <c r="D8" s="105" t="s">
        <v>230</v>
      </c>
      <c r="E8" s="104"/>
      <c r="F8" s="107">
        <f t="shared" ref="F8:F15" si="0">H8+J8+L8</f>
        <v>1790394</v>
      </c>
      <c r="G8" s="107"/>
      <c r="H8" s="107">
        <f>'5-1.일위대가'!H25</f>
        <v>1790394</v>
      </c>
      <c r="I8" s="104"/>
      <c r="J8" s="104"/>
      <c r="K8" s="104"/>
      <c r="L8" s="104"/>
      <c r="M8" s="105" t="s">
        <v>11</v>
      </c>
    </row>
    <row r="9" spans="1:13" s="10" customFormat="1" ht="19.5" customHeight="1">
      <c r="A9" s="342" t="s">
        <v>233</v>
      </c>
      <c r="B9" s="104"/>
      <c r="C9" s="105">
        <v>1</v>
      </c>
      <c r="D9" s="105" t="s">
        <v>234</v>
      </c>
      <c r="E9" s="104"/>
      <c r="F9" s="107">
        <f t="shared" si="0"/>
        <v>4029963</v>
      </c>
      <c r="G9" s="107"/>
      <c r="H9" s="107">
        <f>'5-1.일위대가'!H36</f>
        <v>4029963</v>
      </c>
      <c r="I9" s="104"/>
      <c r="J9" s="104"/>
      <c r="K9" s="104"/>
      <c r="L9" s="104"/>
      <c r="M9" s="105" t="s">
        <v>12</v>
      </c>
    </row>
    <row r="10" spans="1:13" s="10" customFormat="1" ht="19.5" customHeight="1">
      <c r="A10" s="342" t="s">
        <v>235</v>
      </c>
      <c r="B10" s="104"/>
      <c r="C10" s="105">
        <v>1</v>
      </c>
      <c r="D10" s="105" t="s">
        <v>234</v>
      </c>
      <c r="E10" s="104"/>
      <c r="F10" s="107">
        <f t="shared" si="0"/>
        <v>991376</v>
      </c>
      <c r="G10" s="107"/>
      <c r="H10" s="107">
        <f>'5-1.일위대가'!H47</f>
        <v>991376</v>
      </c>
      <c r="I10" s="104"/>
      <c r="J10" s="104"/>
      <c r="K10" s="104"/>
      <c r="L10" s="104"/>
      <c r="M10" s="105" t="s">
        <v>13</v>
      </c>
    </row>
    <row r="11" spans="1:13" s="10" customFormat="1" ht="19.5" customHeight="1">
      <c r="A11" s="342" t="s">
        <v>236</v>
      </c>
      <c r="B11" s="104"/>
      <c r="C11" s="105">
        <v>1</v>
      </c>
      <c r="D11" s="105" t="s">
        <v>237</v>
      </c>
      <c r="E11" s="104"/>
      <c r="F11" s="107">
        <f t="shared" si="0"/>
        <v>987651</v>
      </c>
      <c r="G11" s="107"/>
      <c r="H11" s="107">
        <f>'5-1.일위대가'!H58</f>
        <v>987651</v>
      </c>
      <c r="I11" s="104"/>
      <c r="J11" s="104"/>
      <c r="K11" s="104"/>
      <c r="L11" s="104"/>
      <c r="M11" s="105" t="s">
        <v>14</v>
      </c>
    </row>
    <row r="12" spans="1:13" s="10" customFormat="1" ht="19.5" customHeight="1">
      <c r="A12" s="104"/>
      <c r="B12" s="104"/>
      <c r="C12" s="104"/>
      <c r="D12" s="104"/>
      <c r="E12" s="104"/>
      <c r="F12" s="107"/>
      <c r="G12" s="107"/>
      <c r="H12" s="107"/>
      <c r="I12" s="104"/>
      <c r="J12" s="104"/>
      <c r="K12" s="104"/>
      <c r="L12" s="104"/>
      <c r="M12" s="104"/>
    </row>
    <row r="13" spans="1:13" s="117" customFormat="1" ht="19.5" customHeight="1">
      <c r="A13" s="114" t="s">
        <v>238</v>
      </c>
      <c r="B13" s="114"/>
      <c r="C13" s="115"/>
      <c r="D13" s="266"/>
      <c r="E13" s="116"/>
      <c r="F13" s="116">
        <f>SUM(F14:F16)</f>
        <v>2913997.7856750004</v>
      </c>
      <c r="G13" s="116"/>
      <c r="H13" s="116"/>
      <c r="I13" s="116"/>
      <c r="J13" s="116"/>
      <c r="K13" s="116"/>
      <c r="L13" s="116">
        <f>SUM(L14:L16)</f>
        <v>2913997.7856750004</v>
      </c>
      <c r="M13" s="114"/>
    </row>
    <row r="14" spans="1:13" s="10" customFormat="1" ht="19.5" customHeight="1">
      <c r="A14" s="342" t="s">
        <v>239</v>
      </c>
      <c r="B14" s="104"/>
      <c r="C14" s="105">
        <v>1</v>
      </c>
      <c r="D14" s="105" t="s">
        <v>240</v>
      </c>
      <c r="E14" s="104"/>
      <c r="F14" s="107">
        <f t="shared" si="0"/>
        <v>1638522.5936750001</v>
      </c>
      <c r="G14" s="107"/>
      <c r="H14" s="343"/>
      <c r="I14" s="104"/>
      <c r="J14" s="104"/>
      <c r="K14" s="104"/>
      <c r="L14" s="344">
        <f>'5-1.일위대가'!L62</f>
        <v>1638522.5936750001</v>
      </c>
      <c r="M14" s="105" t="s">
        <v>241</v>
      </c>
    </row>
    <row r="15" spans="1:13" s="10" customFormat="1" ht="19.5" customHeight="1">
      <c r="A15" s="342" t="s">
        <v>242</v>
      </c>
      <c r="B15" s="104"/>
      <c r="C15" s="105">
        <v>1</v>
      </c>
      <c r="D15" s="105" t="s">
        <v>243</v>
      </c>
      <c r="E15" s="104"/>
      <c r="F15" s="107">
        <f t="shared" si="0"/>
        <v>1275475.1920000003</v>
      </c>
      <c r="G15" s="107"/>
      <c r="H15" s="107"/>
      <c r="I15" s="104"/>
      <c r="J15" s="104"/>
      <c r="K15" s="104"/>
      <c r="L15" s="344">
        <f>'5-1.일위대가'!L66</f>
        <v>1275475.1920000003</v>
      </c>
      <c r="M15" s="105" t="s">
        <v>16</v>
      </c>
    </row>
    <row r="16" spans="1:13" s="10" customFormat="1" ht="19.5" customHeight="1">
      <c r="A16" s="104"/>
      <c r="B16" s="104"/>
      <c r="C16" s="104"/>
      <c r="D16" s="104"/>
      <c r="E16" s="104"/>
      <c r="F16" s="107"/>
      <c r="G16" s="107"/>
      <c r="H16" s="107"/>
      <c r="I16" s="104"/>
      <c r="J16" s="104"/>
      <c r="K16" s="104"/>
      <c r="L16" s="104"/>
      <c r="M16" s="104"/>
    </row>
    <row r="17" spans="1:13" s="117" customFormat="1" ht="19.5" customHeight="1">
      <c r="A17" s="114" t="s">
        <v>244</v>
      </c>
      <c r="B17" s="114"/>
      <c r="C17" s="115"/>
      <c r="D17" s="266"/>
      <c r="E17" s="116"/>
      <c r="F17" s="116">
        <f>INT(F6*1.2)</f>
        <v>9698074</v>
      </c>
      <c r="G17" s="116"/>
      <c r="H17" s="116"/>
      <c r="I17" s="116"/>
      <c r="J17" s="116"/>
      <c r="K17" s="116"/>
      <c r="L17" s="116"/>
      <c r="M17" s="114"/>
    </row>
    <row r="18" spans="1:13" s="10" customFormat="1" ht="19.5" customHeight="1">
      <c r="A18" s="104"/>
      <c r="B18" s="104"/>
      <c r="C18" s="104"/>
      <c r="D18" s="104"/>
      <c r="E18" s="104"/>
      <c r="F18" s="107"/>
      <c r="G18" s="107"/>
      <c r="H18" s="107"/>
      <c r="I18" s="104"/>
      <c r="J18" s="104"/>
      <c r="K18" s="104"/>
      <c r="L18" s="104"/>
      <c r="M18" s="104"/>
    </row>
    <row r="19" spans="1:13" s="117" customFormat="1" ht="19.5" customHeight="1">
      <c r="A19" s="114" t="s">
        <v>266</v>
      </c>
      <c r="B19" s="114"/>
      <c r="C19" s="115"/>
      <c r="D19" s="266"/>
      <c r="E19" s="116"/>
      <c r="F19" s="116">
        <f>INT((F6+F17)*0.3)-468</f>
        <v>5333472</v>
      </c>
      <c r="G19" s="116"/>
      <c r="H19" s="116"/>
      <c r="I19" s="116"/>
      <c r="J19" s="116"/>
      <c r="K19" s="116"/>
      <c r="L19" s="116"/>
      <c r="M19" s="114"/>
    </row>
    <row r="20" spans="1:13" s="10" customFormat="1" ht="19.5" customHeight="1">
      <c r="A20" s="104"/>
      <c r="B20" s="104"/>
      <c r="C20" s="104"/>
      <c r="D20" s="104"/>
      <c r="E20" s="104"/>
      <c r="F20" s="107"/>
      <c r="G20" s="107"/>
      <c r="H20" s="107"/>
      <c r="I20" s="104"/>
      <c r="J20" s="104"/>
      <c r="K20" s="104"/>
      <c r="L20" s="104"/>
      <c r="M20" s="104"/>
    </row>
    <row r="21" spans="1:13" s="10" customFormat="1" ht="19.5" customHeight="1">
      <c r="A21" s="97" t="s">
        <v>84</v>
      </c>
      <c r="B21" s="104"/>
      <c r="C21" s="104"/>
      <c r="D21" s="104"/>
      <c r="E21" s="104"/>
      <c r="F21" s="344">
        <f>F6+F13+F17+F19</f>
        <v>26027272.785675</v>
      </c>
      <c r="G21" s="107"/>
      <c r="H21" s="107"/>
      <c r="I21" s="107"/>
      <c r="J21" s="107"/>
      <c r="K21" s="107"/>
      <c r="L21" s="107"/>
      <c r="M21" s="104"/>
    </row>
    <row r="22" spans="1:13" s="10" customFormat="1" ht="19.5" customHeight="1">
      <c r="A22" s="105"/>
      <c r="B22" s="104"/>
      <c r="C22" s="104"/>
      <c r="D22" s="104"/>
      <c r="E22" s="104"/>
      <c r="F22" s="344"/>
      <c r="G22" s="107"/>
      <c r="H22" s="107"/>
      <c r="I22" s="104"/>
      <c r="J22" s="104"/>
      <c r="K22" s="104"/>
      <c r="L22" s="104"/>
      <c r="M22" s="104"/>
    </row>
    <row r="23" spans="1:13" s="117" customFormat="1" ht="19.5" customHeight="1">
      <c r="A23" s="114" t="s">
        <v>245</v>
      </c>
      <c r="B23" s="114"/>
      <c r="C23" s="115"/>
      <c r="D23" s="266"/>
      <c r="E23" s="116"/>
      <c r="F23" s="116">
        <f>ROUNDDOWN(F21*0.1,0)</f>
        <v>2602727</v>
      </c>
      <c r="G23" s="116"/>
      <c r="H23" s="116"/>
      <c r="I23" s="116"/>
      <c r="J23" s="116"/>
      <c r="K23" s="116"/>
      <c r="L23" s="116"/>
      <c r="M23" s="114"/>
    </row>
    <row r="24" spans="1:13" s="10" customFormat="1" ht="19.5" customHeight="1">
      <c r="A24" s="345"/>
      <c r="B24" s="104"/>
      <c r="C24" s="104"/>
      <c r="D24" s="104"/>
      <c r="E24" s="104"/>
      <c r="F24" s="344"/>
      <c r="G24" s="107"/>
      <c r="H24" s="107"/>
      <c r="I24" s="104"/>
      <c r="J24" s="104"/>
      <c r="K24" s="104"/>
      <c r="L24" s="104"/>
      <c r="M24" s="104"/>
    </row>
    <row r="25" spans="1:13" s="118" customFormat="1" ht="19.5" customHeight="1">
      <c r="A25" s="112" t="s">
        <v>246</v>
      </c>
      <c r="B25" s="374"/>
      <c r="C25" s="375"/>
      <c r="D25" s="112"/>
      <c r="E25" s="113"/>
      <c r="F25" s="113">
        <f>F21+F23</f>
        <v>28629999.785675</v>
      </c>
      <c r="G25" s="113"/>
      <c r="H25" s="113"/>
      <c r="I25" s="113"/>
      <c r="J25" s="113"/>
      <c r="K25" s="113"/>
      <c r="L25" s="113"/>
      <c r="M25" s="374"/>
    </row>
  </sheetData>
  <mergeCells count="10">
    <mergeCell ref="A1:M1"/>
    <mergeCell ref="A3:A4"/>
    <mergeCell ref="B3:B4"/>
    <mergeCell ref="C3:C4"/>
    <mergeCell ref="D3:D4"/>
    <mergeCell ref="E3:F3"/>
    <mergeCell ref="G3:H3"/>
    <mergeCell ref="I3:J3"/>
    <mergeCell ref="K3:L3"/>
    <mergeCell ref="M3:M4"/>
  </mergeCells>
  <phoneticPr fontId="2" type="noConversion"/>
  <pageMargins left="0.70866141732283472" right="0.70866141732283472" top="0.74803149606299213" bottom="0.74803149606299213" header="0.31496062992125984" footer="0.31496062992125984"/>
  <pageSetup paperSize="9" scale="8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view="pageBreakPreview" topLeftCell="A37" zoomScale="85" zoomScaleNormal="70" zoomScaleSheetLayoutView="85" workbookViewId="0">
      <selection activeCell="I8" sqref="I8:K8"/>
    </sheetView>
  </sheetViews>
  <sheetFormatPr defaultRowHeight="13.5"/>
  <cols>
    <col min="1" max="1" width="23.75" style="368" customWidth="1"/>
    <col min="2" max="2" width="9.875" style="369" customWidth="1"/>
    <col min="3" max="3" width="9.875" style="370" customWidth="1"/>
    <col min="4" max="4" width="9.875" style="368" customWidth="1"/>
    <col min="5" max="5" width="9.625" style="368" customWidth="1"/>
    <col min="6" max="6" width="12.875" style="368" customWidth="1"/>
    <col min="7" max="7" width="9.5" style="371" customWidth="1"/>
    <col min="8" max="8" width="14.5" style="372" customWidth="1"/>
    <col min="9" max="9" width="7" style="368" customWidth="1"/>
    <col min="10" max="10" width="10.75" style="368" customWidth="1"/>
    <col min="11" max="11" width="5.75" style="368" customWidth="1"/>
    <col min="12" max="12" width="11.625" style="368" customWidth="1"/>
    <col min="13" max="13" width="8.5" style="368" customWidth="1"/>
    <col min="14" max="256" width="9" style="368"/>
    <col min="257" max="257" width="37.375" style="368" bestFit="1" customWidth="1"/>
    <col min="258" max="260" width="9.875" style="368" customWidth="1"/>
    <col min="261" max="268" width="17.75" style="368" customWidth="1"/>
    <col min="269" max="269" width="8.5" style="368" customWidth="1"/>
    <col min="270" max="512" width="9" style="368"/>
    <col min="513" max="513" width="37.375" style="368" bestFit="1" customWidth="1"/>
    <col min="514" max="516" width="9.875" style="368" customWidth="1"/>
    <col min="517" max="524" width="17.75" style="368" customWidth="1"/>
    <col min="525" max="525" width="8.5" style="368" customWidth="1"/>
    <col min="526" max="768" width="9" style="368"/>
    <col min="769" max="769" width="37.375" style="368" bestFit="1" customWidth="1"/>
    <col min="770" max="772" width="9.875" style="368" customWidth="1"/>
    <col min="773" max="780" width="17.75" style="368" customWidth="1"/>
    <col min="781" max="781" width="8.5" style="368" customWidth="1"/>
    <col min="782" max="1024" width="9" style="368"/>
    <col min="1025" max="1025" width="37.375" style="368" bestFit="1" customWidth="1"/>
    <col min="1026" max="1028" width="9.875" style="368" customWidth="1"/>
    <col min="1029" max="1036" width="17.75" style="368" customWidth="1"/>
    <col min="1037" max="1037" width="8.5" style="368" customWidth="1"/>
    <col min="1038" max="1280" width="9" style="368"/>
    <col min="1281" max="1281" width="37.375" style="368" bestFit="1" customWidth="1"/>
    <col min="1282" max="1284" width="9.875" style="368" customWidth="1"/>
    <col min="1285" max="1292" width="17.75" style="368" customWidth="1"/>
    <col min="1293" max="1293" width="8.5" style="368" customWidth="1"/>
    <col min="1294" max="1536" width="9" style="368"/>
    <col min="1537" max="1537" width="37.375" style="368" bestFit="1" customWidth="1"/>
    <col min="1538" max="1540" width="9.875" style="368" customWidth="1"/>
    <col min="1541" max="1548" width="17.75" style="368" customWidth="1"/>
    <col min="1549" max="1549" width="8.5" style="368" customWidth="1"/>
    <col min="1550" max="1792" width="9" style="368"/>
    <col min="1793" max="1793" width="37.375" style="368" bestFit="1" customWidth="1"/>
    <col min="1794" max="1796" width="9.875" style="368" customWidth="1"/>
    <col min="1797" max="1804" width="17.75" style="368" customWidth="1"/>
    <col min="1805" max="1805" width="8.5" style="368" customWidth="1"/>
    <col min="1806" max="2048" width="9" style="368"/>
    <col min="2049" max="2049" width="37.375" style="368" bestFit="1" customWidth="1"/>
    <col min="2050" max="2052" width="9.875" style="368" customWidth="1"/>
    <col min="2053" max="2060" width="17.75" style="368" customWidth="1"/>
    <col min="2061" max="2061" width="8.5" style="368" customWidth="1"/>
    <col min="2062" max="2304" width="9" style="368"/>
    <col min="2305" max="2305" width="37.375" style="368" bestFit="1" customWidth="1"/>
    <col min="2306" max="2308" width="9.875" style="368" customWidth="1"/>
    <col min="2309" max="2316" width="17.75" style="368" customWidth="1"/>
    <col min="2317" max="2317" width="8.5" style="368" customWidth="1"/>
    <col min="2318" max="2560" width="9" style="368"/>
    <col min="2561" max="2561" width="37.375" style="368" bestFit="1" customWidth="1"/>
    <col min="2562" max="2564" width="9.875" style="368" customWidth="1"/>
    <col min="2565" max="2572" width="17.75" style="368" customWidth="1"/>
    <col min="2573" max="2573" width="8.5" style="368" customWidth="1"/>
    <col min="2574" max="2816" width="9" style="368"/>
    <col min="2817" max="2817" width="37.375" style="368" bestFit="1" customWidth="1"/>
    <col min="2818" max="2820" width="9.875" style="368" customWidth="1"/>
    <col min="2821" max="2828" width="17.75" style="368" customWidth="1"/>
    <col min="2829" max="2829" width="8.5" style="368" customWidth="1"/>
    <col min="2830" max="3072" width="9" style="368"/>
    <col min="3073" max="3073" width="37.375" style="368" bestFit="1" customWidth="1"/>
    <col min="3074" max="3076" width="9.875" style="368" customWidth="1"/>
    <col min="3077" max="3084" width="17.75" style="368" customWidth="1"/>
    <col min="3085" max="3085" width="8.5" style="368" customWidth="1"/>
    <col min="3086" max="3328" width="9" style="368"/>
    <col min="3329" max="3329" width="37.375" style="368" bestFit="1" customWidth="1"/>
    <col min="3330" max="3332" width="9.875" style="368" customWidth="1"/>
    <col min="3333" max="3340" width="17.75" style="368" customWidth="1"/>
    <col min="3341" max="3341" width="8.5" style="368" customWidth="1"/>
    <col min="3342" max="3584" width="9" style="368"/>
    <col min="3585" max="3585" width="37.375" style="368" bestFit="1" customWidth="1"/>
    <col min="3586" max="3588" width="9.875" style="368" customWidth="1"/>
    <col min="3589" max="3596" width="17.75" style="368" customWidth="1"/>
    <col min="3597" max="3597" width="8.5" style="368" customWidth="1"/>
    <col min="3598" max="3840" width="9" style="368"/>
    <col min="3841" max="3841" width="37.375" style="368" bestFit="1" customWidth="1"/>
    <col min="3842" max="3844" width="9.875" style="368" customWidth="1"/>
    <col min="3845" max="3852" width="17.75" style="368" customWidth="1"/>
    <col min="3853" max="3853" width="8.5" style="368" customWidth="1"/>
    <col min="3854" max="4096" width="9" style="368"/>
    <col min="4097" max="4097" width="37.375" style="368" bestFit="1" customWidth="1"/>
    <col min="4098" max="4100" width="9.875" style="368" customWidth="1"/>
    <col min="4101" max="4108" width="17.75" style="368" customWidth="1"/>
    <col min="4109" max="4109" width="8.5" style="368" customWidth="1"/>
    <col min="4110" max="4352" width="9" style="368"/>
    <col min="4353" max="4353" width="37.375" style="368" bestFit="1" customWidth="1"/>
    <col min="4354" max="4356" width="9.875" style="368" customWidth="1"/>
    <col min="4357" max="4364" width="17.75" style="368" customWidth="1"/>
    <col min="4365" max="4365" width="8.5" style="368" customWidth="1"/>
    <col min="4366" max="4608" width="9" style="368"/>
    <col min="4609" max="4609" width="37.375" style="368" bestFit="1" customWidth="1"/>
    <col min="4610" max="4612" width="9.875" style="368" customWidth="1"/>
    <col min="4613" max="4620" width="17.75" style="368" customWidth="1"/>
    <col min="4621" max="4621" width="8.5" style="368" customWidth="1"/>
    <col min="4622" max="4864" width="9" style="368"/>
    <col min="4865" max="4865" width="37.375" style="368" bestFit="1" customWidth="1"/>
    <col min="4866" max="4868" width="9.875" style="368" customWidth="1"/>
    <col min="4869" max="4876" width="17.75" style="368" customWidth="1"/>
    <col min="4877" max="4877" width="8.5" style="368" customWidth="1"/>
    <col min="4878" max="5120" width="9" style="368"/>
    <col min="5121" max="5121" width="37.375" style="368" bestFit="1" customWidth="1"/>
    <col min="5122" max="5124" width="9.875" style="368" customWidth="1"/>
    <col min="5125" max="5132" width="17.75" style="368" customWidth="1"/>
    <col min="5133" max="5133" width="8.5" style="368" customWidth="1"/>
    <col min="5134" max="5376" width="9" style="368"/>
    <col min="5377" max="5377" width="37.375" style="368" bestFit="1" customWidth="1"/>
    <col min="5378" max="5380" width="9.875" style="368" customWidth="1"/>
    <col min="5381" max="5388" width="17.75" style="368" customWidth="1"/>
    <col min="5389" max="5389" width="8.5" style="368" customWidth="1"/>
    <col min="5390" max="5632" width="9" style="368"/>
    <col min="5633" max="5633" width="37.375" style="368" bestFit="1" customWidth="1"/>
    <col min="5634" max="5636" width="9.875" style="368" customWidth="1"/>
    <col min="5637" max="5644" width="17.75" style="368" customWidth="1"/>
    <col min="5645" max="5645" width="8.5" style="368" customWidth="1"/>
    <col min="5646" max="5888" width="9" style="368"/>
    <col min="5889" max="5889" width="37.375" style="368" bestFit="1" customWidth="1"/>
    <col min="5890" max="5892" width="9.875" style="368" customWidth="1"/>
    <col min="5893" max="5900" width="17.75" style="368" customWidth="1"/>
    <col min="5901" max="5901" width="8.5" style="368" customWidth="1"/>
    <col min="5902" max="6144" width="9" style="368"/>
    <col min="6145" max="6145" width="37.375" style="368" bestFit="1" customWidth="1"/>
    <col min="6146" max="6148" width="9.875" style="368" customWidth="1"/>
    <col min="6149" max="6156" width="17.75" style="368" customWidth="1"/>
    <col min="6157" max="6157" width="8.5" style="368" customWidth="1"/>
    <col min="6158" max="6400" width="9" style="368"/>
    <col min="6401" max="6401" width="37.375" style="368" bestFit="1" customWidth="1"/>
    <col min="6402" max="6404" width="9.875" style="368" customWidth="1"/>
    <col min="6405" max="6412" width="17.75" style="368" customWidth="1"/>
    <col min="6413" max="6413" width="8.5" style="368" customWidth="1"/>
    <col min="6414" max="6656" width="9" style="368"/>
    <col min="6657" max="6657" width="37.375" style="368" bestFit="1" customWidth="1"/>
    <col min="6658" max="6660" width="9.875" style="368" customWidth="1"/>
    <col min="6661" max="6668" width="17.75" style="368" customWidth="1"/>
    <col min="6669" max="6669" width="8.5" style="368" customWidth="1"/>
    <col min="6670" max="6912" width="9" style="368"/>
    <col min="6913" max="6913" width="37.375" style="368" bestFit="1" customWidth="1"/>
    <col min="6914" max="6916" width="9.875" style="368" customWidth="1"/>
    <col min="6917" max="6924" width="17.75" style="368" customWidth="1"/>
    <col min="6925" max="6925" width="8.5" style="368" customWidth="1"/>
    <col min="6926" max="7168" width="9" style="368"/>
    <col min="7169" max="7169" width="37.375" style="368" bestFit="1" customWidth="1"/>
    <col min="7170" max="7172" width="9.875" style="368" customWidth="1"/>
    <col min="7173" max="7180" width="17.75" style="368" customWidth="1"/>
    <col min="7181" max="7181" width="8.5" style="368" customWidth="1"/>
    <col min="7182" max="7424" width="9" style="368"/>
    <col min="7425" max="7425" width="37.375" style="368" bestFit="1" customWidth="1"/>
    <col min="7426" max="7428" width="9.875" style="368" customWidth="1"/>
    <col min="7429" max="7436" width="17.75" style="368" customWidth="1"/>
    <col min="7437" max="7437" width="8.5" style="368" customWidth="1"/>
    <col min="7438" max="7680" width="9" style="368"/>
    <col min="7681" max="7681" width="37.375" style="368" bestFit="1" customWidth="1"/>
    <col min="7682" max="7684" width="9.875" style="368" customWidth="1"/>
    <col min="7685" max="7692" width="17.75" style="368" customWidth="1"/>
    <col min="7693" max="7693" width="8.5" style="368" customWidth="1"/>
    <col min="7694" max="7936" width="9" style="368"/>
    <col min="7937" max="7937" width="37.375" style="368" bestFit="1" customWidth="1"/>
    <col min="7938" max="7940" width="9.875" style="368" customWidth="1"/>
    <col min="7941" max="7948" width="17.75" style="368" customWidth="1"/>
    <col min="7949" max="7949" width="8.5" style="368" customWidth="1"/>
    <col min="7950" max="8192" width="9" style="368"/>
    <col min="8193" max="8193" width="37.375" style="368" bestFit="1" customWidth="1"/>
    <col min="8194" max="8196" width="9.875" style="368" customWidth="1"/>
    <col min="8197" max="8204" width="17.75" style="368" customWidth="1"/>
    <col min="8205" max="8205" width="8.5" style="368" customWidth="1"/>
    <col min="8206" max="8448" width="9" style="368"/>
    <col min="8449" max="8449" width="37.375" style="368" bestFit="1" customWidth="1"/>
    <col min="8450" max="8452" width="9.875" style="368" customWidth="1"/>
    <col min="8453" max="8460" width="17.75" style="368" customWidth="1"/>
    <col min="8461" max="8461" width="8.5" style="368" customWidth="1"/>
    <col min="8462" max="8704" width="9" style="368"/>
    <col min="8705" max="8705" width="37.375" style="368" bestFit="1" customWidth="1"/>
    <col min="8706" max="8708" width="9.875" style="368" customWidth="1"/>
    <col min="8709" max="8716" width="17.75" style="368" customWidth="1"/>
    <col min="8717" max="8717" width="8.5" style="368" customWidth="1"/>
    <col min="8718" max="8960" width="9" style="368"/>
    <col min="8961" max="8961" width="37.375" style="368" bestFit="1" customWidth="1"/>
    <col min="8962" max="8964" width="9.875" style="368" customWidth="1"/>
    <col min="8965" max="8972" width="17.75" style="368" customWidth="1"/>
    <col min="8973" max="8973" width="8.5" style="368" customWidth="1"/>
    <col min="8974" max="9216" width="9" style="368"/>
    <col min="9217" max="9217" width="37.375" style="368" bestFit="1" customWidth="1"/>
    <col min="9218" max="9220" width="9.875" style="368" customWidth="1"/>
    <col min="9221" max="9228" width="17.75" style="368" customWidth="1"/>
    <col min="9229" max="9229" width="8.5" style="368" customWidth="1"/>
    <col min="9230" max="9472" width="9" style="368"/>
    <col min="9473" max="9473" width="37.375" style="368" bestFit="1" customWidth="1"/>
    <col min="9474" max="9476" width="9.875" style="368" customWidth="1"/>
    <col min="9477" max="9484" width="17.75" style="368" customWidth="1"/>
    <col min="9485" max="9485" width="8.5" style="368" customWidth="1"/>
    <col min="9486" max="9728" width="9" style="368"/>
    <col min="9729" max="9729" width="37.375" style="368" bestFit="1" customWidth="1"/>
    <col min="9730" max="9732" width="9.875" style="368" customWidth="1"/>
    <col min="9733" max="9740" width="17.75" style="368" customWidth="1"/>
    <col min="9741" max="9741" width="8.5" style="368" customWidth="1"/>
    <col min="9742" max="9984" width="9" style="368"/>
    <col min="9985" max="9985" width="37.375" style="368" bestFit="1" customWidth="1"/>
    <col min="9986" max="9988" width="9.875" style="368" customWidth="1"/>
    <col min="9989" max="9996" width="17.75" style="368" customWidth="1"/>
    <col min="9997" max="9997" width="8.5" style="368" customWidth="1"/>
    <col min="9998" max="10240" width="9" style="368"/>
    <col min="10241" max="10241" width="37.375" style="368" bestFit="1" customWidth="1"/>
    <col min="10242" max="10244" width="9.875" style="368" customWidth="1"/>
    <col min="10245" max="10252" width="17.75" style="368" customWidth="1"/>
    <col min="10253" max="10253" width="8.5" style="368" customWidth="1"/>
    <col min="10254" max="10496" width="9" style="368"/>
    <col min="10497" max="10497" width="37.375" style="368" bestFit="1" customWidth="1"/>
    <col min="10498" max="10500" width="9.875" style="368" customWidth="1"/>
    <col min="10501" max="10508" width="17.75" style="368" customWidth="1"/>
    <col min="10509" max="10509" width="8.5" style="368" customWidth="1"/>
    <col min="10510" max="10752" width="9" style="368"/>
    <col min="10753" max="10753" width="37.375" style="368" bestFit="1" customWidth="1"/>
    <col min="10754" max="10756" width="9.875" style="368" customWidth="1"/>
    <col min="10757" max="10764" width="17.75" style="368" customWidth="1"/>
    <col min="10765" max="10765" width="8.5" style="368" customWidth="1"/>
    <col min="10766" max="11008" width="9" style="368"/>
    <col min="11009" max="11009" width="37.375" style="368" bestFit="1" customWidth="1"/>
    <col min="11010" max="11012" width="9.875" style="368" customWidth="1"/>
    <col min="11013" max="11020" width="17.75" style="368" customWidth="1"/>
    <col min="11021" max="11021" width="8.5" style="368" customWidth="1"/>
    <col min="11022" max="11264" width="9" style="368"/>
    <col min="11265" max="11265" width="37.375" style="368" bestFit="1" customWidth="1"/>
    <col min="11266" max="11268" width="9.875" style="368" customWidth="1"/>
    <col min="11269" max="11276" width="17.75" style="368" customWidth="1"/>
    <col min="11277" max="11277" width="8.5" style="368" customWidth="1"/>
    <col min="11278" max="11520" width="9" style="368"/>
    <col min="11521" max="11521" width="37.375" style="368" bestFit="1" customWidth="1"/>
    <col min="11522" max="11524" width="9.875" style="368" customWidth="1"/>
    <col min="11525" max="11532" width="17.75" style="368" customWidth="1"/>
    <col min="11533" max="11533" width="8.5" style="368" customWidth="1"/>
    <col min="11534" max="11776" width="9" style="368"/>
    <col min="11777" max="11777" width="37.375" style="368" bestFit="1" customWidth="1"/>
    <col min="11778" max="11780" width="9.875" style="368" customWidth="1"/>
    <col min="11781" max="11788" width="17.75" style="368" customWidth="1"/>
    <col min="11789" max="11789" width="8.5" style="368" customWidth="1"/>
    <col min="11790" max="12032" width="9" style="368"/>
    <col min="12033" max="12033" width="37.375" style="368" bestFit="1" customWidth="1"/>
    <col min="12034" max="12036" width="9.875" style="368" customWidth="1"/>
    <col min="12037" max="12044" width="17.75" style="368" customWidth="1"/>
    <col min="12045" max="12045" width="8.5" style="368" customWidth="1"/>
    <col min="12046" max="12288" width="9" style="368"/>
    <col min="12289" max="12289" width="37.375" style="368" bestFit="1" customWidth="1"/>
    <col min="12290" max="12292" width="9.875" style="368" customWidth="1"/>
    <col min="12293" max="12300" width="17.75" style="368" customWidth="1"/>
    <col min="12301" max="12301" width="8.5" style="368" customWidth="1"/>
    <col min="12302" max="12544" width="9" style="368"/>
    <col min="12545" max="12545" width="37.375" style="368" bestFit="1" customWidth="1"/>
    <col min="12546" max="12548" width="9.875" style="368" customWidth="1"/>
    <col min="12549" max="12556" width="17.75" style="368" customWidth="1"/>
    <col min="12557" max="12557" width="8.5" style="368" customWidth="1"/>
    <col min="12558" max="12800" width="9" style="368"/>
    <col min="12801" max="12801" width="37.375" style="368" bestFit="1" customWidth="1"/>
    <col min="12802" max="12804" width="9.875" style="368" customWidth="1"/>
    <col min="12805" max="12812" width="17.75" style="368" customWidth="1"/>
    <col min="12813" max="12813" width="8.5" style="368" customWidth="1"/>
    <col min="12814" max="13056" width="9" style="368"/>
    <col min="13057" max="13057" width="37.375" style="368" bestFit="1" customWidth="1"/>
    <col min="13058" max="13060" width="9.875" style="368" customWidth="1"/>
    <col min="13061" max="13068" width="17.75" style="368" customWidth="1"/>
    <col min="13069" max="13069" width="8.5" style="368" customWidth="1"/>
    <col min="13070" max="13312" width="9" style="368"/>
    <col min="13313" max="13313" width="37.375" style="368" bestFit="1" customWidth="1"/>
    <col min="13314" max="13316" width="9.875" style="368" customWidth="1"/>
    <col min="13317" max="13324" width="17.75" style="368" customWidth="1"/>
    <col min="13325" max="13325" width="8.5" style="368" customWidth="1"/>
    <col min="13326" max="13568" width="9" style="368"/>
    <col min="13569" max="13569" width="37.375" style="368" bestFit="1" customWidth="1"/>
    <col min="13570" max="13572" width="9.875" style="368" customWidth="1"/>
    <col min="13573" max="13580" width="17.75" style="368" customWidth="1"/>
    <col min="13581" max="13581" width="8.5" style="368" customWidth="1"/>
    <col min="13582" max="13824" width="9" style="368"/>
    <col min="13825" max="13825" width="37.375" style="368" bestFit="1" customWidth="1"/>
    <col min="13826" max="13828" width="9.875" style="368" customWidth="1"/>
    <col min="13829" max="13836" width="17.75" style="368" customWidth="1"/>
    <col min="13837" max="13837" width="8.5" style="368" customWidth="1"/>
    <col min="13838" max="14080" width="9" style="368"/>
    <col min="14081" max="14081" width="37.375" style="368" bestFit="1" customWidth="1"/>
    <col min="14082" max="14084" width="9.875" style="368" customWidth="1"/>
    <col min="14085" max="14092" width="17.75" style="368" customWidth="1"/>
    <col min="14093" max="14093" width="8.5" style="368" customWidth="1"/>
    <col min="14094" max="14336" width="9" style="368"/>
    <col min="14337" max="14337" width="37.375" style="368" bestFit="1" customWidth="1"/>
    <col min="14338" max="14340" width="9.875" style="368" customWidth="1"/>
    <col min="14341" max="14348" width="17.75" style="368" customWidth="1"/>
    <col min="14349" max="14349" width="8.5" style="368" customWidth="1"/>
    <col min="14350" max="14592" width="9" style="368"/>
    <col min="14593" max="14593" width="37.375" style="368" bestFit="1" customWidth="1"/>
    <col min="14594" max="14596" width="9.875" style="368" customWidth="1"/>
    <col min="14597" max="14604" width="17.75" style="368" customWidth="1"/>
    <col min="14605" max="14605" width="8.5" style="368" customWidth="1"/>
    <col min="14606" max="14848" width="9" style="368"/>
    <col min="14849" max="14849" width="37.375" style="368" bestFit="1" customWidth="1"/>
    <col min="14850" max="14852" width="9.875" style="368" customWidth="1"/>
    <col min="14853" max="14860" width="17.75" style="368" customWidth="1"/>
    <col min="14861" max="14861" width="8.5" style="368" customWidth="1"/>
    <col min="14862" max="15104" width="9" style="368"/>
    <col min="15105" max="15105" width="37.375" style="368" bestFit="1" customWidth="1"/>
    <col min="15106" max="15108" width="9.875" style="368" customWidth="1"/>
    <col min="15109" max="15116" width="17.75" style="368" customWidth="1"/>
    <col min="15117" max="15117" width="8.5" style="368" customWidth="1"/>
    <col min="15118" max="15360" width="9" style="368"/>
    <col min="15361" max="15361" width="37.375" style="368" bestFit="1" customWidth="1"/>
    <col min="15362" max="15364" width="9.875" style="368" customWidth="1"/>
    <col min="15365" max="15372" width="17.75" style="368" customWidth="1"/>
    <col min="15373" max="15373" width="8.5" style="368" customWidth="1"/>
    <col min="15374" max="15616" width="9" style="368"/>
    <col min="15617" max="15617" width="37.375" style="368" bestFit="1" customWidth="1"/>
    <col min="15618" max="15620" width="9.875" style="368" customWidth="1"/>
    <col min="15621" max="15628" width="17.75" style="368" customWidth="1"/>
    <col min="15629" max="15629" width="8.5" style="368" customWidth="1"/>
    <col min="15630" max="15872" width="9" style="368"/>
    <col min="15873" max="15873" width="37.375" style="368" bestFit="1" customWidth="1"/>
    <col min="15874" max="15876" width="9.875" style="368" customWidth="1"/>
    <col min="15877" max="15884" width="17.75" style="368" customWidth="1"/>
    <col min="15885" max="15885" width="8.5" style="368" customWidth="1"/>
    <col min="15886" max="16128" width="9" style="368"/>
    <col min="16129" max="16129" width="37.375" style="368" bestFit="1" customWidth="1"/>
    <col min="16130" max="16132" width="9.875" style="368" customWidth="1"/>
    <col min="16133" max="16140" width="17.75" style="368" customWidth="1"/>
    <col min="16141" max="16141" width="8.5" style="368" customWidth="1"/>
    <col min="16142" max="16384" width="9" style="368"/>
  </cols>
  <sheetData>
    <row r="1" spans="1:13" s="30" customFormat="1" ht="35.25" customHeight="1">
      <c r="A1" s="1560" t="s">
        <v>205</v>
      </c>
      <c r="B1" s="1560"/>
      <c r="C1" s="1560"/>
      <c r="D1" s="1560"/>
      <c r="E1" s="1560"/>
      <c r="F1" s="1560"/>
      <c r="G1" s="1560"/>
      <c r="H1" s="1560"/>
      <c r="I1" s="1560"/>
      <c r="J1" s="1560"/>
      <c r="K1" s="1560"/>
      <c r="L1" s="1560"/>
      <c r="M1" s="1560"/>
    </row>
    <row r="2" spans="1:13" s="30" customFormat="1" ht="18" customHeight="1">
      <c r="A2" s="346"/>
      <c r="B2" s="346"/>
      <c r="C2" s="347"/>
      <c r="D2" s="346"/>
      <c r="E2" s="346"/>
      <c r="F2" s="346"/>
      <c r="G2" s="346"/>
      <c r="H2" s="346"/>
      <c r="I2" s="346"/>
      <c r="J2" s="346"/>
      <c r="K2" s="346"/>
      <c r="L2" s="346"/>
      <c r="M2" s="346"/>
    </row>
    <row r="3" spans="1:13" s="25" customFormat="1" ht="18" customHeight="1">
      <c r="A3" s="1584" t="s">
        <v>86</v>
      </c>
      <c r="B3" s="1585" t="s">
        <v>87</v>
      </c>
      <c r="C3" s="1586" t="s">
        <v>80</v>
      </c>
      <c r="D3" s="1584" t="s">
        <v>206</v>
      </c>
      <c r="E3" s="1584" t="s">
        <v>8</v>
      </c>
      <c r="F3" s="1584"/>
      <c r="G3" s="1584" t="s">
        <v>81</v>
      </c>
      <c r="H3" s="1584"/>
      <c r="I3" s="1584" t="s">
        <v>82</v>
      </c>
      <c r="J3" s="1584"/>
      <c r="K3" s="1584" t="s">
        <v>109</v>
      </c>
      <c r="L3" s="1584"/>
      <c r="M3" s="1584" t="s">
        <v>126</v>
      </c>
    </row>
    <row r="4" spans="1:13" s="25" customFormat="1" ht="18" customHeight="1">
      <c r="A4" s="1584"/>
      <c r="B4" s="1585"/>
      <c r="C4" s="1586"/>
      <c r="D4" s="1584"/>
      <c r="E4" s="348" t="s">
        <v>1</v>
      </c>
      <c r="F4" s="348" t="s">
        <v>9</v>
      </c>
      <c r="G4" s="349" t="s">
        <v>1</v>
      </c>
      <c r="H4" s="350" t="s">
        <v>9</v>
      </c>
      <c r="I4" s="348" t="s">
        <v>1</v>
      </c>
      <c r="J4" s="348" t="s">
        <v>9</v>
      </c>
      <c r="K4" s="348" t="s">
        <v>1</v>
      </c>
      <c r="L4" s="348" t="s">
        <v>9</v>
      </c>
      <c r="M4" s="1584"/>
    </row>
    <row r="5" spans="1:13" s="25" customFormat="1" ht="18" customHeight="1">
      <c r="A5" s="351" t="s">
        <v>207</v>
      </c>
      <c r="B5" s="352"/>
      <c r="C5" s="353"/>
      <c r="D5" s="351"/>
      <c r="E5" s="351"/>
      <c r="F5" s="351"/>
      <c r="G5" s="354"/>
      <c r="H5" s="355"/>
      <c r="I5" s="351"/>
      <c r="J5" s="351"/>
      <c r="K5" s="351"/>
      <c r="L5" s="351"/>
      <c r="M5" s="356"/>
    </row>
    <row r="6" spans="1:13" s="30" customFormat="1" ht="18" customHeight="1">
      <c r="A6" s="357" t="s">
        <v>92</v>
      </c>
      <c r="B6" s="358"/>
      <c r="C6" s="359">
        <f>'5-2.산출근거(1)'!C28</f>
        <v>0.15</v>
      </c>
      <c r="D6" s="35"/>
      <c r="E6" s="360">
        <f t="shared" ref="E6:F11" si="0">G6+I6+K6</f>
        <v>325327.32320500002</v>
      </c>
      <c r="F6" s="360">
        <f t="shared" si="0"/>
        <v>48799</v>
      </c>
      <c r="G6" s="361">
        <f>'5-3.산출근거(2)'!R24</f>
        <v>325327.32320500002</v>
      </c>
      <c r="H6" s="360">
        <f t="shared" ref="H6:H11" si="1">INT(G6*C6)</f>
        <v>48799</v>
      </c>
      <c r="I6" s="35"/>
      <c r="J6" s="35"/>
      <c r="K6" s="35"/>
      <c r="L6" s="35"/>
      <c r="M6" s="26"/>
    </row>
    <row r="7" spans="1:13" s="30" customFormat="1" ht="18" customHeight="1">
      <c r="A7" s="357" t="s">
        <v>93</v>
      </c>
      <c r="B7" s="358"/>
      <c r="C7" s="359">
        <f>'5-2.산출근거(1)'!D28</f>
        <v>0.2</v>
      </c>
      <c r="D7" s="35"/>
      <c r="E7" s="360">
        <f t="shared" si="0"/>
        <v>238578.78030000001</v>
      </c>
      <c r="F7" s="360">
        <f t="shared" si="0"/>
        <v>47715</v>
      </c>
      <c r="G7" s="361">
        <f>'5-3.산출근거(2)'!R25</f>
        <v>238578.78030000001</v>
      </c>
      <c r="H7" s="360">
        <f t="shared" si="1"/>
        <v>47715</v>
      </c>
      <c r="I7" s="35"/>
      <c r="J7" s="35"/>
      <c r="K7" s="35"/>
      <c r="L7" s="35"/>
      <c r="M7" s="26"/>
    </row>
    <row r="8" spans="1:13" s="30" customFormat="1" ht="18" customHeight="1">
      <c r="A8" s="357" t="s">
        <v>94</v>
      </c>
      <c r="B8" s="358"/>
      <c r="C8" s="359">
        <f>'5-2.산출근거(1)'!E28</f>
        <v>0.55000000000000004</v>
      </c>
      <c r="D8" s="35"/>
      <c r="E8" s="360">
        <f t="shared" si="0"/>
        <v>199505.89618100002</v>
      </c>
      <c r="F8" s="360">
        <f t="shared" si="0"/>
        <v>109728</v>
      </c>
      <c r="G8" s="361">
        <f>'5-3.산출근거(2)'!R26</f>
        <v>199505.89618100002</v>
      </c>
      <c r="H8" s="360">
        <f t="shared" si="1"/>
        <v>109728</v>
      </c>
      <c r="I8" s="35"/>
      <c r="J8" s="35"/>
      <c r="K8" s="35"/>
      <c r="L8" s="35"/>
      <c r="M8" s="26"/>
    </row>
    <row r="9" spans="1:13" s="30" customFormat="1" ht="18" customHeight="1">
      <c r="A9" s="357" t="s">
        <v>95</v>
      </c>
      <c r="B9" s="358"/>
      <c r="C9" s="359">
        <f>'5-2.산출근거(1)'!F28</f>
        <v>0.3</v>
      </c>
      <c r="D9" s="35"/>
      <c r="E9" s="360">
        <f t="shared" si="0"/>
        <v>173018.78261300002</v>
      </c>
      <c r="F9" s="360">
        <f t="shared" si="0"/>
        <v>51905</v>
      </c>
      <c r="G9" s="361">
        <f>'5-3.산출근거(2)'!R27</f>
        <v>173018.78261300002</v>
      </c>
      <c r="H9" s="360">
        <f t="shared" si="1"/>
        <v>51905</v>
      </c>
      <c r="I9" s="35"/>
      <c r="J9" s="35"/>
      <c r="K9" s="35"/>
      <c r="L9" s="35"/>
      <c r="M9" s="26"/>
    </row>
    <row r="10" spans="1:13" s="30" customFormat="1" ht="18" customHeight="1">
      <c r="A10" s="357" t="s">
        <v>96</v>
      </c>
      <c r="B10" s="358"/>
      <c r="C10" s="359">
        <f>'5-2.산출근거(1)'!G28</f>
        <v>1.65</v>
      </c>
      <c r="D10" s="35"/>
      <c r="E10" s="360">
        <f t="shared" si="0"/>
        <v>134480.52881399999</v>
      </c>
      <c r="F10" s="360">
        <f t="shared" si="0"/>
        <v>221892</v>
      </c>
      <c r="G10" s="361">
        <f>'5-3.산출근거(2)'!R28</f>
        <v>134480.52881399999</v>
      </c>
      <c r="H10" s="360">
        <f t="shared" si="1"/>
        <v>221892</v>
      </c>
      <c r="I10" s="35"/>
      <c r="J10" s="35"/>
      <c r="K10" s="35"/>
      <c r="L10" s="35"/>
      <c r="M10" s="26"/>
    </row>
    <row r="11" spans="1:13" s="30" customFormat="1" ht="18" customHeight="1">
      <c r="A11" s="357" t="s">
        <v>208</v>
      </c>
      <c r="B11" s="358"/>
      <c r="C11" s="359">
        <f>'5-2.산출근거(1)'!H28</f>
        <v>1.9</v>
      </c>
      <c r="D11" s="35"/>
      <c r="E11" s="360">
        <f t="shared" si="0"/>
        <v>135345.48429600001</v>
      </c>
      <c r="F11" s="360">
        <f t="shared" si="0"/>
        <v>257156</v>
      </c>
      <c r="G11" s="361">
        <f>'5-3.산출근거(2)'!R30</f>
        <v>135345.48429600001</v>
      </c>
      <c r="H11" s="360">
        <f t="shared" si="1"/>
        <v>257156</v>
      </c>
      <c r="I11" s="35"/>
      <c r="J11" s="35"/>
      <c r="K11" s="35"/>
      <c r="L11" s="35"/>
      <c r="M11" s="26"/>
    </row>
    <row r="12" spans="1:13" s="30" customFormat="1" ht="18" customHeight="1">
      <c r="A12" s="362" t="s">
        <v>248</v>
      </c>
      <c r="B12" s="358"/>
      <c r="C12" s="359"/>
      <c r="D12" s="35"/>
      <c r="E12" s="35"/>
      <c r="F12" s="360">
        <f>SUM(F6:F11)</f>
        <v>737195</v>
      </c>
      <c r="G12" s="262"/>
      <c r="H12" s="360">
        <f>SUM(H6:H11)</f>
        <v>737195</v>
      </c>
      <c r="I12" s="35"/>
      <c r="J12" s="35"/>
      <c r="K12" s="35"/>
      <c r="L12" s="35"/>
      <c r="M12" s="26"/>
    </row>
    <row r="13" spans="1:13" s="30" customFormat="1" ht="18" customHeight="1">
      <c r="A13" s="35" t="s">
        <v>249</v>
      </c>
      <c r="B13" s="358">
        <f>'5-2.산출근거(1)'!J19</f>
        <v>0.38300000000000001</v>
      </c>
      <c r="C13" s="359"/>
      <c r="D13" s="35"/>
      <c r="E13" s="35"/>
      <c r="F13" s="35"/>
      <c r="G13" s="262"/>
      <c r="H13" s="360"/>
      <c r="I13" s="35"/>
      <c r="J13" s="35"/>
      <c r="K13" s="35"/>
      <c r="L13" s="35"/>
      <c r="M13" s="26"/>
    </row>
    <row r="14" spans="1:13" s="365" customFormat="1" ht="18" customHeight="1">
      <c r="A14" s="363" t="s">
        <v>250</v>
      </c>
      <c r="B14" s="354"/>
      <c r="C14" s="353"/>
      <c r="D14" s="354"/>
      <c r="E14" s="354"/>
      <c r="F14" s="354">
        <f>H14+J14+L14</f>
        <v>282345</v>
      </c>
      <c r="G14" s="354"/>
      <c r="H14" s="354">
        <f>ROUNDDOWN(H12*B13,0)</f>
        <v>282345</v>
      </c>
      <c r="I14" s="354"/>
      <c r="J14" s="354"/>
      <c r="K14" s="354"/>
      <c r="L14" s="354"/>
      <c r="M14" s="364"/>
    </row>
    <row r="15" spans="1:13" s="30" customFormat="1" ht="18" customHeight="1">
      <c r="A15" s="35"/>
      <c r="B15" s="358"/>
      <c r="C15" s="359"/>
      <c r="D15" s="35"/>
      <c r="E15" s="35"/>
      <c r="F15" s="35"/>
      <c r="G15" s="262"/>
      <c r="H15" s="360"/>
      <c r="I15" s="35"/>
      <c r="J15" s="35"/>
      <c r="K15" s="35"/>
      <c r="L15" s="35"/>
      <c r="M15" s="26"/>
    </row>
    <row r="16" spans="1:13" s="25" customFormat="1" ht="18" customHeight="1">
      <c r="A16" s="351" t="s">
        <v>251</v>
      </c>
      <c r="B16" s="352"/>
      <c r="C16" s="353"/>
      <c r="D16" s="351"/>
      <c r="E16" s="351"/>
      <c r="F16" s="351"/>
      <c r="G16" s="354"/>
      <c r="H16" s="355"/>
      <c r="I16" s="351"/>
      <c r="J16" s="351"/>
      <c r="K16" s="351"/>
      <c r="L16" s="351"/>
      <c r="M16" s="356"/>
    </row>
    <row r="17" spans="1:13" s="30" customFormat="1" ht="18" customHeight="1">
      <c r="A17" s="357" t="s">
        <v>92</v>
      </c>
      <c r="B17" s="358"/>
      <c r="C17" s="359">
        <f>'5-2.산출근거(1)'!C29</f>
        <v>0.8</v>
      </c>
      <c r="D17" s="35"/>
      <c r="E17" s="360">
        <f t="shared" ref="E17:F22" si="2">G17+I17+K17</f>
        <v>325327.32320500002</v>
      </c>
      <c r="F17" s="360">
        <f t="shared" si="2"/>
        <v>260261</v>
      </c>
      <c r="G17" s="361">
        <f>G6</f>
        <v>325327.32320500002</v>
      </c>
      <c r="H17" s="360">
        <f t="shared" ref="H17:H22" si="3">INT(G17*C17)</f>
        <v>260261</v>
      </c>
      <c r="I17" s="35"/>
      <c r="J17" s="35"/>
      <c r="K17" s="35"/>
      <c r="L17" s="35"/>
      <c r="M17" s="26"/>
    </row>
    <row r="18" spans="1:13" s="30" customFormat="1" ht="18" customHeight="1">
      <c r="A18" s="357" t="s">
        <v>93</v>
      </c>
      <c r="B18" s="358"/>
      <c r="C18" s="359">
        <f>'5-2.산출근거(1)'!D29</f>
        <v>1.2</v>
      </c>
      <c r="D18" s="35"/>
      <c r="E18" s="360">
        <f t="shared" si="2"/>
        <v>238578.78030000001</v>
      </c>
      <c r="F18" s="360">
        <f t="shared" si="2"/>
        <v>286294</v>
      </c>
      <c r="G18" s="361">
        <f t="shared" ref="G18:G22" si="4">G7</f>
        <v>238578.78030000001</v>
      </c>
      <c r="H18" s="360">
        <f t="shared" si="3"/>
        <v>286294</v>
      </c>
      <c r="I18" s="35"/>
      <c r="J18" s="35"/>
      <c r="K18" s="35"/>
      <c r="L18" s="35"/>
      <c r="M18" s="26"/>
    </row>
    <row r="19" spans="1:13" s="30" customFormat="1" ht="18" customHeight="1">
      <c r="A19" s="357" t="s">
        <v>94</v>
      </c>
      <c r="B19" s="358"/>
      <c r="C19" s="359">
        <f>'5-2.산출근거(1)'!E29</f>
        <v>3.05</v>
      </c>
      <c r="D19" s="35"/>
      <c r="E19" s="360">
        <f t="shared" si="2"/>
        <v>199505.89618100002</v>
      </c>
      <c r="F19" s="360">
        <f t="shared" si="2"/>
        <v>608492</v>
      </c>
      <c r="G19" s="361">
        <f t="shared" si="4"/>
        <v>199505.89618100002</v>
      </c>
      <c r="H19" s="360">
        <f t="shared" si="3"/>
        <v>608492</v>
      </c>
      <c r="I19" s="35"/>
      <c r="J19" s="35"/>
      <c r="K19" s="35"/>
      <c r="L19" s="35"/>
      <c r="M19" s="26"/>
    </row>
    <row r="20" spans="1:13" s="30" customFormat="1" ht="18" customHeight="1">
      <c r="A20" s="357" t="s">
        <v>95</v>
      </c>
      <c r="B20" s="358"/>
      <c r="C20" s="359">
        <f>'5-2.산출근거(1)'!F29</f>
        <v>2.95</v>
      </c>
      <c r="D20" s="35"/>
      <c r="E20" s="360">
        <f t="shared" si="2"/>
        <v>173018.78261300002</v>
      </c>
      <c r="F20" s="360">
        <f t="shared" si="2"/>
        <v>510405</v>
      </c>
      <c r="G20" s="361">
        <f t="shared" si="4"/>
        <v>173018.78261300002</v>
      </c>
      <c r="H20" s="360">
        <f t="shared" si="3"/>
        <v>510405</v>
      </c>
      <c r="I20" s="35"/>
      <c r="J20" s="35"/>
      <c r="K20" s="35"/>
      <c r="L20" s="35"/>
      <c r="M20" s="26"/>
    </row>
    <row r="21" spans="1:13" s="30" customFormat="1" ht="18" customHeight="1">
      <c r="A21" s="357" t="s">
        <v>96</v>
      </c>
      <c r="B21" s="358"/>
      <c r="C21" s="359">
        <f>'5-2.산출근거(1)'!G29</f>
        <v>10.4</v>
      </c>
      <c r="D21" s="35"/>
      <c r="E21" s="360">
        <f>G21+I21+K21</f>
        <v>134480.52881399999</v>
      </c>
      <c r="F21" s="360">
        <f t="shared" si="2"/>
        <v>1398597</v>
      </c>
      <c r="G21" s="361">
        <f t="shared" si="4"/>
        <v>134480.52881399999</v>
      </c>
      <c r="H21" s="360">
        <f t="shared" si="3"/>
        <v>1398597</v>
      </c>
      <c r="I21" s="35"/>
      <c r="J21" s="35"/>
      <c r="K21" s="35"/>
      <c r="L21" s="35"/>
      <c r="M21" s="26"/>
    </row>
    <row r="22" spans="1:13" s="30" customFormat="1" ht="18" customHeight="1">
      <c r="A22" s="357" t="s">
        <v>208</v>
      </c>
      <c r="B22" s="358"/>
      <c r="C22" s="359">
        <f>'5-2.산출근거(1)'!H29</f>
        <v>11.9</v>
      </c>
      <c r="D22" s="35"/>
      <c r="E22" s="360">
        <f t="shared" si="2"/>
        <v>135345.48429600001</v>
      </c>
      <c r="F22" s="360">
        <f t="shared" si="2"/>
        <v>1610611</v>
      </c>
      <c r="G22" s="361">
        <f t="shared" si="4"/>
        <v>135345.48429600001</v>
      </c>
      <c r="H22" s="360">
        <f t="shared" si="3"/>
        <v>1610611</v>
      </c>
      <c r="I22" s="35"/>
      <c r="J22" s="35"/>
      <c r="K22" s="35"/>
      <c r="L22" s="35"/>
      <c r="M22" s="26"/>
    </row>
    <row r="23" spans="1:13" s="30" customFormat="1" ht="18" customHeight="1">
      <c r="A23" s="362" t="s">
        <v>248</v>
      </c>
      <c r="B23" s="358"/>
      <c r="C23" s="359"/>
      <c r="D23" s="35"/>
      <c r="E23" s="35"/>
      <c r="F23" s="360">
        <f>SUM(F17:F22)</f>
        <v>4674660</v>
      </c>
      <c r="G23" s="262"/>
      <c r="H23" s="360">
        <f>SUM(H17:H22)</f>
        <v>4674660</v>
      </c>
      <c r="I23" s="35"/>
      <c r="J23" s="35"/>
      <c r="K23" s="35"/>
      <c r="L23" s="35"/>
      <c r="M23" s="26"/>
    </row>
    <row r="24" spans="1:13" s="30" customFormat="1" ht="18" customHeight="1">
      <c r="A24" s="35" t="s">
        <v>249</v>
      </c>
      <c r="B24" s="358">
        <f>'5-2.산출근거(1)'!J19</f>
        <v>0.38300000000000001</v>
      </c>
      <c r="C24" s="359"/>
      <c r="D24" s="35"/>
      <c r="E24" s="35"/>
      <c r="F24" s="35"/>
      <c r="G24" s="262"/>
      <c r="H24" s="360"/>
      <c r="I24" s="35"/>
      <c r="J24" s="35"/>
      <c r="K24" s="35"/>
      <c r="L24" s="35"/>
      <c r="M24" s="26"/>
    </row>
    <row r="25" spans="1:13" s="365" customFormat="1" ht="18" customHeight="1">
      <c r="A25" s="363" t="s">
        <v>250</v>
      </c>
      <c r="B25" s="354"/>
      <c r="C25" s="353"/>
      <c r="D25" s="354"/>
      <c r="E25" s="354"/>
      <c r="F25" s="354">
        <f>H25+J25+L25</f>
        <v>1790394</v>
      </c>
      <c r="G25" s="354"/>
      <c r="H25" s="354">
        <f>ROUNDDOWN(H23*B24,0)</f>
        <v>1790394</v>
      </c>
      <c r="I25" s="354"/>
      <c r="J25" s="354"/>
      <c r="K25" s="354"/>
      <c r="L25" s="354"/>
      <c r="M25" s="364"/>
    </row>
    <row r="26" spans="1:13" s="30" customFormat="1" ht="18" customHeight="1">
      <c r="A26" s="35"/>
      <c r="B26" s="358"/>
      <c r="C26" s="359"/>
      <c r="D26" s="35"/>
      <c r="E26" s="35"/>
      <c r="F26" s="35"/>
      <c r="G26" s="262"/>
      <c r="H26" s="360"/>
      <c r="I26" s="35"/>
      <c r="J26" s="35"/>
      <c r="K26" s="35"/>
      <c r="L26" s="35"/>
      <c r="M26" s="26"/>
    </row>
    <row r="27" spans="1:13" s="25" customFormat="1" ht="18" customHeight="1">
      <c r="A27" s="351" t="s">
        <v>252</v>
      </c>
      <c r="B27" s="352"/>
      <c r="C27" s="353"/>
      <c r="D27" s="351"/>
      <c r="E27" s="351"/>
      <c r="F27" s="351"/>
      <c r="G27" s="354"/>
      <c r="H27" s="355"/>
      <c r="I27" s="351"/>
      <c r="J27" s="351"/>
      <c r="K27" s="351"/>
      <c r="L27" s="351"/>
      <c r="M27" s="356"/>
    </row>
    <row r="28" spans="1:13" s="30" customFormat="1" ht="18" customHeight="1">
      <c r="A28" s="357" t="s">
        <v>92</v>
      </c>
      <c r="B28" s="358"/>
      <c r="C28" s="359">
        <f>'5-2.산출근거(1)'!C30</f>
        <v>2.5</v>
      </c>
      <c r="D28" s="35"/>
      <c r="E28" s="360">
        <f t="shared" ref="E28:F33" si="5">G28+I28+K28</f>
        <v>325327.32320500002</v>
      </c>
      <c r="F28" s="360">
        <f t="shared" si="5"/>
        <v>813318</v>
      </c>
      <c r="G28" s="361">
        <f>G17</f>
        <v>325327.32320500002</v>
      </c>
      <c r="H28" s="360">
        <f t="shared" ref="H28:H33" si="6">INT(G28*C28)</f>
        <v>813318</v>
      </c>
      <c r="I28" s="35"/>
      <c r="J28" s="35"/>
      <c r="K28" s="35"/>
      <c r="L28" s="35"/>
      <c r="M28" s="26"/>
    </row>
    <row r="29" spans="1:13" s="30" customFormat="1" ht="18" customHeight="1">
      <c r="A29" s="357" t="s">
        <v>93</v>
      </c>
      <c r="B29" s="358"/>
      <c r="C29" s="359">
        <f>'5-2.산출근거(1)'!D30</f>
        <v>3.45</v>
      </c>
      <c r="D29" s="35"/>
      <c r="E29" s="360">
        <f t="shared" si="5"/>
        <v>238578.78030000001</v>
      </c>
      <c r="F29" s="360">
        <f t="shared" si="5"/>
        <v>823096</v>
      </c>
      <c r="G29" s="361">
        <f t="shared" ref="G29:G33" si="7">G18</f>
        <v>238578.78030000001</v>
      </c>
      <c r="H29" s="360">
        <f t="shared" si="6"/>
        <v>823096</v>
      </c>
      <c r="I29" s="35"/>
      <c r="J29" s="35"/>
      <c r="K29" s="35"/>
      <c r="L29" s="35"/>
      <c r="M29" s="26"/>
    </row>
    <row r="30" spans="1:13" s="30" customFormat="1" ht="18" customHeight="1">
      <c r="A30" s="357" t="s">
        <v>94</v>
      </c>
      <c r="B30" s="358"/>
      <c r="C30" s="359">
        <f>'5-2.산출근거(1)'!E30</f>
        <v>7.55</v>
      </c>
      <c r="D30" s="35"/>
      <c r="E30" s="360">
        <f t="shared" si="5"/>
        <v>199505.89618100002</v>
      </c>
      <c r="F30" s="360">
        <f t="shared" si="5"/>
        <v>1506269</v>
      </c>
      <c r="G30" s="361">
        <f t="shared" si="7"/>
        <v>199505.89618100002</v>
      </c>
      <c r="H30" s="360">
        <f t="shared" si="6"/>
        <v>1506269</v>
      </c>
      <c r="I30" s="35"/>
      <c r="J30" s="35"/>
      <c r="K30" s="35"/>
      <c r="L30" s="35"/>
      <c r="M30" s="26"/>
    </row>
    <row r="31" spans="1:13" s="30" customFormat="1" ht="18" customHeight="1">
      <c r="A31" s="357" t="s">
        <v>95</v>
      </c>
      <c r="B31" s="358"/>
      <c r="C31" s="359">
        <f>'5-2.산출근거(1)'!F30</f>
        <v>9.6999999999999993</v>
      </c>
      <c r="D31" s="35"/>
      <c r="E31" s="360">
        <f t="shared" si="5"/>
        <v>173018.78261300002</v>
      </c>
      <c r="F31" s="360">
        <f t="shared" si="5"/>
        <v>1678282</v>
      </c>
      <c r="G31" s="361">
        <f t="shared" si="7"/>
        <v>173018.78261300002</v>
      </c>
      <c r="H31" s="360">
        <f t="shared" si="6"/>
        <v>1678282</v>
      </c>
      <c r="I31" s="35"/>
      <c r="J31" s="35"/>
      <c r="K31" s="35"/>
      <c r="L31" s="35"/>
      <c r="M31" s="26"/>
    </row>
    <row r="32" spans="1:13" s="30" customFormat="1" ht="18" customHeight="1">
      <c r="A32" s="357" t="s">
        <v>96</v>
      </c>
      <c r="B32" s="358"/>
      <c r="C32" s="359">
        <f>'5-2.산출근거(1)'!G30</f>
        <v>19.899999999999999</v>
      </c>
      <c r="D32" s="35"/>
      <c r="E32" s="360">
        <f t="shared" si="5"/>
        <v>134480.52881399999</v>
      </c>
      <c r="F32" s="360">
        <f t="shared" si="5"/>
        <v>2676162</v>
      </c>
      <c r="G32" s="361">
        <f t="shared" si="7"/>
        <v>134480.52881399999</v>
      </c>
      <c r="H32" s="360">
        <f t="shared" si="6"/>
        <v>2676162</v>
      </c>
      <c r="I32" s="35"/>
      <c r="J32" s="35"/>
      <c r="K32" s="35"/>
      <c r="L32" s="35"/>
      <c r="M32" s="26"/>
    </row>
    <row r="33" spans="1:13" s="30" customFormat="1" ht="18" customHeight="1">
      <c r="A33" s="357" t="s">
        <v>208</v>
      </c>
      <c r="B33" s="358"/>
      <c r="C33" s="359">
        <f>'5-2.산출근거(1)'!H30</f>
        <v>22.35</v>
      </c>
      <c r="D33" s="35"/>
      <c r="E33" s="360">
        <f t="shared" si="5"/>
        <v>135345.48429600001</v>
      </c>
      <c r="F33" s="360">
        <f t="shared" si="5"/>
        <v>3024971</v>
      </c>
      <c r="G33" s="361">
        <f t="shared" si="7"/>
        <v>135345.48429600001</v>
      </c>
      <c r="H33" s="360">
        <f t="shared" si="6"/>
        <v>3024971</v>
      </c>
      <c r="I33" s="35"/>
      <c r="J33" s="35"/>
      <c r="K33" s="35"/>
      <c r="L33" s="35"/>
      <c r="M33" s="26"/>
    </row>
    <row r="34" spans="1:13" s="30" customFormat="1" ht="18" customHeight="1">
      <c r="A34" s="362" t="s">
        <v>248</v>
      </c>
      <c r="B34" s="358"/>
      <c r="C34" s="359"/>
      <c r="D34" s="35"/>
      <c r="E34" s="35"/>
      <c r="F34" s="360">
        <f>SUM(F28:F33)</f>
        <v>10522098</v>
      </c>
      <c r="G34" s="262"/>
      <c r="H34" s="360">
        <f>SUM(H28:H33)</f>
        <v>10522098</v>
      </c>
      <c r="I34" s="35"/>
      <c r="J34" s="35"/>
      <c r="K34" s="35"/>
      <c r="L34" s="35"/>
      <c r="M34" s="26"/>
    </row>
    <row r="35" spans="1:13" s="30" customFormat="1" ht="18" customHeight="1">
      <c r="A35" s="35" t="s">
        <v>249</v>
      </c>
      <c r="B35" s="358">
        <f>'5-2.산출근거(1)'!J19</f>
        <v>0.38300000000000001</v>
      </c>
      <c r="C35" s="359"/>
      <c r="D35" s="35"/>
      <c r="E35" s="35"/>
      <c r="F35" s="35"/>
      <c r="G35" s="262"/>
      <c r="H35" s="360"/>
      <c r="I35" s="35"/>
      <c r="J35" s="35"/>
      <c r="K35" s="35"/>
      <c r="L35" s="35"/>
      <c r="M35" s="26"/>
    </row>
    <row r="36" spans="1:13" s="365" customFormat="1" ht="18" customHeight="1">
      <c r="A36" s="363" t="s">
        <v>250</v>
      </c>
      <c r="B36" s="354"/>
      <c r="C36" s="353"/>
      <c r="D36" s="354"/>
      <c r="E36" s="354"/>
      <c r="F36" s="354">
        <f>H36+J36+L36</f>
        <v>4029963</v>
      </c>
      <c r="G36" s="354"/>
      <c r="H36" s="354">
        <f>ROUNDDOWN(H34*B35,0)</f>
        <v>4029963</v>
      </c>
      <c r="I36" s="354"/>
      <c r="J36" s="354"/>
      <c r="K36" s="354"/>
      <c r="L36" s="354"/>
      <c r="M36" s="364"/>
    </row>
    <row r="37" spans="1:13" s="30" customFormat="1" ht="18" customHeight="1">
      <c r="A37" s="35"/>
      <c r="B37" s="358"/>
      <c r="C37" s="359"/>
      <c r="D37" s="35"/>
      <c r="E37" s="35"/>
      <c r="F37" s="35"/>
      <c r="G37" s="262"/>
      <c r="H37" s="360"/>
      <c r="I37" s="35"/>
      <c r="J37" s="35"/>
      <c r="K37" s="35"/>
      <c r="L37" s="35"/>
      <c r="M37" s="26"/>
    </row>
    <row r="38" spans="1:13" s="25" customFormat="1" ht="18" customHeight="1">
      <c r="A38" s="351" t="s">
        <v>253</v>
      </c>
      <c r="B38" s="352"/>
      <c r="C38" s="353"/>
      <c r="D38" s="351"/>
      <c r="E38" s="351"/>
      <c r="F38" s="351"/>
      <c r="G38" s="354"/>
      <c r="H38" s="355"/>
      <c r="I38" s="351"/>
      <c r="J38" s="351"/>
      <c r="K38" s="351"/>
      <c r="L38" s="351"/>
      <c r="M38" s="356"/>
    </row>
    <row r="39" spans="1:13" s="30" customFormat="1" ht="18" customHeight="1">
      <c r="A39" s="357" t="s">
        <v>92</v>
      </c>
      <c r="B39" s="358"/>
      <c r="C39" s="359">
        <f>'5-2.산출근거(1)'!C33</f>
        <v>0.55000000000000004</v>
      </c>
      <c r="D39" s="35"/>
      <c r="E39" s="360">
        <f t="shared" ref="E39:F44" si="8">G39+I39+K39</f>
        <v>325327.32320500002</v>
      </c>
      <c r="F39" s="360">
        <f t="shared" si="8"/>
        <v>178930</v>
      </c>
      <c r="G39" s="361">
        <f>G28</f>
        <v>325327.32320500002</v>
      </c>
      <c r="H39" s="360">
        <f t="shared" ref="H39:H44" si="9">INT(G39*C39)</f>
        <v>178930</v>
      </c>
      <c r="I39" s="35"/>
      <c r="J39" s="35"/>
      <c r="K39" s="35"/>
      <c r="L39" s="35"/>
      <c r="M39" s="26"/>
    </row>
    <row r="40" spans="1:13" s="30" customFormat="1" ht="18" customHeight="1">
      <c r="A40" s="357" t="s">
        <v>93</v>
      </c>
      <c r="B40" s="358"/>
      <c r="C40" s="359">
        <f>'5-2.산출근거(1)'!D33</f>
        <v>1.1000000000000001</v>
      </c>
      <c r="D40" s="35"/>
      <c r="E40" s="360">
        <f t="shared" si="8"/>
        <v>238578.78030000001</v>
      </c>
      <c r="F40" s="360">
        <f t="shared" si="8"/>
        <v>262436</v>
      </c>
      <c r="G40" s="361">
        <f t="shared" ref="G40:G44" si="10">G29</f>
        <v>238578.78030000001</v>
      </c>
      <c r="H40" s="360">
        <f t="shared" si="9"/>
        <v>262436</v>
      </c>
      <c r="I40" s="35"/>
      <c r="J40" s="35"/>
      <c r="K40" s="35"/>
      <c r="L40" s="35"/>
      <c r="M40" s="26"/>
    </row>
    <row r="41" spans="1:13" s="30" customFormat="1" ht="18" customHeight="1">
      <c r="A41" s="357" t="s">
        <v>94</v>
      </c>
      <c r="B41" s="358"/>
      <c r="C41" s="359">
        <f>'5-2.산출근거(1)'!E33</f>
        <v>2.5</v>
      </c>
      <c r="D41" s="35"/>
      <c r="E41" s="360">
        <f t="shared" si="8"/>
        <v>199505.89618100002</v>
      </c>
      <c r="F41" s="360">
        <f t="shared" si="8"/>
        <v>498764</v>
      </c>
      <c r="G41" s="361">
        <f t="shared" si="10"/>
        <v>199505.89618100002</v>
      </c>
      <c r="H41" s="360">
        <f t="shared" si="9"/>
        <v>498764</v>
      </c>
      <c r="I41" s="35"/>
      <c r="J41" s="35"/>
      <c r="K41" s="35"/>
      <c r="L41" s="35"/>
      <c r="M41" s="26"/>
    </row>
    <row r="42" spans="1:13" s="30" customFormat="1" ht="18" customHeight="1">
      <c r="A42" s="357" t="s">
        <v>95</v>
      </c>
      <c r="B42" s="358"/>
      <c r="C42" s="359">
        <f>'5-2.산출근거(1)'!F33</f>
        <v>4.1500000000000004</v>
      </c>
      <c r="D42" s="35"/>
      <c r="E42" s="360">
        <f t="shared" si="8"/>
        <v>173018.78261300002</v>
      </c>
      <c r="F42" s="360">
        <f t="shared" si="8"/>
        <v>718027</v>
      </c>
      <c r="G42" s="361">
        <f t="shared" si="10"/>
        <v>173018.78261300002</v>
      </c>
      <c r="H42" s="360">
        <f t="shared" si="9"/>
        <v>718027</v>
      </c>
      <c r="I42" s="35"/>
      <c r="J42" s="35"/>
      <c r="K42" s="35"/>
      <c r="L42" s="35"/>
      <c r="M42" s="26"/>
    </row>
    <row r="43" spans="1:13" s="30" customFormat="1" ht="18" customHeight="1">
      <c r="A43" s="357" t="s">
        <v>96</v>
      </c>
      <c r="B43" s="358"/>
      <c r="C43" s="359">
        <f>'5-2.산출근거(1)'!G33</f>
        <v>4.1500000000000004</v>
      </c>
      <c r="D43" s="35"/>
      <c r="E43" s="360">
        <f t="shared" si="8"/>
        <v>134480.52881399999</v>
      </c>
      <c r="F43" s="360">
        <f t="shared" si="8"/>
        <v>558094</v>
      </c>
      <c r="G43" s="361">
        <f t="shared" si="10"/>
        <v>134480.52881399999</v>
      </c>
      <c r="H43" s="360">
        <f t="shared" si="9"/>
        <v>558094</v>
      </c>
      <c r="I43" s="35"/>
      <c r="J43" s="35"/>
      <c r="K43" s="35"/>
      <c r="L43" s="35"/>
      <c r="M43" s="26"/>
    </row>
    <row r="44" spans="1:13" s="30" customFormat="1" ht="18" customHeight="1">
      <c r="A44" s="357" t="s">
        <v>208</v>
      </c>
      <c r="B44" s="358"/>
      <c r="C44" s="359">
        <f>'5-2.산출근거(1)'!H33</f>
        <v>2.75</v>
      </c>
      <c r="D44" s="35"/>
      <c r="E44" s="360">
        <f t="shared" si="8"/>
        <v>135345.48429600001</v>
      </c>
      <c r="F44" s="360">
        <f t="shared" si="8"/>
        <v>372200</v>
      </c>
      <c r="G44" s="361">
        <f t="shared" si="10"/>
        <v>135345.48429600001</v>
      </c>
      <c r="H44" s="360">
        <f t="shared" si="9"/>
        <v>372200</v>
      </c>
      <c r="I44" s="35"/>
      <c r="J44" s="35"/>
      <c r="K44" s="35"/>
      <c r="L44" s="35"/>
      <c r="M44" s="26"/>
    </row>
    <row r="45" spans="1:13" s="30" customFormat="1" ht="18" customHeight="1">
      <c r="A45" s="362" t="s">
        <v>248</v>
      </c>
      <c r="B45" s="358"/>
      <c r="C45" s="359"/>
      <c r="D45" s="35"/>
      <c r="E45" s="35"/>
      <c r="F45" s="360">
        <f>SUM(F39:F44)</f>
        <v>2588451</v>
      </c>
      <c r="G45" s="262"/>
      <c r="H45" s="360">
        <f>SUM(H39:H44)</f>
        <v>2588451</v>
      </c>
      <c r="I45" s="35"/>
      <c r="J45" s="35"/>
      <c r="K45" s="35"/>
      <c r="L45" s="35"/>
      <c r="M45" s="26"/>
    </row>
    <row r="46" spans="1:13" s="30" customFormat="1" ht="18" customHeight="1">
      <c r="A46" s="35" t="s">
        <v>249</v>
      </c>
      <c r="B46" s="358">
        <f>'5-2.산출근거(1)'!J19</f>
        <v>0.38300000000000001</v>
      </c>
      <c r="C46" s="359"/>
      <c r="D46" s="35"/>
      <c r="E46" s="35"/>
      <c r="F46" s="35"/>
      <c r="G46" s="262"/>
      <c r="H46" s="360"/>
      <c r="I46" s="35"/>
      <c r="J46" s="35"/>
      <c r="K46" s="35"/>
      <c r="L46" s="35"/>
      <c r="M46" s="26"/>
    </row>
    <row r="47" spans="1:13" s="365" customFormat="1" ht="18" customHeight="1">
      <c r="A47" s="363" t="s">
        <v>250</v>
      </c>
      <c r="B47" s="354"/>
      <c r="C47" s="353"/>
      <c r="D47" s="354"/>
      <c r="E47" s="354"/>
      <c r="F47" s="354">
        <f>H47</f>
        <v>991376</v>
      </c>
      <c r="G47" s="354"/>
      <c r="H47" s="354">
        <f>ROUNDDOWN(H45*B46,0)</f>
        <v>991376</v>
      </c>
      <c r="I47" s="354"/>
      <c r="J47" s="354"/>
      <c r="K47" s="354"/>
      <c r="L47" s="354"/>
      <c r="M47" s="364"/>
    </row>
    <row r="48" spans="1:13" s="30" customFormat="1" ht="18" customHeight="1">
      <c r="A48" s="35"/>
      <c r="B48" s="358"/>
      <c r="C48" s="359"/>
      <c r="D48" s="35"/>
      <c r="E48" s="35"/>
      <c r="F48" s="35"/>
      <c r="G48" s="262"/>
      <c r="H48" s="360"/>
      <c r="I48" s="35"/>
      <c r="J48" s="35"/>
      <c r="K48" s="35"/>
      <c r="L48" s="35"/>
      <c r="M48" s="26"/>
    </row>
    <row r="49" spans="1:13" s="25" customFormat="1" ht="18" customHeight="1">
      <c r="A49" s="351" t="s">
        <v>254</v>
      </c>
      <c r="B49" s="352"/>
      <c r="C49" s="353"/>
      <c r="D49" s="351"/>
      <c r="E49" s="351"/>
      <c r="F49" s="351"/>
      <c r="G49" s="354"/>
      <c r="H49" s="355"/>
      <c r="I49" s="351"/>
      <c r="J49" s="351"/>
      <c r="K49" s="351"/>
      <c r="L49" s="351"/>
      <c r="M49" s="356"/>
    </row>
    <row r="50" spans="1:13" s="30" customFormat="1" ht="18" customHeight="1">
      <c r="A50" s="357" t="s">
        <v>255</v>
      </c>
      <c r="B50" s="358"/>
      <c r="C50" s="359">
        <f>'5-2.산출근거(1)'!C34</f>
        <v>0.15</v>
      </c>
      <c r="D50" s="35"/>
      <c r="E50" s="360">
        <f t="shared" ref="E50:F55" si="11">G50+I50+K50</f>
        <v>325327.32320500002</v>
      </c>
      <c r="F50" s="360">
        <f t="shared" si="11"/>
        <v>48799</v>
      </c>
      <c r="G50" s="361">
        <f>G39</f>
        <v>325327.32320500002</v>
      </c>
      <c r="H50" s="360">
        <f t="shared" ref="H50:H55" si="12">INT(G50*C50)</f>
        <v>48799</v>
      </c>
      <c r="I50" s="35"/>
      <c r="J50" s="35"/>
      <c r="K50" s="35"/>
      <c r="L50" s="35"/>
      <c r="M50" s="26"/>
    </row>
    <row r="51" spans="1:13" s="30" customFormat="1" ht="18" customHeight="1">
      <c r="A51" s="357" t="s">
        <v>256</v>
      </c>
      <c r="B51" s="358"/>
      <c r="C51" s="359">
        <f>'5-2.산출근거(1)'!D34</f>
        <v>0.55000000000000004</v>
      </c>
      <c r="D51" s="35"/>
      <c r="E51" s="360">
        <f t="shared" si="11"/>
        <v>238578.78030000001</v>
      </c>
      <c r="F51" s="360">
        <f t="shared" si="11"/>
        <v>131218</v>
      </c>
      <c r="G51" s="361">
        <f t="shared" ref="G51:G55" si="13">G40</f>
        <v>238578.78030000001</v>
      </c>
      <c r="H51" s="360">
        <f t="shared" si="12"/>
        <v>131218</v>
      </c>
      <c r="I51" s="35"/>
      <c r="J51" s="35"/>
      <c r="K51" s="35"/>
      <c r="L51" s="35"/>
      <c r="M51" s="26"/>
    </row>
    <row r="52" spans="1:13" s="30" customFormat="1" ht="18" customHeight="1">
      <c r="A52" s="357" t="s">
        <v>257</v>
      </c>
      <c r="B52" s="358"/>
      <c r="C52" s="359">
        <f>'5-2.산출근거(1)'!E34</f>
        <v>1.25</v>
      </c>
      <c r="D52" s="35"/>
      <c r="E52" s="360">
        <f t="shared" si="11"/>
        <v>199505.89618100002</v>
      </c>
      <c r="F52" s="360">
        <f t="shared" si="11"/>
        <v>249382</v>
      </c>
      <c r="G52" s="361">
        <f t="shared" si="13"/>
        <v>199505.89618100002</v>
      </c>
      <c r="H52" s="360">
        <f t="shared" si="12"/>
        <v>249382</v>
      </c>
      <c r="I52" s="35"/>
      <c r="J52" s="35"/>
      <c r="K52" s="35"/>
      <c r="L52" s="35"/>
      <c r="M52" s="26"/>
    </row>
    <row r="53" spans="1:13" s="30" customFormat="1" ht="18" customHeight="1">
      <c r="A53" s="357" t="s">
        <v>258</v>
      </c>
      <c r="B53" s="358"/>
      <c r="C53" s="359">
        <f>'5-2.산출근거(1)'!F34</f>
        <v>2.75</v>
      </c>
      <c r="D53" s="35"/>
      <c r="E53" s="360">
        <f t="shared" si="11"/>
        <v>173018.78261300002</v>
      </c>
      <c r="F53" s="360">
        <f t="shared" si="11"/>
        <v>475801</v>
      </c>
      <c r="G53" s="361">
        <f t="shared" si="13"/>
        <v>173018.78261300002</v>
      </c>
      <c r="H53" s="360">
        <f t="shared" si="12"/>
        <v>475801</v>
      </c>
      <c r="I53" s="35"/>
      <c r="J53" s="35"/>
      <c r="K53" s="35"/>
      <c r="L53" s="35"/>
      <c r="M53" s="26"/>
    </row>
    <row r="54" spans="1:13" s="30" customFormat="1" ht="18" customHeight="1">
      <c r="A54" s="357" t="s">
        <v>259</v>
      </c>
      <c r="B54" s="358"/>
      <c r="C54" s="359">
        <f>'5-2.산출근거(1)'!G34</f>
        <v>5.5</v>
      </c>
      <c r="D54" s="35"/>
      <c r="E54" s="360">
        <f t="shared" si="11"/>
        <v>134480.52881399999</v>
      </c>
      <c r="F54" s="360">
        <f t="shared" si="11"/>
        <v>739642</v>
      </c>
      <c r="G54" s="361">
        <f t="shared" si="13"/>
        <v>134480.52881399999</v>
      </c>
      <c r="H54" s="360">
        <f t="shared" si="12"/>
        <v>739642</v>
      </c>
      <c r="I54" s="35"/>
      <c r="J54" s="35"/>
      <c r="K54" s="35"/>
      <c r="L54" s="35"/>
      <c r="M54" s="26"/>
    </row>
    <row r="55" spans="1:13" s="30" customFormat="1" ht="18" customHeight="1">
      <c r="A55" s="357" t="s">
        <v>260</v>
      </c>
      <c r="B55" s="358"/>
      <c r="C55" s="359">
        <f>'5-2.산출근거(1)'!H34</f>
        <v>6.9</v>
      </c>
      <c r="D55" s="35"/>
      <c r="E55" s="360">
        <f t="shared" si="11"/>
        <v>135345.48429600001</v>
      </c>
      <c r="F55" s="360">
        <f t="shared" si="11"/>
        <v>933883</v>
      </c>
      <c r="G55" s="361">
        <f t="shared" si="13"/>
        <v>135345.48429600001</v>
      </c>
      <c r="H55" s="360">
        <f t="shared" si="12"/>
        <v>933883</v>
      </c>
      <c r="I55" s="35"/>
      <c r="J55" s="35"/>
      <c r="K55" s="35"/>
      <c r="L55" s="35"/>
      <c r="M55" s="26"/>
    </row>
    <row r="56" spans="1:13" s="30" customFormat="1" ht="18" customHeight="1">
      <c r="A56" s="362" t="s">
        <v>248</v>
      </c>
      <c r="B56" s="358"/>
      <c r="C56" s="359"/>
      <c r="D56" s="35"/>
      <c r="E56" s="35"/>
      <c r="F56" s="360">
        <f>SUM(F50:F55)</f>
        <v>2578725</v>
      </c>
      <c r="G56" s="262"/>
      <c r="H56" s="360">
        <f>SUM(H50:H55)</f>
        <v>2578725</v>
      </c>
      <c r="I56" s="35"/>
      <c r="J56" s="366"/>
      <c r="K56" s="35"/>
      <c r="L56" s="35"/>
      <c r="M56" s="26"/>
    </row>
    <row r="57" spans="1:13" s="30" customFormat="1" ht="18" customHeight="1">
      <c r="A57" s="35" t="s">
        <v>249</v>
      </c>
      <c r="B57" s="358">
        <f>'5-2.산출근거(1)'!J19</f>
        <v>0.38300000000000001</v>
      </c>
      <c r="C57" s="359"/>
      <c r="D57" s="35"/>
      <c r="E57" s="35"/>
      <c r="F57" s="35"/>
      <c r="G57" s="262"/>
      <c r="H57" s="360"/>
      <c r="I57" s="35"/>
      <c r="J57" s="366"/>
      <c r="K57" s="35"/>
      <c r="L57" s="35"/>
      <c r="M57" s="26"/>
    </row>
    <row r="58" spans="1:13" s="365" customFormat="1" ht="18" customHeight="1">
      <c r="A58" s="363" t="s">
        <v>250</v>
      </c>
      <c r="B58" s="354"/>
      <c r="C58" s="353"/>
      <c r="D58" s="354"/>
      <c r="E58" s="354"/>
      <c r="F58" s="354">
        <f>H58+J58+L58</f>
        <v>987651</v>
      </c>
      <c r="G58" s="354"/>
      <c r="H58" s="354">
        <f>ROUNDDOWN(H56*B57,0)</f>
        <v>987651</v>
      </c>
      <c r="I58" s="354"/>
      <c r="J58" s="354"/>
      <c r="K58" s="354"/>
      <c r="L58" s="354"/>
      <c r="M58" s="364"/>
    </row>
    <row r="59" spans="1:13" s="30" customFormat="1" ht="18" customHeight="1">
      <c r="A59" s="35"/>
      <c r="B59" s="358"/>
      <c r="C59" s="359"/>
      <c r="D59" s="35"/>
      <c r="E59" s="35"/>
      <c r="F59" s="35"/>
      <c r="G59" s="262"/>
      <c r="H59" s="360"/>
      <c r="I59" s="35"/>
      <c r="J59" s="35"/>
      <c r="K59" s="35"/>
      <c r="L59" s="35"/>
      <c r="M59" s="26"/>
    </row>
    <row r="60" spans="1:13" s="25" customFormat="1" ht="18" customHeight="1">
      <c r="A60" s="351" t="s">
        <v>261</v>
      </c>
      <c r="B60" s="352"/>
      <c r="C60" s="353"/>
      <c r="D60" s="351"/>
      <c r="E60" s="351"/>
      <c r="F60" s="351"/>
      <c r="G60" s="354"/>
      <c r="H60" s="355"/>
      <c r="I60" s="351"/>
      <c r="J60" s="351"/>
      <c r="K60" s="351"/>
      <c r="L60" s="351"/>
      <c r="M60" s="356"/>
    </row>
    <row r="61" spans="1:13" s="30" customFormat="1" ht="18" customHeight="1">
      <c r="A61" s="35" t="s">
        <v>262</v>
      </c>
      <c r="B61" s="358"/>
      <c r="C61" s="359"/>
      <c r="D61" s="35"/>
      <c r="E61" s="360"/>
      <c r="F61" s="360">
        <f>H61+J61+L61</f>
        <v>1638522.5936750001</v>
      </c>
      <c r="G61" s="361"/>
      <c r="H61" s="360"/>
      <c r="I61" s="35"/>
      <c r="J61" s="35"/>
      <c r="K61" s="35"/>
      <c r="L61" s="367">
        <f>'5-3.산출근거(2)'!H3</f>
        <v>1638522.5936750001</v>
      </c>
      <c r="M61" s="26"/>
    </row>
    <row r="62" spans="1:13" s="365" customFormat="1" ht="18" customHeight="1">
      <c r="A62" s="363" t="s">
        <v>250</v>
      </c>
      <c r="B62" s="354"/>
      <c r="C62" s="353"/>
      <c r="D62" s="354"/>
      <c r="E62" s="354"/>
      <c r="F62" s="354">
        <f>H62+J62+L62</f>
        <v>1638522.5936750001</v>
      </c>
      <c r="G62" s="354"/>
      <c r="H62" s="354"/>
      <c r="I62" s="354"/>
      <c r="J62" s="354"/>
      <c r="K62" s="354"/>
      <c r="L62" s="354">
        <f>SUM(L61:L61)</f>
        <v>1638522.5936750001</v>
      </c>
      <c r="M62" s="364"/>
    </row>
    <row r="63" spans="1:13" s="30" customFormat="1" ht="18" customHeight="1">
      <c r="A63" s="35"/>
      <c r="B63" s="358"/>
      <c r="C63" s="359"/>
      <c r="D63" s="35"/>
      <c r="E63" s="35"/>
      <c r="F63" s="262"/>
      <c r="G63" s="262"/>
      <c r="H63" s="360"/>
      <c r="I63" s="35"/>
      <c r="J63" s="35"/>
      <c r="K63" s="35"/>
      <c r="L63" s="35"/>
      <c r="M63" s="26"/>
    </row>
    <row r="64" spans="1:13" s="25" customFormat="1" ht="18" customHeight="1">
      <c r="A64" s="351" t="s">
        <v>263</v>
      </c>
      <c r="B64" s="352"/>
      <c r="C64" s="353"/>
      <c r="D64" s="351"/>
      <c r="E64" s="351"/>
      <c r="F64" s="351"/>
      <c r="G64" s="354"/>
      <c r="H64" s="355"/>
      <c r="I64" s="351"/>
      <c r="J64" s="351"/>
      <c r="K64" s="351"/>
      <c r="L64" s="351"/>
      <c r="M64" s="356"/>
    </row>
    <row r="65" spans="1:13" s="30" customFormat="1" ht="18" customHeight="1">
      <c r="A65" s="35" t="s">
        <v>264</v>
      </c>
      <c r="B65" s="358"/>
      <c r="C65" s="373">
        <v>1</v>
      </c>
      <c r="D65" s="35" t="s">
        <v>265</v>
      </c>
      <c r="E65" s="35"/>
      <c r="F65" s="262">
        <f>H65+J65+L65</f>
        <v>1275475.1920000003</v>
      </c>
      <c r="G65" s="262"/>
      <c r="H65" s="360"/>
      <c r="I65" s="35"/>
      <c r="J65" s="35"/>
      <c r="K65" s="35"/>
      <c r="L65" s="262">
        <f>'5-3.산출근거(2)'!I8</f>
        <v>1275475.1920000003</v>
      </c>
      <c r="M65" s="26"/>
    </row>
    <row r="66" spans="1:13" s="365" customFormat="1" ht="18" customHeight="1">
      <c r="A66" s="363" t="s">
        <v>250</v>
      </c>
      <c r="B66" s="354"/>
      <c r="C66" s="353"/>
      <c r="D66" s="354"/>
      <c r="E66" s="354"/>
      <c r="F66" s="354">
        <f>H66+J66+L66</f>
        <v>1275475.1920000003</v>
      </c>
      <c r="G66" s="354"/>
      <c r="H66" s="354"/>
      <c r="I66" s="354"/>
      <c r="J66" s="354"/>
      <c r="K66" s="354"/>
      <c r="L66" s="354">
        <f>L65</f>
        <v>1275475.1920000003</v>
      </c>
      <c r="M66" s="364"/>
    </row>
    <row r="67" spans="1:13" s="30" customFormat="1" ht="18" customHeight="1">
      <c r="A67" s="35"/>
      <c r="B67" s="358"/>
      <c r="C67" s="359"/>
      <c r="D67" s="35"/>
      <c r="E67" s="35"/>
      <c r="F67" s="35"/>
      <c r="G67" s="262"/>
      <c r="H67" s="360"/>
      <c r="I67" s="35"/>
      <c r="J67" s="35"/>
      <c r="K67" s="35"/>
      <c r="L67" s="35"/>
      <c r="M67" s="26"/>
    </row>
  </sheetData>
  <mergeCells count="10">
    <mergeCell ref="A1:M1"/>
    <mergeCell ref="A3:A4"/>
    <mergeCell ref="B3:B4"/>
    <mergeCell ref="C3:C4"/>
    <mergeCell ref="D3:D4"/>
    <mergeCell ref="E3:F3"/>
    <mergeCell ref="G3:H3"/>
    <mergeCell ref="I3:J3"/>
    <mergeCell ref="K3:L3"/>
    <mergeCell ref="M3:M4"/>
  </mergeCells>
  <phoneticPr fontId="2" type="noConversion"/>
  <printOptions horizontalCentered="1"/>
  <pageMargins left="0.70866141732283472" right="0.70866141732283472" top="0.74803149606299213" bottom="0.74803149606299213" header="0.31496062992125984" footer="0.31496062992125984"/>
  <pageSetup paperSize="9" scale="70" orientation="landscape"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view="pageBreakPreview" zoomScale="70" zoomScaleNormal="85" zoomScaleSheetLayoutView="70" workbookViewId="0">
      <selection activeCell="F22" sqref="F22"/>
    </sheetView>
  </sheetViews>
  <sheetFormatPr defaultRowHeight="16.5"/>
  <cols>
    <col min="1" max="1" width="47.5" style="1313" customWidth="1"/>
    <col min="2" max="4" width="6.25" style="1313" bestFit="1" customWidth="1"/>
    <col min="5" max="5" width="9" style="1313"/>
    <col min="6" max="6" width="19.625" style="1313" customWidth="1"/>
    <col min="7" max="13" width="10.25" style="1313" customWidth="1"/>
    <col min="14" max="15" width="9" style="1313"/>
    <col min="16" max="16" width="15.375" style="1313" bestFit="1" customWidth="1"/>
    <col min="17" max="16384" width="9" style="1313"/>
  </cols>
  <sheetData>
    <row r="1" spans="1:16" ht="44.25" customHeight="1">
      <c r="A1" s="1386" t="s">
        <v>1468</v>
      </c>
      <c r="B1" s="1387"/>
      <c r="C1" s="1387"/>
      <c r="D1" s="1387"/>
      <c r="E1" s="1387"/>
      <c r="F1" s="1387"/>
      <c r="G1" s="1387"/>
      <c r="H1" s="1387"/>
      <c r="I1" s="1387"/>
      <c r="J1" s="1387"/>
      <c r="K1" s="1387"/>
      <c r="L1" s="1387"/>
      <c r="M1" s="1387"/>
    </row>
    <row r="2" spans="1:16" ht="20.25" customHeight="1">
      <c r="A2" s="1388"/>
      <c r="B2" s="1388"/>
      <c r="C2" s="1388"/>
      <c r="D2" s="1388"/>
      <c r="E2" s="1388"/>
      <c r="F2" s="1388"/>
      <c r="G2" s="1388"/>
      <c r="H2" s="1388"/>
      <c r="I2" s="1388"/>
      <c r="J2" s="1388"/>
      <c r="K2" s="1388"/>
      <c r="L2" s="1388"/>
      <c r="M2" s="1388"/>
    </row>
    <row r="3" spans="1:16">
      <c r="A3" s="1419" t="s">
        <v>1469</v>
      </c>
      <c r="B3" s="1419" t="s">
        <v>164</v>
      </c>
      <c r="C3" s="1419" t="s">
        <v>4</v>
      </c>
      <c r="D3" s="1419" t="s">
        <v>5</v>
      </c>
      <c r="E3" s="1417" t="s">
        <v>1470</v>
      </c>
      <c r="F3" s="1418"/>
      <c r="G3" s="1417" t="s">
        <v>1300</v>
      </c>
      <c r="H3" s="1418"/>
      <c r="I3" s="1417" t="s">
        <v>521</v>
      </c>
      <c r="J3" s="1418"/>
      <c r="K3" s="1417" t="s">
        <v>1471</v>
      </c>
      <c r="L3" s="1418"/>
      <c r="M3" s="1419" t="s">
        <v>2</v>
      </c>
    </row>
    <row r="4" spans="1:16">
      <c r="A4" s="1420"/>
      <c r="B4" s="1420"/>
      <c r="C4" s="1420"/>
      <c r="D4" s="1420"/>
      <c r="E4" s="1389" t="s">
        <v>89</v>
      </c>
      <c r="F4" s="1389" t="s">
        <v>90</v>
      </c>
      <c r="G4" s="1390" t="s">
        <v>89</v>
      </c>
      <c r="H4" s="1391" t="s">
        <v>90</v>
      </c>
      <c r="I4" s="1389" t="s">
        <v>89</v>
      </c>
      <c r="J4" s="1389" t="s">
        <v>90</v>
      </c>
      <c r="K4" s="1389" t="s">
        <v>89</v>
      </c>
      <c r="L4" s="1389" t="s">
        <v>90</v>
      </c>
      <c r="M4" s="1420"/>
    </row>
    <row r="5" spans="1:16" ht="26.25" customHeight="1">
      <c r="A5" s="1392" t="s">
        <v>1472</v>
      </c>
      <c r="B5" s="1393"/>
      <c r="C5" s="1394"/>
      <c r="D5" s="1394"/>
      <c r="E5" s="1394"/>
      <c r="F5" s="1394"/>
      <c r="G5" s="1395"/>
      <c r="H5" s="1396"/>
      <c r="I5" s="1394"/>
      <c r="J5" s="1394"/>
      <c r="K5" s="1394"/>
      <c r="L5" s="1394"/>
      <c r="M5" s="1394"/>
      <c r="O5" s="863"/>
      <c r="P5" s="863"/>
    </row>
    <row r="6" spans="1:16" ht="26.25" customHeight="1">
      <c r="A6" s="1397" t="str">
        <f>+[19]용역비총괄표!A12</f>
        <v xml:space="preserve">  1. 기본계획</v>
      </c>
      <c r="B6" s="1393"/>
      <c r="C6" s="1394">
        <v>1</v>
      </c>
      <c r="D6" s="1394" t="s">
        <v>167</v>
      </c>
      <c r="E6" s="1398"/>
      <c r="F6" s="1399">
        <f>ROUND('1.기본계획'!F35,0)</f>
        <v>110310910</v>
      </c>
      <c r="G6" s="1400"/>
      <c r="H6" s="1401"/>
      <c r="I6" s="1402"/>
      <c r="J6" s="1403"/>
      <c r="K6" s="1402"/>
      <c r="L6" s="1402"/>
      <c r="M6" s="1404"/>
      <c r="O6" s="863"/>
      <c r="P6" s="863"/>
    </row>
    <row r="7" spans="1:16" ht="26.25" customHeight="1">
      <c r="A7" s="1397" t="str">
        <f>+[19]용역비총괄표!A13</f>
        <v xml:space="preserve">  2. 조경기본계획</v>
      </c>
      <c r="B7" s="1393"/>
      <c r="C7" s="1394">
        <v>1</v>
      </c>
      <c r="D7" s="1394" t="s">
        <v>167</v>
      </c>
      <c r="E7" s="1398"/>
      <c r="F7" s="1399">
        <f>ROUND('2.조경기본계획'!F18,0)</f>
        <v>12650000</v>
      </c>
      <c r="G7" s="1395"/>
      <c r="H7" s="1401"/>
      <c r="I7" s="1394"/>
      <c r="J7" s="1405"/>
      <c r="K7" s="1394"/>
      <c r="L7" s="1394"/>
      <c r="M7" s="1393"/>
      <c r="O7" s="863"/>
      <c r="P7" s="863"/>
    </row>
    <row r="8" spans="1:16" ht="26.25" customHeight="1">
      <c r="A8" s="1397" t="str">
        <f>+[19]용역비총괄표!A14</f>
        <v xml:space="preserve">  3. 농지전용 협의도서 작성</v>
      </c>
      <c r="B8" s="1393"/>
      <c r="C8" s="1394">
        <v>1</v>
      </c>
      <c r="D8" s="1394" t="s">
        <v>167</v>
      </c>
      <c r="E8" s="1398"/>
      <c r="F8" s="1399">
        <f>ROUND('3.농지전용'!E15,0)</f>
        <v>2861818</v>
      </c>
      <c r="G8" s="1395"/>
      <c r="H8" s="1401"/>
      <c r="I8" s="1394"/>
      <c r="J8" s="1405"/>
      <c r="K8" s="1394"/>
      <c r="L8" s="1394"/>
      <c r="M8" s="1393"/>
      <c r="O8" s="863"/>
      <c r="P8" s="863"/>
    </row>
    <row r="9" spans="1:16" ht="26.25" customHeight="1">
      <c r="A9" s="1397" t="str">
        <f>+[19]용역비총괄표!A15</f>
        <v xml:space="preserve">  4. 산지전용 협의도서 작성</v>
      </c>
      <c r="B9" s="1393"/>
      <c r="C9" s="1394">
        <v>1</v>
      </c>
      <c r="D9" s="1394" t="s">
        <v>167</v>
      </c>
      <c r="E9" s="1398"/>
      <c r="F9" s="1399">
        <f>ROUND('4.산지전용'!F10,0)</f>
        <v>982727</v>
      </c>
      <c r="G9" s="1395"/>
      <c r="H9" s="1401"/>
      <c r="I9" s="1394"/>
      <c r="J9" s="1406"/>
      <c r="K9" s="1394"/>
      <c r="L9" s="1395"/>
      <c r="M9" s="1393"/>
      <c r="O9" s="863"/>
      <c r="P9" s="863"/>
    </row>
    <row r="10" spans="1:16" ht="26.25" customHeight="1">
      <c r="A10" s="1397" t="str">
        <f>+[19]용역비총괄표!A16</f>
        <v xml:space="preserve">  5. 지구단위계획</v>
      </c>
      <c r="B10" s="1393"/>
      <c r="C10" s="1394">
        <v>1</v>
      </c>
      <c r="D10" s="1394" t="s">
        <v>167</v>
      </c>
      <c r="E10" s="1398"/>
      <c r="F10" s="1399">
        <f>ROUND('5.지구단위계획'!F21,0)</f>
        <v>26027273</v>
      </c>
      <c r="G10" s="1395"/>
      <c r="H10" s="1401"/>
      <c r="I10" s="1394"/>
      <c r="J10" s="1406"/>
      <c r="K10" s="1394"/>
      <c r="L10" s="1395"/>
      <c r="M10" s="1393"/>
      <c r="O10" s="863"/>
      <c r="P10" s="863"/>
    </row>
    <row r="11" spans="1:16" ht="26.25" customHeight="1">
      <c r="A11" s="1397" t="str">
        <f>+[19]용역비총괄표!A17</f>
        <v xml:space="preserve">  6. 기본 및 실시설계</v>
      </c>
      <c r="B11" s="1393"/>
      <c r="C11" s="1394">
        <v>1</v>
      </c>
      <c r="D11" s="1394" t="s">
        <v>167</v>
      </c>
      <c r="E11" s="1398"/>
      <c r="F11" s="1399">
        <f>ROUND('6.(기본및실시)예산내역서'!H20,0)</f>
        <v>354995454</v>
      </c>
      <c r="G11" s="1395"/>
      <c r="H11" s="1401"/>
      <c r="I11" s="1394"/>
      <c r="J11" s="1405"/>
      <c r="K11" s="1394"/>
      <c r="L11" s="1394"/>
      <c r="M11" s="1393"/>
      <c r="O11" s="863"/>
      <c r="P11" s="863"/>
    </row>
    <row r="12" spans="1:16" ht="26.25" customHeight="1">
      <c r="A12" s="1397" t="str">
        <f>+[19]용역비총괄표!A18</f>
        <v xml:space="preserve">  7. 수요 및 사업타당성조사</v>
      </c>
      <c r="B12" s="1393"/>
      <c r="C12" s="1394">
        <v>1</v>
      </c>
      <c r="D12" s="1394" t="s">
        <v>167</v>
      </c>
      <c r="E12" s="1398"/>
      <c r="F12" s="1399">
        <f>ROUND('7.수요 및 사업타당성조사용역'!F18,0)</f>
        <v>69702727</v>
      </c>
      <c r="G12" s="1395"/>
      <c r="H12" s="1401"/>
      <c r="I12" s="1394"/>
      <c r="J12" s="1405"/>
      <c r="K12" s="1394"/>
      <c r="L12" s="1394"/>
      <c r="M12" s="1393"/>
      <c r="O12" s="863"/>
      <c r="P12" s="863"/>
    </row>
    <row r="13" spans="1:16" ht="26.25" customHeight="1">
      <c r="A13" s="1397" t="s">
        <v>1473</v>
      </c>
      <c r="B13" s="1393"/>
      <c r="C13" s="1394"/>
      <c r="D13" s="1394"/>
      <c r="E13" s="1394"/>
      <c r="F13" s="1407">
        <f>SUM(F6:F12)</f>
        <v>577530909</v>
      </c>
      <c r="G13" s="1395"/>
      <c r="H13" s="1401"/>
      <c r="I13" s="1394"/>
      <c r="J13" s="1408"/>
      <c r="K13" s="1394"/>
      <c r="L13" s="1395"/>
      <c r="M13" s="1394"/>
      <c r="O13" s="863"/>
      <c r="P13" s="863"/>
    </row>
    <row r="14" spans="1:16" ht="26.25" customHeight="1">
      <c r="A14" s="1397" t="s">
        <v>1474</v>
      </c>
      <c r="B14" s="1409">
        <v>0.1</v>
      </c>
      <c r="C14" s="1410"/>
      <c r="D14" s="1394"/>
      <c r="E14" s="1394"/>
      <c r="F14" s="1407">
        <f>+F13*0.1</f>
        <v>57753090.900000006</v>
      </c>
      <c r="G14" s="1395"/>
      <c r="H14" s="1401"/>
      <c r="I14" s="1394"/>
      <c r="J14" s="1394"/>
      <c r="K14" s="1405"/>
      <c r="L14" s="1394"/>
      <c r="M14" s="1394"/>
    </row>
    <row r="15" spans="1:16" ht="26.25" customHeight="1">
      <c r="A15" s="1392" t="s">
        <v>1475</v>
      </c>
      <c r="B15" s="1393"/>
      <c r="C15" s="1394"/>
      <c r="D15" s="1394"/>
      <c r="E15" s="1394"/>
      <c r="F15" s="1407">
        <f>ROUND(+F13+F14,0)</f>
        <v>635284000</v>
      </c>
      <c r="G15" s="1395"/>
      <c r="H15" s="1401"/>
      <c r="I15" s="1394"/>
      <c r="J15" s="1394"/>
      <c r="K15" s="1394"/>
      <c r="L15" s="1394"/>
      <c r="M15" s="1394"/>
    </row>
    <row r="16" spans="1:16" ht="26.25" customHeight="1">
      <c r="A16" s="1397"/>
      <c r="B16" s="1393"/>
      <c r="C16" s="1394"/>
      <c r="D16" s="1394"/>
      <c r="E16" s="1394"/>
      <c r="F16" s="1407"/>
      <c r="G16" s="1395"/>
      <c r="H16" s="1401"/>
      <c r="I16" s="1394"/>
      <c r="J16" s="1408"/>
      <c r="K16" s="1394"/>
      <c r="L16" s="1395"/>
      <c r="M16" s="1394"/>
    </row>
    <row r="17" spans="1:13" ht="26.25" customHeight="1">
      <c r="A17" s="1392" t="str">
        <f>+'[20]용역비총괄표(출력X)'!A23:E23</f>
        <v>Ⅱ. 관리용역</v>
      </c>
      <c r="B17" s="1409"/>
      <c r="C17" s="1410"/>
      <c r="D17" s="1394"/>
      <c r="E17" s="1394"/>
      <c r="F17" s="1407"/>
      <c r="G17" s="1395"/>
      <c r="H17" s="1401"/>
      <c r="I17" s="1394"/>
      <c r="J17" s="1394"/>
      <c r="K17" s="1405"/>
      <c r="L17" s="1394"/>
      <c r="M17" s="1394"/>
    </row>
    <row r="18" spans="1:13" ht="26.25" customHeight="1">
      <c r="A18" s="1397" t="str">
        <f>+'[20]용역비총괄표(출력X)'!A24:E24</f>
        <v>1. 관리용역</v>
      </c>
      <c r="B18" s="1393"/>
      <c r="C18" s="1394">
        <v>1</v>
      </c>
      <c r="D18" s="1394" t="s">
        <v>167</v>
      </c>
      <c r="E18" s="1394"/>
      <c r="F18" s="1407">
        <f>'8.관리용역비'!F7</f>
        <v>101560000</v>
      </c>
      <c r="G18" s="1395"/>
      <c r="H18" s="1401"/>
      <c r="I18" s="1394"/>
      <c r="J18" s="1394"/>
      <c r="K18" s="1394"/>
      <c r="L18" s="1394"/>
      <c r="M18" s="1394"/>
    </row>
    <row r="19" spans="1:13" ht="26.25" customHeight="1">
      <c r="A19" s="1397" t="s">
        <v>1476</v>
      </c>
      <c r="B19" s="1393"/>
      <c r="C19" s="1394"/>
      <c r="D19" s="1394"/>
      <c r="E19" s="1394"/>
      <c r="F19" s="1407">
        <f>+F18</f>
        <v>101560000</v>
      </c>
      <c r="G19" s="1395"/>
      <c r="H19" s="1401"/>
      <c r="I19" s="1394"/>
      <c r="J19" s="1408"/>
      <c r="K19" s="1394"/>
      <c r="L19" s="1395"/>
      <c r="M19" s="1394"/>
    </row>
    <row r="20" spans="1:13" ht="26.25" customHeight="1">
      <c r="A20" s="1397" t="s">
        <v>1474</v>
      </c>
      <c r="B20" s="1409">
        <v>0.1</v>
      </c>
      <c r="C20" s="1410"/>
      <c r="D20" s="1394"/>
      <c r="E20" s="1394"/>
      <c r="F20" s="1407">
        <f>+F19*0.1</f>
        <v>10156000</v>
      </c>
      <c r="G20" s="1395"/>
      <c r="H20" s="1401"/>
      <c r="I20" s="1394"/>
      <c r="J20" s="1394"/>
      <c r="K20" s="1405"/>
      <c r="L20" s="1394"/>
      <c r="M20" s="1394"/>
    </row>
    <row r="21" spans="1:13" ht="26.25" customHeight="1">
      <c r="A21" s="1392" t="s">
        <v>1477</v>
      </c>
      <c r="B21" s="1393"/>
      <c r="C21" s="1394"/>
      <c r="D21" s="1394"/>
      <c r="E21" s="1394"/>
      <c r="F21" s="1407">
        <f>+F19+F20</f>
        <v>111716000</v>
      </c>
      <c r="G21" s="1395"/>
      <c r="H21" s="1401"/>
      <c r="I21" s="1394"/>
      <c r="J21" s="1394"/>
      <c r="K21" s="1394"/>
      <c r="L21" s="1394"/>
      <c r="M21" s="1394"/>
    </row>
    <row r="22" spans="1:13" ht="26.25" customHeight="1">
      <c r="A22" s="1392" t="s">
        <v>1478</v>
      </c>
      <c r="B22" s="1393"/>
      <c r="C22" s="1394"/>
      <c r="D22" s="1394"/>
      <c r="E22" s="1394"/>
      <c r="F22" s="1407">
        <f>+F21+F15</f>
        <v>747000000</v>
      </c>
      <c r="G22" s="1395"/>
      <c r="H22" s="1401"/>
      <c r="I22" s="1394"/>
      <c r="J22" s="1394"/>
      <c r="K22" s="1394"/>
      <c r="L22" s="1394"/>
      <c r="M22" s="1394"/>
    </row>
    <row r="23" spans="1:13">
      <c r="F23" s="547"/>
    </row>
    <row r="24" spans="1:13">
      <c r="F24" s="863">
        <v>747000000</v>
      </c>
    </row>
    <row r="25" spans="1:13">
      <c r="F25" s="1411"/>
    </row>
    <row r="26" spans="1:13">
      <c r="F26" s="547">
        <f>F24-F22</f>
        <v>0</v>
      </c>
    </row>
    <row r="27" spans="1:13">
      <c r="F27" s="1412">
        <f>F26/1.1</f>
        <v>0</v>
      </c>
    </row>
    <row r="28" spans="1:13">
      <c r="F28" s="547"/>
    </row>
    <row r="29" spans="1:13">
      <c r="F29" s="547"/>
    </row>
    <row r="30" spans="1:13">
      <c r="F30" s="1413"/>
    </row>
  </sheetData>
  <mergeCells count="9">
    <mergeCell ref="I3:J3"/>
    <mergeCell ref="K3:L3"/>
    <mergeCell ref="M3:M4"/>
    <mergeCell ref="A3:A4"/>
    <mergeCell ref="B3:B4"/>
    <mergeCell ref="C3:C4"/>
    <mergeCell ref="D3:D4"/>
    <mergeCell ref="E3:F3"/>
    <mergeCell ref="G3:H3"/>
  </mergeCells>
  <phoneticPr fontId="2" type="noConversion"/>
  <pageMargins left="0.51181102362204722" right="0.47244094488188981" top="0.74803149606299213" bottom="0.74803149606299213" header="0.31496062992125984" footer="0.31496062992125984"/>
  <pageSetup paperSize="9"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view="pageBreakPreview" zoomScale="85" zoomScaleNormal="85" zoomScaleSheetLayoutView="85" workbookViewId="0">
      <selection activeCell="I8" sqref="I8:K8"/>
    </sheetView>
  </sheetViews>
  <sheetFormatPr defaultRowHeight="16.5"/>
  <cols>
    <col min="1" max="1" width="14.375" style="270" customWidth="1"/>
    <col min="2" max="2" width="12.125" style="270" customWidth="1"/>
    <col min="3" max="8" width="9.875" style="270" customWidth="1"/>
    <col min="9" max="9" width="12.125" style="270" customWidth="1"/>
    <col min="10" max="10" width="9.875" style="270" customWidth="1"/>
    <col min="11" max="13" width="8.75" style="270" customWidth="1"/>
    <col min="14" max="14" width="9" style="270"/>
    <col min="15" max="15" width="13.875" style="270" customWidth="1"/>
    <col min="16" max="17" width="9" style="270"/>
    <col min="18" max="18" width="9.5" style="270" customWidth="1"/>
    <col min="19" max="19" width="11" style="270" customWidth="1"/>
    <col min="20" max="256" width="9" style="270"/>
    <col min="257" max="257" width="14.375" style="270" customWidth="1"/>
    <col min="258" max="258" width="12.125" style="270" customWidth="1"/>
    <col min="259" max="264" width="9.875" style="270" customWidth="1"/>
    <col min="265" max="265" width="12.125" style="270" customWidth="1"/>
    <col min="266" max="266" width="9.875" style="270" customWidth="1"/>
    <col min="267" max="269" width="8.75" style="270" customWidth="1"/>
    <col min="270" max="270" width="9" style="270"/>
    <col min="271" max="271" width="13.875" style="270" customWidth="1"/>
    <col min="272" max="273" width="9" style="270"/>
    <col min="274" max="274" width="9.5" style="270" customWidth="1"/>
    <col min="275" max="275" width="11" style="270" customWidth="1"/>
    <col min="276" max="512" width="9" style="270"/>
    <col min="513" max="513" width="14.375" style="270" customWidth="1"/>
    <col min="514" max="514" width="12.125" style="270" customWidth="1"/>
    <col min="515" max="520" width="9.875" style="270" customWidth="1"/>
    <col min="521" max="521" width="12.125" style="270" customWidth="1"/>
    <col min="522" max="522" width="9.875" style="270" customWidth="1"/>
    <col min="523" max="525" width="8.75" style="270" customWidth="1"/>
    <col min="526" max="526" width="9" style="270"/>
    <col min="527" max="527" width="13.875" style="270" customWidth="1"/>
    <col min="528" max="529" width="9" style="270"/>
    <col min="530" max="530" width="9.5" style="270" customWidth="1"/>
    <col min="531" max="531" width="11" style="270" customWidth="1"/>
    <col min="532" max="768" width="9" style="270"/>
    <col min="769" max="769" width="14.375" style="270" customWidth="1"/>
    <col min="770" max="770" width="12.125" style="270" customWidth="1"/>
    <col min="771" max="776" width="9.875" style="270" customWidth="1"/>
    <col min="777" max="777" width="12.125" style="270" customWidth="1"/>
    <col min="778" max="778" width="9.875" style="270" customWidth="1"/>
    <col min="779" max="781" width="8.75" style="270" customWidth="1"/>
    <col min="782" max="782" width="9" style="270"/>
    <col min="783" max="783" width="13.875" style="270" customWidth="1"/>
    <col min="784" max="785" width="9" style="270"/>
    <col min="786" max="786" width="9.5" style="270" customWidth="1"/>
    <col min="787" max="787" width="11" style="270" customWidth="1"/>
    <col min="788" max="1024" width="9" style="270"/>
    <col min="1025" max="1025" width="14.375" style="270" customWidth="1"/>
    <col min="1026" max="1026" width="12.125" style="270" customWidth="1"/>
    <col min="1027" max="1032" width="9.875" style="270" customWidth="1"/>
    <col min="1033" max="1033" width="12.125" style="270" customWidth="1"/>
    <col min="1034" max="1034" width="9.875" style="270" customWidth="1"/>
    <col min="1035" max="1037" width="8.75" style="270" customWidth="1"/>
    <col min="1038" max="1038" width="9" style="270"/>
    <col min="1039" max="1039" width="13.875" style="270" customWidth="1"/>
    <col min="1040" max="1041" width="9" style="270"/>
    <col min="1042" max="1042" width="9.5" style="270" customWidth="1"/>
    <col min="1043" max="1043" width="11" style="270" customWidth="1"/>
    <col min="1044" max="1280" width="9" style="270"/>
    <col min="1281" max="1281" width="14.375" style="270" customWidth="1"/>
    <col min="1282" max="1282" width="12.125" style="270" customWidth="1"/>
    <col min="1283" max="1288" width="9.875" style="270" customWidth="1"/>
    <col min="1289" max="1289" width="12.125" style="270" customWidth="1"/>
    <col min="1290" max="1290" width="9.875" style="270" customWidth="1"/>
    <col min="1291" max="1293" width="8.75" style="270" customWidth="1"/>
    <col min="1294" max="1294" width="9" style="270"/>
    <col min="1295" max="1295" width="13.875" style="270" customWidth="1"/>
    <col min="1296" max="1297" width="9" style="270"/>
    <col min="1298" max="1298" width="9.5" style="270" customWidth="1"/>
    <col min="1299" max="1299" width="11" style="270" customWidth="1"/>
    <col min="1300" max="1536" width="9" style="270"/>
    <col min="1537" max="1537" width="14.375" style="270" customWidth="1"/>
    <col min="1538" max="1538" width="12.125" style="270" customWidth="1"/>
    <col min="1539" max="1544" width="9.875" style="270" customWidth="1"/>
    <col min="1545" max="1545" width="12.125" style="270" customWidth="1"/>
    <col min="1546" max="1546" width="9.875" style="270" customWidth="1"/>
    <col min="1547" max="1549" width="8.75" style="270" customWidth="1"/>
    <col min="1550" max="1550" width="9" style="270"/>
    <col min="1551" max="1551" width="13.875" style="270" customWidth="1"/>
    <col min="1552" max="1553" width="9" style="270"/>
    <col min="1554" max="1554" width="9.5" style="270" customWidth="1"/>
    <col min="1555" max="1555" width="11" style="270" customWidth="1"/>
    <col min="1556" max="1792" width="9" style="270"/>
    <col min="1793" max="1793" width="14.375" style="270" customWidth="1"/>
    <col min="1794" max="1794" width="12.125" style="270" customWidth="1"/>
    <col min="1795" max="1800" width="9.875" style="270" customWidth="1"/>
    <col min="1801" max="1801" width="12.125" style="270" customWidth="1"/>
    <col min="1802" max="1802" width="9.875" style="270" customWidth="1"/>
    <col min="1803" max="1805" width="8.75" style="270" customWidth="1"/>
    <col min="1806" max="1806" width="9" style="270"/>
    <col min="1807" max="1807" width="13.875" style="270" customWidth="1"/>
    <col min="1808" max="1809" width="9" style="270"/>
    <col min="1810" max="1810" width="9.5" style="270" customWidth="1"/>
    <col min="1811" max="1811" width="11" style="270" customWidth="1"/>
    <col min="1812" max="2048" width="9" style="270"/>
    <col min="2049" max="2049" width="14.375" style="270" customWidth="1"/>
    <col min="2050" max="2050" width="12.125" style="270" customWidth="1"/>
    <col min="2051" max="2056" width="9.875" style="270" customWidth="1"/>
    <col min="2057" max="2057" width="12.125" style="270" customWidth="1"/>
    <col min="2058" max="2058" width="9.875" style="270" customWidth="1"/>
    <col min="2059" max="2061" width="8.75" style="270" customWidth="1"/>
    <col min="2062" max="2062" width="9" style="270"/>
    <col min="2063" max="2063" width="13.875" style="270" customWidth="1"/>
    <col min="2064" max="2065" width="9" style="270"/>
    <col min="2066" max="2066" width="9.5" style="270" customWidth="1"/>
    <col min="2067" max="2067" width="11" style="270" customWidth="1"/>
    <col min="2068" max="2304" width="9" style="270"/>
    <col min="2305" max="2305" width="14.375" style="270" customWidth="1"/>
    <col min="2306" max="2306" width="12.125" style="270" customWidth="1"/>
    <col min="2307" max="2312" width="9.875" style="270" customWidth="1"/>
    <col min="2313" max="2313" width="12.125" style="270" customWidth="1"/>
    <col min="2314" max="2314" width="9.875" style="270" customWidth="1"/>
    <col min="2315" max="2317" width="8.75" style="270" customWidth="1"/>
    <col min="2318" max="2318" width="9" style="270"/>
    <col min="2319" max="2319" width="13.875" style="270" customWidth="1"/>
    <col min="2320" max="2321" width="9" style="270"/>
    <col min="2322" max="2322" width="9.5" style="270" customWidth="1"/>
    <col min="2323" max="2323" width="11" style="270" customWidth="1"/>
    <col min="2324" max="2560" width="9" style="270"/>
    <col min="2561" max="2561" width="14.375" style="270" customWidth="1"/>
    <col min="2562" max="2562" width="12.125" style="270" customWidth="1"/>
    <col min="2563" max="2568" width="9.875" style="270" customWidth="1"/>
    <col min="2569" max="2569" width="12.125" style="270" customWidth="1"/>
    <col min="2570" max="2570" width="9.875" style="270" customWidth="1"/>
    <col min="2571" max="2573" width="8.75" style="270" customWidth="1"/>
    <col min="2574" max="2574" width="9" style="270"/>
    <col min="2575" max="2575" width="13.875" style="270" customWidth="1"/>
    <col min="2576" max="2577" width="9" style="270"/>
    <col min="2578" max="2578" width="9.5" style="270" customWidth="1"/>
    <col min="2579" max="2579" width="11" style="270" customWidth="1"/>
    <col min="2580" max="2816" width="9" style="270"/>
    <col min="2817" max="2817" width="14.375" style="270" customWidth="1"/>
    <col min="2818" max="2818" width="12.125" style="270" customWidth="1"/>
    <col min="2819" max="2824" width="9.875" style="270" customWidth="1"/>
    <col min="2825" max="2825" width="12.125" style="270" customWidth="1"/>
    <col min="2826" max="2826" width="9.875" style="270" customWidth="1"/>
    <col min="2827" max="2829" width="8.75" style="270" customWidth="1"/>
    <col min="2830" max="2830" width="9" style="270"/>
    <col min="2831" max="2831" width="13.875" style="270" customWidth="1"/>
    <col min="2832" max="2833" width="9" style="270"/>
    <col min="2834" max="2834" width="9.5" style="270" customWidth="1"/>
    <col min="2835" max="2835" width="11" style="270" customWidth="1"/>
    <col min="2836" max="3072" width="9" style="270"/>
    <col min="3073" max="3073" width="14.375" style="270" customWidth="1"/>
    <col min="3074" max="3074" width="12.125" style="270" customWidth="1"/>
    <col min="3075" max="3080" width="9.875" style="270" customWidth="1"/>
    <col min="3081" max="3081" width="12.125" style="270" customWidth="1"/>
    <col min="3082" max="3082" width="9.875" style="270" customWidth="1"/>
    <col min="3083" max="3085" width="8.75" style="270" customWidth="1"/>
    <col min="3086" max="3086" width="9" style="270"/>
    <col min="3087" max="3087" width="13.875" style="270" customWidth="1"/>
    <col min="3088" max="3089" width="9" style="270"/>
    <col min="3090" max="3090" width="9.5" style="270" customWidth="1"/>
    <col min="3091" max="3091" width="11" style="270" customWidth="1"/>
    <col min="3092" max="3328" width="9" style="270"/>
    <col min="3329" max="3329" width="14.375" style="270" customWidth="1"/>
    <col min="3330" max="3330" width="12.125" style="270" customWidth="1"/>
    <col min="3331" max="3336" width="9.875" style="270" customWidth="1"/>
    <col min="3337" max="3337" width="12.125" style="270" customWidth="1"/>
    <col min="3338" max="3338" width="9.875" style="270" customWidth="1"/>
    <col min="3339" max="3341" width="8.75" style="270" customWidth="1"/>
    <col min="3342" max="3342" width="9" style="270"/>
    <col min="3343" max="3343" width="13.875" style="270" customWidth="1"/>
    <col min="3344" max="3345" width="9" style="270"/>
    <col min="3346" max="3346" width="9.5" style="270" customWidth="1"/>
    <col min="3347" max="3347" width="11" style="270" customWidth="1"/>
    <col min="3348" max="3584" width="9" style="270"/>
    <col min="3585" max="3585" width="14.375" style="270" customWidth="1"/>
    <col min="3586" max="3586" width="12.125" style="270" customWidth="1"/>
    <col min="3587" max="3592" width="9.875" style="270" customWidth="1"/>
    <col min="3593" max="3593" width="12.125" style="270" customWidth="1"/>
    <col min="3594" max="3594" width="9.875" style="270" customWidth="1"/>
    <col min="3595" max="3597" width="8.75" style="270" customWidth="1"/>
    <col min="3598" max="3598" width="9" style="270"/>
    <col min="3599" max="3599" width="13.875" style="270" customWidth="1"/>
    <col min="3600" max="3601" width="9" style="270"/>
    <col min="3602" max="3602" width="9.5" style="270" customWidth="1"/>
    <col min="3603" max="3603" width="11" style="270" customWidth="1"/>
    <col min="3604" max="3840" width="9" style="270"/>
    <col min="3841" max="3841" width="14.375" style="270" customWidth="1"/>
    <col min="3842" max="3842" width="12.125" style="270" customWidth="1"/>
    <col min="3843" max="3848" width="9.875" style="270" customWidth="1"/>
    <col min="3849" max="3849" width="12.125" style="270" customWidth="1"/>
    <col min="3850" max="3850" width="9.875" style="270" customWidth="1"/>
    <col min="3851" max="3853" width="8.75" style="270" customWidth="1"/>
    <col min="3854" max="3854" width="9" style="270"/>
    <col min="3855" max="3855" width="13.875" style="270" customWidth="1"/>
    <col min="3856" max="3857" width="9" style="270"/>
    <col min="3858" max="3858" width="9.5" style="270" customWidth="1"/>
    <col min="3859" max="3859" width="11" style="270" customWidth="1"/>
    <col min="3860" max="4096" width="9" style="270"/>
    <col min="4097" max="4097" width="14.375" style="270" customWidth="1"/>
    <col min="4098" max="4098" width="12.125" style="270" customWidth="1"/>
    <col min="4099" max="4104" width="9.875" style="270" customWidth="1"/>
    <col min="4105" max="4105" width="12.125" style="270" customWidth="1"/>
    <col min="4106" max="4106" width="9.875" style="270" customWidth="1"/>
    <col min="4107" max="4109" width="8.75" style="270" customWidth="1"/>
    <col min="4110" max="4110" width="9" style="270"/>
    <col min="4111" max="4111" width="13.875" style="270" customWidth="1"/>
    <col min="4112" max="4113" width="9" style="270"/>
    <col min="4114" max="4114" width="9.5" style="270" customWidth="1"/>
    <col min="4115" max="4115" width="11" style="270" customWidth="1"/>
    <col min="4116" max="4352" width="9" style="270"/>
    <col min="4353" max="4353" width="14.375" style="270" customWidth="1"/>
    <col min="4354" max="4354" width="12.125" style="270" customWidth="1"/>
    <col min="4355" max="4360" width="9.875" style="270" customWidth="1"/>
    <col min="4361" max="4361" width="12.125" style="270" customWidth="1"/>
    <col min="4362" max="4362" width="9.875" style="270" customWidth="1"/>
    <col min="4363" max="4365" width="8.75" style="270" customWidth="1"/>
    <col min="4366" max="4366" width="9" style="270"/>
    <col min="4367" max="4367" width="13.875" style="270" customWidth="1"/>
    <col min="4368" max="4369" width="9" style="270"/>
    <col min="4370" max="4370" width="9.5" style="270" customWidth="1"/>
    <col min="4371" max="4371" width="11" style="270" customWidth="1"/>
    <col min="4372" max="4608" width="9" style="270"/>
    <col min="4609" max="4609" width="14.375" style="270" customWidth="1"/>
    <col min="4610" max="4610" width="12.125" style="270" customWidth="1"/>
    <col min="4611" max="4616" width="9.875" style="270" customWidth="1"/>
    <col min="4617" max="4617" width="12.125" style="270" customWidth="1"/>
    <col min="4618" max="4618" width="9.875" style="270" customWidth="1"/>
    <col min="4619" max="4621" width="8.75" style="270" customWidth="1"/>
    <col min="4622" max="4622" width="9" style="270"/>
    <col min="4623" max="4623" width="13.875" style="270" customWidth="1"/>
    <col min="4624" max="4625" width="9" style="270"/>
    <col min="4626" max="4626" width="9.5" style="270" customWidth="1"/>
    <col min="4627" max="4627" width="11" style="270" customWidth="1"/>
    <col min="4628" max="4864" width="9" style="270"/>
    <col min="4865" max="4865" width="14.375" style="270" customWidth="1"/>
    <col min="4866" max="4866" width="12.125" style="270" customWidth="1"/>
    <col min="4867" max="4872" width="9.875" style="270" customWidth="1"/>
    <col min="4873" max="4873" width="12.125" style="270" customWidth="1"/>
    <col min="4874" max="4874" width="9.875" style="270" customWidth="1"/>
    <col min="4875" max="4877" width="8.75" style="270" customWidth="1"/>
    <col min="4878" max="4878" width="9" style="270"/>
    <col min="4879" max="4879" width="13.875" style="270" customWidth="1"/>
    <col min="4880" max="4881" width="9" style="270"/>
    <col min="4882" max="4882" width="9.5" style="270" customWidth="1"/>
    <col min="4883" max="4883" width="11" style="270" customWidth="1"/>
    <col min="4884" max="5120" width="9" style="270"/>
    <col min="5121" max="5121" width="14.375" style="270" customWidth="1"/>
    <col min="5122" max="5122" width="12.125" style="270" customWidth="1"/>
    <col min="5123" max="5128" width="9.875" style="270" customWidth="1"/>
    <col min="5129" max="5129" width="12.125" style="270" customWidth="1"/>
    <col min="5130" max="5130" width="9.875" style="270" customWidth="1"/>
    <col min="5131" max="5133" width="8.75" style="270" customWidth="1"/>
    <col min="5134" max="5134" width="9" style="270"/>
    <col min="5135" max="5135" width="13.875" style="270" customWidth="1"/>
    <col min="5136" max="5137" width="9" style="270"/>
    <col min="5138" max="5138" width="9.5" style="270" customWidth="1"/>
    <col min="5139" max="5139" width="11" style="270" customWidth="1"/>
    <col min="5140" max="5376" width="9" style="270"/>
    <col min="5377" max="5377" width="14.375" style="270" customWidth="1"/>
    <col min="5378" max="5378" width="12.125" style="270" customWidth="1"/>
    <col min="5379" max="5384" width="9.875" style="270" customWidth="1"/>
    <col min="5385" max="5385" width="12.125" style="270" customWidth="1"/>
    <col min="5386" max="5386" width="9.875" style="270" customWidth="1"/>
    <col min="5387" max="5389" width="8.75" style="270" customWidth="1"/>
    <col min="5390" max="5390" width="9" style="270"/>
    <col min="5391" max="5391" width="13.875" style="270" customWidth="1"/>
    <col min="5392" max="5393" width="9" style="270"/>
    <col min="5394" max="5394" width="9.5" style="270" customWidth="1"/>
    <col min="5395" max="5395" width="11" style="270" customWidth="1"/>
    <col min="5396" max="5632" width="9" style="270"/>
    <col min="5633" max="5633" width="14.375" style="270" customWidth="1"/>
    <col min="5634" max="5634" width="12.125" style="270" customWidth="1"/>
    <col min="5635" max="5640" width="9.875" style="270" customWidth="1"/>
    <col min="5641" max="5641" width="12.125" style="270" customWidth="1"/>
    <col min="5642" max="5642" width="9.875" style="270" customWidth="1"/>
    <col min="5643" max="5645" width="8.75" style="270" customWidth="1"/>
    <col min="5646" max="5646" width="9" style="270"/>
    <col min="5647" max="5647" width="13.875" style="270" customWidth="1"/>
    <col min="5648" max="5649" width="9" style="270"/>
    <col min="5650" max="5650" width="9.5" style="270" customWidth="1"/>
    <col min="5651" max="5651" width="11" style="270" customWidth="1"/>
    <col min="5652" max="5888" width="9" style="270"/>
    <col min="5889" max="5889" width="14.375" style="270" customWidth="1"/>
    <col min="5890" max="5890" width="12.125" style="270" customWidth="1"/>
    <col min="5891" max="5896" width="9.875" style="270" customWidth="1"/>
    <col min="5897" max="5897" width="12.125" style="270" customWidth="1"/>
    <col min="5898" max="5898" width="9.875" style="270" customWidth="1"/>
    <col min="5899" max="5901" width="8.75" style="270" customWidth="1"/>
    <col min="5902" max="5902" width="9" style="270"/>
    <col min="5903" max="5903" width="13.875" style="270" customWidth="1"/>
    <col min="5904" max="5905" width="9" style="270"/>
    <col min="5906" max="5906" width="9.5" style="270" customWidth="1"/>
    <col min="5907" max="5907" width="11" style="270" customWidth="1"/>
    <col min="5908" max="6144" width="9" style="270"/>
    <col min="6145" max="6145" width="14.375" style="270" customWidth="1"/>
    <col min="6146" max="6146" width="12.125" style="270" customWidth="1"/>
    <col min="6147" max="6152" width="9.875" style="270" customWidth="1"/>
    <col min="6153" max="6153" width="12.125" style="270" customWidth="1"/>
    <col min="6154" max="6154" width="9.875" style="270" customWidth="1"/>
    <col min="6155" max="6157" width="8.75" style="270" customWidth="1"/>
    <col min="6158" max="6158" width="9" style="270"/>
    <col min="6159" max="6159" width="13.875" style="270" customWidth="1"/>
    <col min="6160" max="6161" width="9" style="270"/>
    <col min="6162" max="6162" width="9.5" style="270" customWidth="1"/>
    <col min="6163" max="6163" width="11" style="270" customWidth="1"/>
    <col min="6164" max="6400" width="9" style="270"/>
    <col min="6401" max="6401" width="14.375" style="270" customWidth="1"/>
    <col min="6402" max="6402" width="12.125" style="270" customWidth="1"/>
    <col min="6403" max="6408" width="9.875" style="270" customWidth="1"/>
    <col min="6409" max="6409" width="12.125" style="270" customWidth="1"/>
    <col min="6410" max="6410" width="9.875" style="270" customWidth="1"/>
    <col min="6411" max="6413" width="8.75" style="270" customWidth="1"/>
    <col min="6414" max="6414" width="9" style="270"/>
    <col min="6415" max="6415" width="13.875" style="270" customWidth="1"/>
    <col min="6416" max="6417" width="9" style="270"/>
    <col min="6418" max="6418" width="9.5" style="270" customWidth="1"/>
    <col min="6419" max="6419" width="11" style="270" customWidth="1"/>
    <col min="6420" max="6656" width="9" style="270"/>
    <col min="6657" max="6657" width="14.375" style="270" customWidth="1"/>
    <col min="6658" max="6658" width="12.125" style="270" customWidth="1"/>
    <col min="6659" max="6664" width="9.875" style="270" customWidth="1"/>
    <col min="6665" max="6665" width="12.125" style="270" customWidth="1"/>
    <col min="6666" max="6666" width="9.875" style="270" customWidth="1"/>
    <col min="6667" max="6669" width="8.75" style="270" customWidth="1"/>
    <col min="6670" max="6670" width="9" style="270"/>
    <col min="6671" max="6671" width="13.875" style="270" customWidth="1"/>
    <col min="6672" max="6673" width="9" style="270"/>
    <col min="6674" max="6674" width="9.5" style="270" customWidth="1"/>
    <col min="6675" max="6675" width="11" style="270" customWidth="1"/>
    <col min="6676" max="6912" width="9" style="270"/>
    <col min="6913" max="6913" width="14.375" style="270" customWidth="1"/>
    <col min="6914" max="6914" width="12.125" style="270" customWidth="1"/>
    <col min="6915" max="6920" width="9.875" style="270" customWidth="1"/>
    <col min="6921" max="6921" width="12.125" style="270" customWidth="1"/>
    <col min="6922" max="6922" width="9.875" style="270" customWidth="1"/>
    <col min="6923" max="6925" width="8.75" style="270" customWidth="1"/>
    <col min="6926" max="6926" width="9" style="270"/>
    <col min="6927" max="6927" width="13.875" style="270" customWidth="1"/>
    <col min="6928" max="6929" width="9" style="270"/>
    <col min="6930" max="6930" width="9.5" style="270" customWidth="1"/>
    <col min="6931" max="6931" width="11" style="270" customWidth="1"/>
    <col min="6932" max="7168" width="9" style="270"/>
    <col min="7169" max="7169" width="14.375" style="270" customWidth="1"/>
    <col min="7170" max="7170" width="12.125" style="270" customWidth="1"/>
    <col min="7171" max="7176" width="9.875" style="270" customWidth="1"/>
    <col min="7177" max="7177" width="12.125" style="270" customWidth="1"/>
    <col min="7178" max="7178" width="9.875" style="270" customWidth="1"/>
    <col min="7179" max="7181" width="8.75" style="270" customWidth="1"/>
    <col min="7182" max="7182" width="9" style="270"/>
    <col min="7183" max="7183" width="13.875" style="270" customWidth="1"/>
    <col min="7184" max="7185" width="9" style="270"/>
    <col min="7186" max="7186" width="9.5" style="270" customWidth="1"/>
    <col min="7187" max="7187" width="11" style="270" customWidth="1"/>
    <col min="7188" max="7424" width="9" style="270"/>
    <col min="7425" max="7425" width="14.375" style="270" customWidth="1"/>
    <col min="7426" max="7426" width="12.125" style="270" customWidth="1"/>
    <col min="7427" max="7432" width="9.875" style="270" customWidth="1"/>
    <col min="7433" max="7433" width="12.125" style="270" customWidth="1"/>
    <col min="7434" max="7434" width="9.875" style="270" customWidth="1"/>
    <col min="7435" max="7437" width="8.75" style="270" customWidth="1"/>
    <col min="7438" max="7438" width="9" style="270"/>
    <col min="7439" max="7439" width="13.875" style="270" customWidth="1"/>
    <col min="7440" max="7441" width="9" style="270"/>
    <col min="7442" max="7442" width="9.5" style="270" customWidth="1"/>
    <col min="7443" max="7443" width="11" style="270" customWidth="1"/>
    <col min="7444" max="7680" width="9" style="270"/>
    <col min="7681" max="7681" width="14.375" style="270" customWidth="1"/>
    <col min="7682" max="7682" width="12.125" style="270" customWidth="1"/>
    <col min="7683" max="7688" width="9.875" style="270" customWidth="1"/>
    <col min="7689" max="7689" width="12.125" style="270" customWidth="1"/>
    <col min="7690" max="7690" width="9.875" style="270" customWidth="1"/>
    <col min="7691" max="7693" width="8.75" style="270" customWidth="1"/>
    <col min="7694" max="7694" width="9" style="270"/>
    <col min="7695" max="7695" width="13.875" style="270" customWidth="1"/>
    <col min="7696" max="7697" width="9" style="270"/>
    <col min="7698" max="7698" width="9.5" style="270" customWidth="1"/>
    <col min="7699" max="7699" width="11" style="270" customWidth="1"/>
    <col min="7700" max="7936" width="9" style="270"/>
    <col min="7937" max="7937" width="14.375" style="270" customWidth="1"/>
    <col min="7938" max="7938" width="12.125" style="270" customWidth="1"/>
    <col min="7939" max="7944" width="9.875" style="270" customWidth="1"/>
    <col min="7945" max="7945" width="12.125" style="270" customWidth="1"/>
    <col min="7946" max="7946" width="9.875" style="270" customWidth="1"/>
    <col min="7947" max="7949" width="8.75" style="270" customWidth="1"/>
    <col min="7950" max="7950" width="9" style="270"/>
    <col min="7951" max="7951" width="13.875" style="270" customWidth="1"/>
    <col min="7952" max="7953" width="9" style="270"/>
    <col min="7954" max="7954" width="9.5" style="270" customWidth="1"/>
    <col min="7955" max="7955" width="11" style="270" customWidth="1"/>
    <col min="7956" max="8192" width="9" style="270"/>
    <col min="8193" max="8193" width="14.375" style="270" customWidth="1"/>
    <col min="8194" max="8194" width="12.125" style="270" customWidth="1"/>
    <col min="8195" max="8200" width="9.875" style="270" customWidth="1"/>
    <col min="8201" max="8201" width="12.125" style="270" customWidth="1"/>
    <col min="8202" max="8202" width="9.875" style="270" customWidth="1"/>
    <col min="8203" max="8205" width="8.75" style="270" customWidth="1"/>
    <col min="8206" max="8206" width="9" style="270"/>
    <col min="8207" max="8207" width="13.875" style="270" customWidth="1"/>
    <col min="8208" max="8209" width="9" style="270"/>
    <col min="8210" max="8210" width="9.5" style="270" customWidth="1"/>
    <col min="8211" max="8211" width="11" style="270" customWidth="1"/>
    <col min="8212" max="8448" width="9" style="270"/>
    <col min="8449" max="8449" width="14.375" style="270" customWidth="1"/>
    <col min="8450" max="8450" width="12.125" style="270" customWidth="1"/>
    <col min="8451" max="8456" width="9.875" style="270" customWidth="1"/>
    <col min="8457" max="8457" width="12.125" style="270" customWidth="1"/>
    <col min="8458" max="8458" width="9.875" style="270" customWidth="1"/>
    <col min="8459" max="8461" width="8.75" style="270" customWidth="1"/>
    <col min="8462" max="8462" width="9" style="270"/>
    <col min="8463" max="8463" width="13.875" style="270" customWidth="1"/>
    <col min="8464" max="8465" width="9" style="270"/>
    <col min="8466" max="8466" width="9.5" style="270" customWidth="1"/>
    <col min="8467" max="8467" width="11" style="270" customWidth="1"/>
    <col min="8468" max="8704" width="9" style="270"/>
    <col min="8705" max="8705" width="14.375" style="270" customWidth="1"/>
    <col min="8706" max="8706" width="12.125" style="270" customWidth="1"/>
    <col min="8707" max="8712" width="9.875" style="270" customWidth="1"/>
    <col min="8713" max="8713" width="12.125" style="270" customWidth="1"/>
    <col min="8714" max="8714" width="9.875" style="270" customWidth="1"/>
    <col min="8715" max="8717" width="8.75" style="270" customWidth="1"/>
    <col min="8718" max="8718" width="9" style="270"/>
    <col min="8719" max="8719" width="13.875" style="270" customWidth="1"/>
    <col min="8720" max="8721" width="9" style="270"/>
    <col min="8722" max="8722" width="9.5" style="270" customWidth="1"/>
    <col min="8723" max="8723" width="11" style="270" customWidth="1"/>
    <col min="8724" max="8960" width="9" style="270"/>
    <col min="8961" max="8961" width="14.375" style="270" customWidth="1"/>
    <col min="8962" max="8962" width="12.125" style="270" customWidth="1"/>
    <col min="8963" max="8968" width="9.875" style="270" customWidth="1"/>
    <col min="8969" max="8969" width="12.125" style="270" customWidth="1"/>
    <col min="8970" max="8970" width="9.875" style="270" customWidth="1"/>
    <col min="8971" max="8973" width="8.75" style="270" customWidth="1"/>
    <col min="8974" max="8974" width="9" style="270"/>
    <col min="8975" max="8975" width="13.875" style="270" customWidth="1"/>
    <col min="8976" max="8977" width="9" style="270"/>
    <col min="8978" max="8978" width="9.5" style="270" customWidth="1"/>
    <col min="8979" max="8979" width="11" style="270" customWidth="1"/>
    <col min="8980" max="9216" width="9" style="270"/>
    <col min="9217" max="9217" width="14.375" style="270" customWidth="1"/>
    <col min="9218" max="9218" width="12.125" style="270" customWidth="1"/>
    <col min="9219" max="9224" width="9.875" style="270" customWidth="1"/>
    <col min="9225" max="9225" width="12.125" style="270" customWidth="1"/>
    <col min="9226" max="9226" width="9.875" style="270" customWidth="1"/>
    <col min="9227" max="9229" width="8.75" style="270" customWidth="1"/>
    <col min="9230" max="9230" width="9" style="270"/>
    <col min="9231" max="9231" width="13.875" style="270" customWidth="1"/>
    <col min="9232" max="9233" width="9" style="270"/>
    <col min="9234" max="9234" width="9.5" style="270" customWidth="1"/>
    <col min="9235" max="9235" width="11" style="270" customWidth="1"/>
    <col min="9236" max="9472" width="9" style="270"/>
    <col min="9473" max="9473" width="14.375" style="270" customWidth="1"/>
    <col min="9474" max="9474" width="12.125" style="270" customWidth="1"/>
    <col min="9475" max="9480" width="9.875" style="270" customWidth="1"/>
    <col min="9481" max="9481" width="12.125" style="270" customWidth="1"/>
    <col min="9482" max="9482" width="9.875" style="270" customWidth="1"/>
    <col min="9483" max="9485" width="8.75" style="270" customWidth="1"/>
    <col min="9486" max="9486" width="9" style="270"/>
    <col min="9487" max="9487" width="13.875" style="270" customWidth="1"/>
    <col min="9488" max="9489" width="9" style="270"/>
    <col min="9490" max="9490" width="9.5" style="270" customWidth="1"/>
    <col min="9491" max="9491" width="11" style="270" customWidth="1"/>
    <col min="9492" max="9728" width="9" style="270"/>
    <col min="9729" max="9729" width="14.375" style="270" customWidth="1"/>
    <col min="9730" max="9730" width="12.125" style="270" customWidth="1"/>
    <col min="9731" max="9736" width="9.875" style="270" customWidth="1"/>
    <col min="9737" max="9737" width="12.125" style="270" customWidth="1"/>
    <col min="9738" max="9738" width="9.875" style="270" customWidth="1"/>
    <col min="9739" max="9741" width="8.75" style="270" customWidth="1"/>
    <col min="9742" max="9742" width="9" style="270"/>
    <col min="9743" max="9743" width="13.875" style="270" customWidth="1"/>
    <col min="9744" max="9745" width="9" style="270"/>
    <col min="9746" max="9746" width="9.5" style="270" customWidth="1"/>
    <col min="9747" max="9747" width="11" style="270" customWidth="1"/>
    <col min="9748" max="9984" width="9" style="270"/>
    <col min="9985" max="9985" width="14.375" style="270" customWidth="1"/>
    <col min="9986" max="9986" width="12.125" style="270" customWidth="1"/>
    <col min="9987" max="9992" width="9.875" style="270" customWidth="1"/>
    <col min="9993" max="9993" width="12.125" style="270" customWidth="1"/>
    <col min="9994" max="9994" width="9.875" style="270" customWidth="1"/>
    <col min="9995" max="9997" width="8.75" style="270" customWidth="1"/>
    <col min="9998" max="9998" width="9" style="270"/>
    <col min="9999" max="9999" width="13.875" style="270" customWidth="1"/>
    <col min="10000" max="10001" width="9" style="270"/>
    <col min="10002" max="10002" width="9.5" style="270" customWidth="1"/>
    <col min="10003" max="10003" width="11" style="270" customWidth="1"/>
    <col min="10004" max="10240" width="9" style="270"/>
    <col min="10241" max="10241" width="14.375" style="270" customWidth="1"/>
    <col min="10242" max="10242" width="12.125" style="270" customWidth="1"/>
    <col min="10243" max="10248" width="9.875" style="270" customWidth="1"/>
    <col min="10249" max="10249" width="12.125" style="270" customWidth="1"/>
    <col min="10250" max="10250" width="9.875" style="270" customWidth="1"/>
    <col min="10251" max="10253" width="8.75" style="270" customWidth="1"/>
    <col min="10254" max="10254" width="9" style="270"/>
    <col min="10255" max="10255" width="13.875" style="270" customWidth="1"/>
    <col min="10256" max="10257" width="9" style="270"/>
    <col min="10258" max="10258" width="9.5" style="270" customWidth="1"/>
    <col min="10259" max="10259" width="11" style="270" customWidth="1"/>
    <col min="10260" max="10496" width="9" style="270"/>
    <col min="10497" max="10497" width="14.375" style="270" customWidth="1"/>
    <col min="10498" max="10498" width="12.125" style="270" customWidth="1"/>
    <col min="10499" max="10504" width="9.875" style="270" customWidth="1"/>
    <col min="10505" max="10505" width="12.125" style="270" customWidth="1"/>
    <col min="10506" max="10506" width="9.875" style="270" customWidth="1"/>
    <col min="10507" max="10509" width="8.75" style="270" customWidth="1"/>
    <col min="10510" max="10510" width="9" style="270"/>
    <col min="10511" max="10511" width="13.875" style="270" customWidth="1"/>
    <col min="10512" max="10513" width="9" style="270"/>
    <col min="10514" max="10514" width="9.5" style="270" customWidth="1"/>
    <col min="10515" max="10515" width="11" style="270" customWidth="1"/>
    <col min="10516" max="10752" width="9" style="270"/>
    <col min="10753" max="10753" width="14.375" style="270" customWidth="1"/>
    <col min="10754" max="10754" width="12.125" style="270" customWidth="1"/>
    <col min="10755" max="10760" width="9.875" style="270" customWidth="1"/>
    <col min="10761" max="10761" width="12.125" style="270" customWidth="1"/>
    <col min="10762" max="10762" width="9.875" style="270" customWidth="1"/>
    <col min="10763" max="10765" width="8.75" style="270" customWidth="1"/>
    <col min="10766" max="10766" width="9" style="270"/>
    <col min="10767" max="10767" width="13.875" style="270" customWidth="1"/>
    <col min="10768" max="10769" width="9" style="270"/>
    <col min="10770" max="10770" width="9.5" style="270" customWidth="1"/>
    <col min="10771" max="10771" width="11" style="270" customWidth="1"/>
    <col min="10772" max="11008" width="9" style="270"/>
    <col min="11009" max="11009" width="14.375" style="270" customWidth="1"/>
    <col min="11010" max="11010" width="12.125" style="270" customWidth="1"/>
    <col min="11011" max="11016" width="9.875" style="270" customWidth="1"/>
    <col min="11017" max="11017" width="12.125" style="270" customWidth="1"/>
    <col min="11018" max="11018" width="9.875" style="270" customWidth="1"/>
    <col min="11019" max="11021" width="8.75" style="270" customWidth="1"/>
    <col min="11022" max="11022" width="9" style="270"/>
    <col min="11023" max="11023" width="13.875" style="270" customWidth="1"/>
    <col min="11024" max="11025" width="9" style="270"/>
    <col min="11026" max="11026" width="9.5" style="270" customWidth="1"/>
    <col min="11027" max="11027" width="11" style="270" customWidth="1"/>
    <col min="11028" max="11264" width="9" style="270"/>
    <col min="11265" max="11265" width="14.375" style="270" customWidth="1"/>
    <col min="11266" max="11266" width="12.125" style="270" customWidth="1"/>
    <col min="11267" max="11272" width="9.875" style="270" customWidth="1"/>
    <col min="11273" max="11273" width="12.125" style="270" customWidth="1"/>
    <col min="11274" max="11274" width="9.875" style="270" customWidth="1"/>
    <col min="11275" max="11277" width="8.75" style="270" customWidth="1"/>
    <col min="11278" max="11278" width="9" style="270"/>
    <col min="11279" max="11279" width="13.875" style="270" customWidth="1"/>
    <col min="11280" max="11281" width="9" style="270"/>
    <col min="11282" max="11282" width="9.5" style="270" customWidth="1"/>
    <col min="11283" max="11283" width="11" style="270" customWidth="1"/>
    <col min="11284" max="11520" width="9" style="270"/>
    <col min="11521" max="11521" width="14.375" style="270" customWidth="1"/>
    <col min="11522" max="11522" width="12.125" style="270" customWidth="1"/>
    <col min="11523" max="11528" width="9.875" style="270" customWidth="1"/>
    <col min="11529" max="11529" width="12.125" style="270" customWidth="1"/>
    <col min="11530" max="11530" width="9.875" style="270" customWidth="1"/>
    <col min="11531" max="11533" width="8.75" style="270" customWidth="1"/>
    <col min="11534" max="11534" width="9" style="270"/>
    <col min="11535" max="11535" width="13.875" style="270" customWidth="1"/>
    <col min="11536" max="11537" width="9" style="270"/>
    <col min="11538" max="11538" width="9.5" style="270" customWidth="1"/>
    <col min="11539" max="11539" width="11" style="270" customWidth="1"/>
    <col min="11540" max="11776" width="9" style="270"/>
    <col min="11777" max="11777" width="14.375" style="270" customWidth="1"/>
    <col min="11778" max="11778" width="12.125" style="270" customWidth="1"/>
    <col min="11779" max="11784" width="9.875" style="270" customWidth="1"/>
    <col min="11785" max="11785" width="12.125" style="270" customWidth="1"/>
    <col min="11786" max="11786" width="9.875" style="270" customWidth="1"/>
    <col min="11787" max="11789" width="8.75" style="270" customWidth="1"/>
    <col min="11790" max="11790" width="9" style="270"/>
    <col min="11791" max="11791" width="13.875" style="270" customWidth="1"/>
    <col min="11792" max="11793" width="9" style="270"/>
    <col min="11794" max="11794" width="9.5" style="270" customWidth="1"/>
    <col min="11795" max="11795" width="11" style="270" customWidth="1"/>
    <col min="11796" max="12032" width="9" style="270"/>
    <col min="12033" max="12033" width="14.375" style="270" customWidth="1"/>
    <col min="12034" max="12034" width="12.125" style="270" customWidth="1"/>
    <col min="12035" max="12040" width="9.875" style="270" customWidth="1"/>
    <col min="12041" max="12041" width="12.125" style="270" customWidth="1"/>
    <col min="12042" max="12042" width="9.875" style="270" customWidth="1"/>
    <col min="12043" max="12045" width="8.75" style="270" customWidth="1"/>
    <col min="12046" max="12046" width="9" style="270"/>
    <col min="12047" max="12047" width="13.875" style="270" customWidth="1"/>
    <col min="12048" max="12049" width="9" style="270"/>
    <col min="12050" max="12050" width="9.5" style="270" customWidth="1"/>
    <col min="12051" max="12051" width="11" style="270" customWidth="1"/>
    <col min="12052" max="12288" width="9" style="270"/>
    <col min="12289" max="12289" width="14.375" style="270" customWidth="1"/>
    <col min="12290" max="12290" width="12.125" style="270" customWidth="1"/>
    <col min="12291" max="12296" width="9.875" style="270" customWidth="1"/>
    <col min="12297" max="12297" width="12.125" style="270" customWidth="1"/>
    <col min="12298" max="12298" width="9.875" style="270" customWidth="1"/>
    <col min="12299" max="12301" width="8.75" style="270" customWidth="1"/>
    <col min="12302" max="12302" width="9" style="270"/>
    <col min="12303" max="12303" width="13.875" style="270" customWidth="1"/>
    <col min="12304" max="12305" width="9" style="270"/>
    <col min="12306" max="12306" width="9.5" style="270" customWidth="1"/>
    <col min="12307" max="12307" width="11" style="270" customWidth="1"/>
    <col min="12308" max="12544" width="9" style="270"/>
    <col min="12545" max="12545" width="14.375" style="270" customWidth="1"/>
    <col min="12546" max="12546" width="12.125" style="270" customWidth="1"/>
    <col min="12547" max="12552" width="9.875" style="270" customWidth="1"/>
    <col min="12553" max="12553" width="12.125" style="270" customWidth="1"/>
    <col min="12554" max="12554" width="9.875" style="270" customWidth="1"/>
    <col min="12555" max="12557" width="8.75" style="270" customWidth="1"/>
    <col min="12558" max="12558" width="9" style="270"/>
    <col min="12559" max="12559" width="13.875" style="270" customWidth="1"/>
    <col min="12560" max="12561" width="9" style="270"/>
    <col min="12562" max="12562" width="9.5" style="270" customWidth="1"/>
    <col min="12563" max="12563" width="11" style="270" customWidth="1"/>
    <col min="12564" max="12800" width="9" style="270"/>
    <col min="12801" max="12801" width="14.375" style="270" customWidth="1"/>
    <col min="12802" max="12802" width="12.125" style="270" customWidth="1"/>
    <col min="12803" max="12808" width="9.875" style="270" customWidth="1"/>
    <col min="12809" max="12809" width="12.125" style="270" customWidth="1"/>
    <col min="12810" max="12810" width="9.875" style="270" customWidth="1"/>
    <col min="12811" max="12813" width="8.75" style="270" customWidth="1"/>
    <col min="12814" max="12814" width="9" style="270"/>
    <col min="12815" max="12815" width="13.875" style="270" customWidth="1"/>
    <col min="12816" max="12817" width="9" style="270"/>
    <col min="12818" max="12818" width="9.5" style="270" customWidth="1"/>
    <col min="12819" max="12819" width="11" style="270" customWidth="1"/>
    <col min="12820" max="13056" width="9" style="270"/>
    <col min="13057" max="13057" width="14.375" style="270" customWidth="1"/>
    <col min="13058" max="13058" width="12.125" style="270" customWidth="1"/>
    <col min="13059" max="13064" width="9.875" style="270" customWidth="1"/>
    <col min="13065" max="13065" width="12.125" style="270" customWidth="1"/>
    <col min="13066" max="13066" width="9.875" style="270" customWidth="1"/>
    <col min="13067" max="13069" width="8.75" style="270" customWidth="1"/>
    <col min="13070" max="13070" width="9" style="270"/>
    <col min="13071" max="13071" width="13.875" style="270" customWidth="1"/>
    <col min="13072" max="13073" width="9" style="270"/>
    <col min="13074" max="13074" width="9.5" style="270" customWidth="1"/>
    <col min="13075" max="13075" width="11" style="270" customWidth="1"/>
    <col min="13076" max="13312" width="9" style="270"/>
    <col min="13313" max="13313" width="14.375" style="270" customWidth="1"/>
    <col min="13314" max="13314" width="12.125" style="270" customWidth="1"/>
    <col min="13315" max="13320" width="9.875" style="270" customWidth="1"/>
    <col min="13321" max="13321" width="12.125" style="270" customWidth="1"/>
    <col min="13322" max="13322" width="9.875" style="270" customWidth="1"/>
    <col min="13323" max="13325" width="8.75" style="270" customWidth="1"/>
    <col min="13326" max="13326" width="9" style="270"/>
    <col min="13327" max="13327" width="13.875" style="270" customWidth="1"/>
    <col min="13328" max="13329" width="9" style="270"/>
    <col min="13330" max="13330" width="9.5" style="270" customWidth="1"/>
    <col min="13331" max="13331" width="11" style="270" customWidth="1"/>
    <col min="13332" max="13568" width="9" style="270"/>
    <col min="13569" max="13569" width="14.375" style="270" customWidth="1"/>
    <col min="13570" max="13570" width="12.125" style="270" customWidth="1"/>
    <col min="13571" max="13576" width="9.875" style="270" customWidth="1"/>
    <col min="13577" max="13577" width="12.125" style="270" customWidth="1"/>
    <col min="13578" max="13578" width="9.875" style="270" customWidth="1"/>
    <col min="13579" max="13581" width="8.75" style="270" customWidth="1"/>
    <col min="13582" max="13582" width="9" style="270"/>
    <col min="13583" max="13583" width="13.875" style="270" customWidth="1"/>
    <col min="13584" max="13585" width="9" style="270"/>
    <col min="13586" max="13586" width="9.5" style="270" customWidth="1"/>
    <col min="13587" max="13587" width="11" style="270" customWidth="1"/>
    <col min="13588" max="13824" width="9" style="270"/>
    <col min="13825" max="13825" width="14.375" style="270" customWidth="1"/>
    <col min="13826" max="13826" width="12.125" style="270" customWidth="1"/>
    <col min="13827" max="13832" width="9.875" style="270" customWidth="1"/>
    <col min="13833" max="13833" width="12.125" style="270" customWidth="1"/>
    <col min="13834" max="13834" width="9.875" style="270" customWidth="1"/>
    <col min="13835" max="13837" width="8.75" style="270" customWidth="1"/>
    <col min="13838" max="13838" width="9" style="270"/>
    <col min="13839" max="13839" width="13.875" style="270" customWidth="1"/>
    <col min="13840" max="13841" width="9" style="270"/>
    <col min="13842" max="13842" width="9.5" style="270" customWidth="1"/>
    <col min="13843" max="13843" width="11" style="270" customWidth="1"/>
    <col min="13844" max="14080" width="9" style="270"/>
    <col min="14081" max="14081" width="14.375" style="270" customWidth="1"/>
    <col min="14082" max="14082" width="12.125" style="270" customWidth="1"/>
    <col min="14083" max="14088" width="9.875" style="270" customWidth="1"/>
    <col min="14089" max="14089" width="12.125" style="270" customWidth="1"/>
    <col min="14090" max="14090" width="9.875" style="270" customWidth="1"/>
    <col min="14091" max="14093" width="8.75" style="270" customWidth="1"/>
    <col min="14094" max="14094" width="9" style="270"/>
    <col min="14095" max="14095" width="13.875" style="270" customWidth="1"/>
    <col min="14096" max="14097" width="9" style="270"/>
    <col min="14098" max="14098" width="9.5" style="270" customWidth="1"/>
    <col min="14099" max="14099" width="11" style="270" customWidth="1"/>
    <col min="14100" max="14336" width="9" style="270"/>
    <col min="14337" max="14337" width="14.375" style="270" customWidth="1"/>
    <col min="14338" max="14338" width="12.125" style="270" customWidth="1"/>
    <col min="14339" max="14344" width="9.875" style="270" customWidth="1"/>
    <col min="14345" max="14345" width="12.125" style="270" customWidth="1"/>
    <col min="14346" max="14346" width="9.875" style="270" customWidth="1"/>
    <col min="14347" max="14349" width="8.75" style="270" customWidth="1"/>
    <col min="14350" max="14350" width="9" style="270"/>
    <col min="14351" max="14351" width="13.875" style="270" customWidth="1"/>
    <col min="14352" max="14353" width="9" style="270"/>
    <col min="14354" max="14354" width="9.5" style="270" customWidth="1"/>
    <col min="14355" max="14355" width="11" style="270" customWidth="1"/>
    <col min="14356" max="14592" width="9" style="270"/>
    <col min="14593" max="14593" width="14.375" style="270" customWidth="1"/>
    <col min="14594" max="14594" width="12.125" style="270" customWidth="1"/>
    <col min="14595" max="14600" width="9.875" style="270" customWidth="1"/>
    <col min="14601" max="14601" width="12.125" style="270" customWidth="1"/>
    <col min="14602" max="14602" width="9.875" style="270" customWidth="1"/>
    <col min="14603" max="14605" width="8.75" style="270" customWidth="1"/>
    <col min="14606" max="14606" width="9" style="270"/>
    <col min="14607" max="14607" width="13.875" style="270" customWidth="1"/>
    <col min="14608" max="14609" width="9" style="270"/>
    <col min="14610" max="14610" width="9.5" style="270" customWidth="1"/>
    <col min="14611" max="14611" width="11" style="270" customWidth="1"/>
    <col min="14612" max="14848" width="9" style="270"/>
    <col min="14849" max="14849" width="14.375" style="270" customWidth="1"/>
    <col min="14850" max="14850" width="12.125" style="270" customWidth="1"/>
    <col min="14851" max="14856" width="9.875" style="270" customWidth="1"/>
    <col min="14857" max="14857" width="12.125" style="270" customWidth="1"/>
    <col min="14858" max="14858" width="9.875" style="270" customWidth="1"/>
    <col min="14859" max="14861" width="8.75" style="270" customWidth="1"/>
    <col min="14862" max="14862" width="9" style="270"/>
    <col min="14863" max="14863" width="13.875" style="270" customWidth="1"/>
    <col min="14864" max="14865" width="9" style="270"/>
    <col min="14866" max="14866" width="9.5" style="270" customWidth="1"/>
    <col min="14867" max="14867" width="11" style="270" customWidth="1"/>
    <col min="14868" max="15104" width="9" style="270"/>
    <col min="15105" max="15105" width="14.375" style="270" customWidth="1"/>
    <col min="15106" max="15106" width="12.125" style="270" customWidth="1"/>
    <col min="15107" max="15112" width="9.875" style="270" customWidth="1"/>
    <col min="15113" max="15113" width="12.125" style="270" customWidth="1"/>
    <col min="15114" max="15114" width="9.875" style="270" customWidth="1"/>
    <col min="15115" max="15117" width="8.75" style="270" customWidth="1"/>
    <col min="15118" max="15118" width="9" style="270"/>
    <col min="15119" max="15119" width="13.875" style="270" customWidth="1"/>
    <col min="15120" max="15121" width="9" style="270"/>
    <col min="15122" max="15122" width="9.5" style="270" customWidth="1"/>
    <col min="15123" max="15123" width="11" style="270" customWidth="1"/>
    <col min="15124" max="15360" width="9" style="270"/>
    <col min="15361" max="15361" width="14.375" style="270" customWidth="1"/>
    <col min="15362" max="15362" width="12.125" style="270" customWidth="1"/>
    <col min="15363" max="15368" width="9.875" style="270" customWidth="1"/>
    <col min="15369" max="15369" width="12.125" style="270" customWidth="1"/>
    <col min="15370" max="15370" width="9.875" style="270" customWidth="1"/>
    <col min="15371" max="15373" width="8.75" style="270" customWidth="1"/>
    <col min="15374" max="15374" width="9" style="270"/>
    <col min="15375" max="15375" width="13.875" style="270" customWidth="1"/>
    <col min="15376" max="15377" width="9" style="270"/>
    <col min="15378" max="15378" width="9.5" style="270" customWidth="1"/>
    <col min="15379" max="15379" width="11" style="270" customWidth="1"/>
    <col min="15380" max="15616" width="9" style="270"/>
    <col min="15617" max="15617" width="14.375" style="270" customWidth="1"/>
    <col min="15618" max="15618" width="12.125" style="270" customWidth="1"/>
    <col min="15619" max="15624" width="9.875" style="270" customWidth="1"/>
    <col min="15625" max="15625" width="12.125" style="270" customWidth="1"/>
    <col min="15626" max="15626" width="9.875" style="270" customWidth="1"/>
    <col min="15627" max="15629" width="8.75" style="270" customWidth="1"/>
    <col min="15630" max="15630" width="9" style="270"/>
    <col min="15631" max="15631" width="13.875" style="270" customWidth="1"/>
    <col min="15632" max="15633" width="9" style="270"/>
    <col min="15634" max="15634" width="9.5" style="270" customWidth="1"/>
    <col min="15635" max="15635" width="11" style="270" customWidth="1"/>
    <col min="15636" max="15872" width="9" style="270"/>
    <col min="15873" max="15873" width="14.375" style="270" customWidth="1"/>
    <col min="15874" max="15874" width="12.125" style="270" customWidth="1"/>
    <col min="15875" max="15880" width="9.875" style="270" customWidth="1"/>
    <col min="15881" max="15881" width="12.125" style="270" customWidth="1"/>
    <col min="15882" max="15882" width="9.875" style="270" customWidth="1"/>
    <col min="15883" max="15885" width="8.75" style="270" customWidth="1"/>
    <col min="15886" max="15886" width="9" style="270"/>
    <col min="15887" max="15887" width="13.875" style="270" customWidth="1"/>
    <col min="15888" max="15889" width="9" style="270"/>
    <col min="15890" max="15890" width="9.5" style="270" customWidth="1"/>
    <col min="15891" max="15891" width="11" style="270" customWidth="1"/>
    <col min="15892" max="16128" width="9" style="270"/>
    <col min="16129" max="16129" width="14.375" style="270" customWidth="1"/>
    <col min="16130" max="16130" width="12.125" style="270" customWidth="1"/>
    <col min="16131" max="16136" width="9.875" style="270" customWidth="1"/>
    <col min="16137" max="16137" width="12.125" style="270" customWidth="1"/>
    <col min="16138" max="16138" width="9.875" style="270" customWidth="1"/>
    <col min="16139" max="16141" width="8.75" style="270" customWidth="1"/>
    <col min="16142" max="16142" width="9" style="270"/>
    <col min="16143" max="16143" width="13.875" style="270" customWidth="1"/>
    <col min="16144" max="16145" width="9" style="270"/>
    <col min="16146" max="16146" width="9.5" style="270" customWidth="1"/>
    <col min="16147" max="16147" width="11" style="270" customWidth="1"/>
    <col min="16148" max="16384" width="9" style="270"/>
  </cols>
  <sheetData>
    <row r="1" spans="1:19" s="125" customFormat="1" ht="24.95" customHeight="1">
      <c r="A1" s="1590" t="s">
        <v>802</v>
      </c>
      <c r="B1" s="1590"/>
      <c r="C1" s="1590"/>
      <c r="D1" s="1590"/>
      <c r="E1" s="1590"/>
      <c r="F1" s="1590"/>
      <c r="G1" s="1590"/>
      <c r="H1" s="1590"/>
      <c r="I1" s="1590"/>
      <c r="J1" s="1590"/>
      <c r="K1" s="1590"/>
      <c r="L1" s="1590"/>
      <c r="M1" s="399"/>
      <c r="N1" s="399"/>
      <c r="O1" s="399"/>
      <c r="P1" s="399"/>
      <c r="Q1" s="399"/>
      <c r="R1" s="399"/>
    </row>
    <row r="2" spans="1:19" s="125" customFormat="1" ht="24.95" customHeight="1">
      <c r="A2" s="1590"/>
      <c r="B2" s="1590"/>
      <c r="C2" s="1590"/>
      <c r="D2" s="1590"/>
      <c r="E2" s="1590"/>
      <c r="F2" s="1590"/>
      <c r="G2" s="1590"/>
      <c r="H2" s="1590"/>
      <c r="I2" s="1590"/>
      <c r="J2" s="1590"/>
      <c r="K2" s="1590"/>
      <c r="L2" s="1590"/>
      <c r="M2" s="399"/>
      <c r="N2" s="399"/>
      <c r="O2" s="399"/>
      <c r="P2" s="399"/>
      <c r="Q2" s="399"/>
      <c r="R2" s="399"/>
    </row>
    <row r="3" spans="1:19" s="268" customFormat="1" ht="17.25">
      <c r="A3" s="1595"/>
      <c r="B3" s="1595"/>
      <c r="C3" s="1595"/>
      <c r="D3" s="1595"/>
      <c r="E3" s="1595"/>
      <c r="F3" s="1595"/>
      <c r="G3" s="1595"/>
      <c r="H3" s="1595"/>
      <c r="I3" s="1595"/>
      <c r="J3" s="1595"/>
      <c r="K3" s="1595"/>
      <c r="L3" s="1595"/>
      <c r="M3" s="1595"/>
      <c r="N3" s="1595"/>
      <c r="O3" s="1595"/>
    </row>
    <row r="4" spans="1:19">
      <c r="A4" s="269"/>
      <c r="B4" s="269"/>
      <c r="C4" s="269"/>
      <c r="D4" s="269"/>
      <c r="E4" s="269"/>
      <c r="F4" s="269"/>
      <c r="G4" s="269"/>
      <c r="H4" s="269"/>
      <c r="I4" s="269"/>
      <c r="J4" s="269"/>
      <c r="K4" s="269"/>
      <c r="L4" s="269"/>
      <c r="M4" s="269"/>
      <c r="N4" s="269"/>
      <c r="O4" s="269"/>
    </row>
    <row r="5" spans="1:19" s="271" customFormat="1" ht="30" customHeight="1">
      <c r="A5" s="271" t="s">
        <v>803</v>
      </c>
    </row>
    <row r="6" spans="1:19" ht="20.100000000000001" customHeight="1">
      <c r="A6" s="270" t="s">
        <v>804</v>
      </c>
      <c r="E6" s="272"/>
      <c r="F6" s="506"/>
      <c r="H6" s="272"/>
      <c r="I6" s="273"/>
      <c r="J6" s="274"/>
    </row>
    <row r="7" spans="1:19" ht="20.100000000000001" customHeight="1">
      <c r="A7" s="270" t="s">
        <v>805</v>
      </c>
      <c r="E7" s="272"/>
      <c r="F7" s="506"/>
      <c r="H7" s="272"/>
      <c r="I7" s="273"/>
      <c r="J7" s="274"/>
    </row>
    <row r="8" spans="1:19" ht="20.100000000000001" customHeight="1">
      <c r="A8" s="270" t="s">
        <v>806</v>
      </c>
      <c r="E8" s="272"/>
      <c r="F8" s="506"/>
      <c r="H8" s="272"/>
      <c r="I8" s="273"/>
      <c r="J8" s="274"/>
    </row>
    <row r="9" spans="1:19" ht="20.100000000000001" customHeight="1">
      <c r="A9" s="270" t="s">
        <v>807</v>
      </c>
      <c r="E9" s="272"/>
      <c r="F9" s="506"/>
      <c r="H9" s="272"/>
      <c r="I9" s="273"/>
      <c r="J9" s="274"/>
      <c r="N9" s="275"/>
      <c r="O9" s="276"/>
      <c r="P9" s="276"/>
      <c r="Q9" s="276"/>
      <c r="R9" s="276"/>
    </row>
    <row r="10" spans="1:19" ht="19.5" customHeight="1">
      <c r="A10" s="270" t="s">
        <v>808</v>
      </c>
      <c r="E10" s="272"/>
      <c r="F10" s="506"/>
      <c r="H10" s="272"/>
      <c r="I10" s="273"/>
      <c r="J10" s="274"/>
      <c r="N10" s="665"/>
      <c r="O10" s="665"/>
      <c r="P10" s="666"/>
      <c r="Q10" s="665"/>
      <c r="R10" s="665"/>
      <c r="S10" s="665"/>
    </row>
    <row r="11" spans="1:19" s="271" customFormat="1">
      <c r="A11" s="277" t="s">
        <v>809</v>
      </c>
      <c r="B11" s="278" t="s">
        <v>3</v>
      </c>
      <c r="C11" s="277" t="s">
        <v>810</v>
      </c>
      <c r="D11" s="277" t="s">
        <v>811</v>
      </c>
      <c r="E11" s="279" t="s">
        <v>812</v>
      </c>
      <c r="F11" s="279" t="s">
        <v>813</v>
      </c>
      <c r="G11" s="678" t="s">
        <v>932</v>
      </c>
      <c r="H11" s="279" t="s">
        <v>933</v>
      </c>
      <c r="I11" s="279" t="s">
        <v>931</v>
      </c>
      <c r="J11" s="280"/>
      <c r="K11" s="280"/>
      <c r="L11" s="280"/>
      <c r="M11" s="280"/>
      <c r="N11" s="1587"/>
      <c r="O11" s="667"/>
      <c r="P11" s="668"/>
      <c r="Q11" s="669"/>
      <c r="R11" s="670"/>
      <c r="S11" s="670"/>
    </row>
    <row r="12" spans="1:19" ht="20.100000000000001" customHeight="1">
      <c r="A12" s="281" t="s">
        <v>209</v>
      </c>
      <c r="B12" s="671">
        <f>SUM(C12:I12)</f>
        <v>105550</v>
      </c>
      <c r="C12" s="376">
        <v>32975</v>
      </c>
      <c r="D12" s="376">
        <v>7900</v>
      </c>
      <c r="E12" s="376">
        <v>1384</v>
      </c>
      <c r="F12" s="376">
        <v>11038</v>
      </c>
      <c r="G12" s="376">
        <v>30287</v>
      </c>
      <c r="H12" s="376">
        <v>21129</v>
      </c>
      <c r="I12" s="376">
        <v>837</v>
      </c>
      <c r="J12" s="283"/>
      <c r="K12" s="283"/>
      <c r="L12" s="283"/>
      <c r="M12" s="283"/>
      <c r="N12" s="1587"/>
      <c r="O12" s="667"/>
      <c r="P12" s="668"/>
      <c r="Q12" s="669"/>
      <c r="R12" s="670"/>
      <c r="S12" s="670"/>
    </row>
    <row r="13" spans="1:19" ht="20.100000000000001" customHeight="1">
      <c r="A13" s="284" t="s">
        <v>210</v>
      </c>
      <c r="B13" s="377" t="s">
        <v>211</v>
      </c>
      <c r="C13" s="378">
        <v>0</v>
      </c>
      <c r="D13" s="378">
        <v>100</v>
      </c>
      <c r="E13" s="378">
        <v>100</v>
      </c>
      <c r="F13" s="378">
        <v>0</v>
      </c>
      <c r="G13" s="379">
        <v>0</v>
      </c>
      <c r="H13" s="378">
        <v>50</v>
      </c>
      <c r="I13" s="378">
        <v>50</v>
      </c>
      <c r="J13" s="283"/>
      <c r="K13" s="283"/>
      <c r="L13" s="283"/>
      <c r="M13" s="283"/>
      <c r="N13" s="1587"/>
      <c r="O13" s="667"/>
      <c r="P13" s="668"/>
      <c r="Q13" s="669"/>
      <c r="R13" s="670"/>
      <c r="S13" s="670"/>
    </row>
    <row r="14" spans="1:19" ht="20.100000000000001" customHeight="1">
      <c r="A14" s="286" t="s">
        <v>212</v>
      </c>
      <c r="B14" s="380">
        <f>SUM(C14:I14)</f>
        <v>20267</v>
      </c>
      <c r="C14" s="381">
        <f t="shared" ref="C14:I14" si="0">C12*C13/100</f>
        <v>0</v>
      </c>
      <c r="D14" s="381">
        <f t="shared" si="0"/>
        <v>7900</v>
      </c>
      <c r="E14" s="381">
        <f t="shared" si="0"/>
        <v>1384</v>
      </c>
      <c r="F14" s="381">
        <f t="shared" si="0"/>
        <v>0</v>
      </c>
      <c r="G14" s="382">
        <f t="shared" si="0"/>
        <v>0</v>
      </c>
      <c r="H14" s="381">
        <f t="shared" si="0"/>
        <v>10564.5</v>
      </c>
      <c r="I14" s="381">
        <f t="shared" si="0"/>
        <v>418.5</v>
      </c>
      <c r="J14" s="283"/>
      <c r="K14" s="283"/>
      <c r="L14" s="283"/>
      <c r="M14" s="283"/>
      <c r="N14" s="1587"/>
      <c r="O14" s="667"/>
      <c r="P14" s="668"/>
      <c r="Q14" s="669"/>
      <c r="R14" s="670"/>
      <c r="S14" s="670"/>
    </row>
    <row r="15" spans="1:19" ht="20.100000000000001" customHeight="1">
      <c r="A15" s="291"/>
      <c r="B15" s="679">
        <f>SUM(C15:I15)</f>
        <v>1</v>
      </c>
      <c r="C15" s="395">
        <f>C12/$B$12</f>
        <v>0.31241117953576503</v>
      </c>
      <c r="D15" s="395">
        <f t="shared" ref="D15:I15" si="1">D12/$B$12</f>
        <v>7.4846044528659408E-2</v>
      </c>
      <c r="E15" s="395">
        <f t="shared" si="1"/>
        <v>1.3112269066792989E-2</v>
      </c>
      <c r="F15" s="395">
        <f t="shared" si="1"/>
        <v>0.10457603031738513</v>
      </c>
      <c r="G15" s="395">
        <f t="shared" si="1"/>
        <v>0.28694457603031737</v>
      </c>
      <c r="H15" s="395">
        <f t="shared" si="1"/>
        <v>0.20018000947418285</v>
      </c>
      <c r="I15" s="395">
        <f t="shared" si="1"/>
        <v>7.9298910468972045E-3</v>
      </c>
      <c r="J15" s="283"/>
      <c r="K15" s="283"/>
      <c r="L15" s="283"/>
      <c r="M15" s="283"/>
      <c r="N15" s="1587"/>
      <c r="O15" s="667"/>
      <c r="P15" s="668"/>
      <c r="Q15" s="669"/>
      <c r="R15" s="670"/>
      <c r="S15" s="670"/>
    </row>
    <row r="16" spans="1:19" ht="20.100000000000001" customHeight="1">
      <c r="A16" s="402" t="s">
        <v>814</v>
      </c>
      <c r="B16" s="394"/>
      <c r="C16" s="395"/>
      <c r="D16" s="395"/>
      <c r="E16" s="395"/>
      <c r="F16" s="395"/>
      <c r="G16" s="395"/>
      <c r="H16" s="395"/>
      <c r="I16" s="396"/>
      <c r="J16" s="283"/>
      <c r="K16" s="283"/>
      <c r="L16" s="283"/>
      <c r="M16" s="283"/>
      <c r="N16" s="1587"/>
      <c r="O16" s="667"/>
      <c r="P16" s="668"/>
      <c r="Q16" s="669"/>
      <c r="R16" s="670"/>
      <c r="S16" s="670"/>
    </row>
    <row r="17" spans="1:22">
      <c r="N17" s="1587"/>
      <c r="O17" s="667"/>
      <c r="P17" s="668"/>
      <c r="Q17" s="669"/>
      <c r="R17" s="670"/>
      <c r="S17" s="670"/>
    </row>
    <row r="18" spans="1:22" s="271" customFormat="1" ht="30" customHeight="1">
      <c r="A18" s="271" t="s">
        <v>815</v>
      </c>
      <c r="N18" s="1587"/>
      <c r="O18" s="667"/>
      <c r="P18" s="668"/>
      <c r="Q18" s="669"/>
      <c r="R18" s="670"/>
      <c r="S18" s="670"/>
    </row>
    <row r="19" spans="1:22" ht="20.100000000000001" customHeight="1">
      <c r="A19" s="270" t="s">
        <v>816</v>
      </c>
      <c r="E19" s="272" t="s">
        <v>817</v>
      </c>
      <c r="F19" s="506" t="s">
        <v>934</v>
      </c>
      <c r="H19" s="272"/>
      <c r="I19" s="273" t="s">
        <v>818</v>
      </c>
      <c r="J19" s="274">
        <f>ROUNDDOWN((B14/100000)^0.6,3)</f>
        <v>0.38300000000000001</v>
      </c>
      <c r="K19" s="270" t="s">
        <v>819</v>
      </c>
      <c r="N19" s="1587"/>
      <c r="O19" s="667"/>
      <c r="P19" s="668"/>
      <c r="Q19" s="669"/>
      <c r="R19" s="670"/>
      <c r="S19" s="670"/>
    </row>
    <row r="20" spans="1:22" ht="20.100000000000001" customHeight="1">
      <c r="A20" s="270" t="s">
        <v>820</v>
      </c>
      <c r="N20" s="1587"/>
      <c r="O20" s="667"/>
      <c r="P20" s="668"/>
      <c r="Q20" s="669"/>
      <c r="R20" s="670"/>
      <c r="S20" s="670"/>
    </row>
    <row r="21" spans="1:22" s="271" customFormat="1" ht="20.100000000000001" customHeight="1">
      <c r="A21" s="271" t="s">
        <v>821</v>
      </c>
      <c r="E21" s="288" t="s">
        <v>822</v>
      </c>
      <c r="F21" s="672">
        <v>1</v>
      </c>
      <c r="G21" s="271" t="s">
        <v>823</v>
      </c>
      <c r="N21" s="1587"/>
      <c r="O21" s="667"/>
      <c r="P21" s="668"/>
      <c r="Q21" s="669"/>
      <c r="R21" s="670"/>
      <c r="S21" s="670"/>
    </row>
    <row r="22" spans="1:22" ht="20.100000000000001" customHeight="1">
      <c r="A22" s="270" t="s">
        <v>824</v>
      </c>
      <c r="E22" s="568" t="s">
        <v>825</v>
      </c>
      <c r="F22" s="289">
        <v>1.25</v>
      </c>
      <c r="N22" s="667"/>
      <c r="O22" s="673"/>
      <c r="P22" s="668"/>
      <c r="Q22" s="669"/>
      <c r="R22" s="670"/>
      <c r="S22" s="670"/>
    </row>
    <row r="23" spans="1:22" ht="20.100000000000001" customHeight="1">
      <c r="A23" s="270" t="s">
        <v>826</v>
      </c>
      <c r="E23" s="568" t="s">
        <v>827</v>
      </c>
      <c r="F23" s="289">
        <v>1.5</v>
      </c>
    </row>
    <row r="25" spans="1:22" s="271" customFormat="1" ht="30" customHeight="1">
      <c r="A25" s="271" t="s">
        <v>828</v>
      </c>
    </row>
    <row r="26" spans="1:22" ht="30" customHeight="1">
      <c r="A26" s="1588" t="s">
        <v>829</v>
      </c>
      <c r="B26" s="1588"/>
      <c r="C26" s="1588"/>
      <c r="D26" s="1588"/>
      <c r="E26" s="1588"/>
      <c r="F26" s="1588"/>
      <c r="G26" s="1588"/>
      <c r="H26" s="1588"/>
      <c r="I26" s="1588"/>
      <c r="J26" s="1588"/>
      <c r="K26" s="1588"/>
      <c r="L26" s="1588"/>
      <c r="M26" s="1588"/>
      <c r="N26" s="270" t="s">
        <v>830</v>
      </c>
      <c r="P26" s="290"/>
    </row>
    <row r="27" spans="1:22" ht="20.100000000000001" customHeight="1">
      <c r="A27" s="1589" t="s">
        <v>831</v>
      </c>
      <c r="B27" s="1589"/>
      <c r="C27" s="569" t="s">
        <v>832</v>
      </c>
      <c r="D27" s="569" t="s">
        <v>833</v>
      </c>
      <c r="E27" s="569" t="s">
        <v>834</v>
      </c>
      <c r="F27" s="569" t="s">
        <v>835</v>
      </c>
      <c r="G27" s="569" t="s">
        <v>836</v>
      </c>
      <c r="H27" s="569" t="s">
        <v>837</v>
      </c>
      <c r="I27" s="569" t="s">
        <v>838</v>
      </c>
      <c r="J27" s="291"/>
      <c r="K27" s="291"/>
      <c r="L27" s="291"/>
      <c r="M27" s="291"/>
      <c r="N27" s="1589" t="s">
        <v>839</v>
      </c>
      <c r="O27" s="1589"/>
      <c r="P27" s="569" t="s">
        <v>840</v>
      </c>
      <c r="Q27" s="569" t="s">
        <v>841</v>
      </c>
      <c r="R27" s="569" t="s">
        <v>842</v>
      </c>
      <c r="S27" s="569" t="s">
        <v>843</v>
      </c>
      <c r="T27" s="569" t="s">
        <v>99</v>
      </c>
      <c r="U27" s="569" t="s">
        <v>100</v>
      </c>
      <c r="V27" s="569" t="s">
        <v>213</v>
      </c>
    </row>
    <row r="28" spans="1:22" ht="20.100000000000001" customHeight="1">
      <c r="A28" s="1594" t="s">
        <v>844</v>
      </c>
      <c r="B28" s="1594"/>
      <c r="C28" s="295">
        <f t="shared" ref="C28" si="2">P28*0.5</f>
        <v>0.15</v>
      </c>
      <c r="D28" s="295">
        <f t="shared" ref="D28" si="3">Q28*0.5</f>
        <v>0.2</v>
      </c>
      <c r="E28" s="295">
        <f t="shared" ref="E28" si="4">R28*0.5</f>
        <v>0.55000000000000004</v>
      </c>
      <c r="F28" s="295">
        <f t="shared" ref="F28" si="5">S28*0.5</f>
        <v>0.3</v>
      </c>
      <c r="G28" s="295">
        <f t="shared" ref="G28" si="6">T28*0.5</f>
        <v>1.65</v>
      </c>
      <c r="H28" s="295">
        <f t="shared" ref="D28:H30" si="7">U28*0.5</f>
        <v>1.9</v>
      </c>
      <c r="I28" s="295" t="s">
        <v>845</v>
      </c>
      <c r="J28" s="292"/>
      <c r="K28" s="293"/>
      <c r="L28" s="293"/>
      <c r="M28" s="293"/>
      <c r="N28" s="1592" t="s">
        <v>846</v>
      </c>
      <c r="O28" s="1592"/>
      <c r="P28" s="294">
        <v>0.3</v>
      </c>
      <c r="Q28" s="294">
        <v>0.4</v>
      </c>
      <c r="R28" s="294">
        <v>1.1000000000000001</v>
      </c>
      <c r="S28" s="294">
        <v>0.6</v>
      </c>
      <c r="T28" s="294">
        <v>3.3</v>
      </c>
      <c r="U28" s="294">
        <v>3.8</v>
      </c>
      <c r="V28" s="294"/>
    </row>
    <row r="29" spans="1:22" ht="20.100000000000001" customHeight="1">
      <c r="A29" s="1593" t="s">
        <v>847</v>
      </c>
      <c r="B29" s="1593"/>
      <c r="C29" s="295">
        <f>P29*0.5</f>
        <v>0.8</v>
      </c>
      <c r="D29" s="295">
        <f t="shared" si="7"/>
        <v>1.2</v>
      </c>
      <c r="E29" s="295">
        <f t="shared" si="7"/>
        <v>3.05</v>
      </c>
      <c r="F29" s="295">
        <f t="shared" si="7"/>
        <v>2.95</v>
      </c>
      <c r="G29" s="295">
        <f t="shared" si="7"/>
        <v>10.4</v>
      </c>
      <c r="H29" s="295">
        <f t="shared" si="7"/>
        <v>11.9</v>
      </c>
      <c r="I29" s="295" t="s">
        <v>845</v>
      </c>
      <c r="J29" s="674"/>
      <c r="K29" s="293"/>
      <c r="L29" s="293"/>
      <c r="M29" s="293"/>
      <c r="N29" s="1592" t="s">
        <v>847</v>
      </c>
      <c r="O29" s="1592"/>
      <c r="P29" s="294">
        <v>1.6</v>
      </c>
      <c r="Q29" s="294">
        <v>2.4</v>
      </c>
      <c r="R29" s="294">
        <v>6.1</v>
      </c>
      <c r="S29" s="294">
        <v>5.9</v>
      </c>
      <c r="T29" s="294">
        <v>20.8</v>
      </c>
      <c r="U29" s="294">
        <v>23.8</v>
      </c>
      <c r="V29" s="294"/>
    </row>
    <row r="30" spans="1:22" ht="20.100000000000001" customHeight="1">
      <c r="A30" s="1593" t="s">
        <v>848</v>
      </c>
      <c r="B30" s="1593"/>
      <c r="C30" s="295">
        <f>P30*0.5</f>
        <v>2.5</v>
      </c>
      <c r="D30" s="295">
        <f t="shared" si="7"/>
        <v>3.45</v>
      </c>
      <c r="E30" s="295">
        <f t="shared" si="7"/>
        <v>7.55</v>
      </c>
      <c r="F30" s="295">
        <f t="shared" si="7"/>
        <v>9.6999999999999993</v>
      </c>
      <c r="G30" s="295">
        <f t="shared" si="7"/>
        <v>19.899999999999999</v>
      </c>
      <c r="H30" s="295">
        <f t="shared" si="7"/>
        <v>22.35</v>
      </c>
      <c r="I30" s="295" t="s">
        <v>849</v>
      </c>
      <c r="J30" s="292"/>
      <c r="K30" s="293"/>
      <c r="L30" s="293"/>
      <c r="M30" s="293"/>
      <c r="N30" s="1592" t="s">
        <v>850</v>
      </c>
      <c r="O30" s="1592"/>
      <c r="P30" s="294">
        <v>5</v>
      </c>
      <c r="Q30" s="294">
        <v>6.9</v>
      </c>
      <c r="R30" s="294">
        <v>15.1</v>
      </c>
      <c r="S30" s="294">
        <v>19.399999999999999</v>
      </c>
      <c r="T30" s="294">
        <v>39.799999999999997</v>
      </c>
      <c r="U30" s="294">
        <v>44.7</v>
      </c>
      <c r="V30" s="294"/>
    </row>
    <row r="31" spans="1:22" ht="20.100000000000001" customHeight="1">
      <c r="A31" s="1593" t="s">
        <v>851</v>
      </c>
      <c r="B31" s="1593"/>
      <c r="C31" s="295">
        <v>0</v>
      </c>
      <c r="D31" s="295">
        <v>0</v>
      </c>
      <c r="E31" s="295">
        <v>0</v>
      </c>
      <c r="F31" s="295">
        <v>0</v>
      </c>
      <c r="G31" s="295">
        <v>0</v>
      </c>
      <c r="H31" s="295">
        <v>0</v>
      </c>
      <c r="I31" s="295" t="s">
        <v>852</v>
      </c>
      <c r="J31" s="292"/>
      <c r="K31" s="293"/>
      <c r="L31" s="293"/>
      <c r="M31" s="293"/>
      <c r="N31" s="1592" t="s">
        <v>853</v>
      </c>
      <c r="O31" s="1592"/>
      <c r="P31" s="294">
        <v>1</v>
      </c>
      <c r="Q31" s="294">
        <v>1.4</v>
      </c>
      <c r="R31" s="294">
        <v>3.4</v>
      </c>
      <c r="S31" s="294">
        <v>2.8</v>
      </c>
      <c r="T31" s="294">
        <v>10.1</v>
      </c>
      <c r="U31" s="294">
        <v>11.5</v>
      </c>
      <c r="V31" s="294"/>
    </row>
    <row r="32" spans="1:22" ht="20.100000000000001" customHeight="1">
      <c r="A32" s="1593" t="s">
        <v>854</v>
      </c>
      <c r="B32" s="1593"/>
      <c r="C32" s="295">
        <v>0</v>
      </c>
      <c r="D32" s="295">
        <v>0</v>
      </c>
      <c r="E32" s="295">
        <v>0</v>
      </c>
      <c r="F32" s="295">
        <v>0</v>
      </c>
      <c r="G32" s="295">
        <v>0</v>
      </c>
      <c r="H32" s="295">
        <v>0</v>
      </c>
      <c r="I32" s="295" t="s">
        <v>855</v>
      </c>
      <c r="J32" s="292"/>
      <c r="K32" s="293"/>
      <c r="L32" s="293"/>
      <c r="M32" s="293"/>
      <c r="N32" s="1592" t="s">
        <v>854</v>
      </c>
      <c r="O32" s="1592"/>
      <c r="P32" s="294">
        <v>0.7</v>
      </c>
      <c r="Q32" s="294">
        <v>1.2</v>
      </c>
      <c r="R32" s="294">
        <v>5.0999999999999996</v>
      </c>
      <c r="S32" s="294">
        <v>5</v>
      </c>
      <c r="T32" s="294">
        <v>17.2</v>
      </c>
      <c r="U32" s="294">
        <v>29</v>
      </c>
      <c r="V32" s="294"/>
    </row>
    <row r="33" spans="1:22" ht="20.100000000000001" customHeight="1">
      <c r="A33" s="1593" t="s">
        <v>856</v>
      </c>
      <c r="B33" s="1593"/>
      <c r="C33" s="295">
        <f>P33*0.5</f>
        <v>0.55000000000000004</v>
      </c>
      <c r="D33" s="295">
        <f t="shared" ref="D33:D34" si="8">Q33*0.5</f>
        <v>1.1000000000000001</v>
      </c>
      <c r="E33" s="295">
        <f t="shared" ref="E33:E34" si="9">R33*0.5</f>
        <v>2.5</v>
      </c>
      <c r="F33" s="295">
        <f t="shared" ref="F33:F34" si="10">S33*0.5</f>
        <v>4.1500000000000004</v>
      </c>
      <c r="G33" s="295">
        <f t="shared" ref="G33:G34" si="11">T33*0.5</f>
        <v>4.1500000000000004</v>
      </c>
      <c r="H33" s="295">
        <f t="shared" ref="H33:H34" si="12">U33*0.5</f>
        <v>2.75</v>
      </c>
      <c r="I33" s="295" t="s">
        <v>845</v>
      </c>
      <c r="J33" s="292"/>
      <c r="K33" s="293"/>
      <c r="L33" s="293"/>
      <c r="M33" s="293"/>
      <c r="N33" s="1592" t="s">
        <v>857</v>
      </c>
      <c r="O33" s="1592"/>
      <c r="P33" s="294">
        <v>1.1000000000000001</v>
      </c>
      <c r="Q33" s="294">
        <v>2.2000000000000002</v>
      </c>
      <c r="R33" s="294">
        <v>5</v>
      </c>
      <c r="S33" s="294">
        <v>8.3000000000000007</v>
      </c>
      <c r="T33" s="294">
        <v>8.3000000000000007</v>
      </c>
      <c r="U33" s="294">
        <v>5.5</v>
      </c>
      <c r="V33" s="294"/>
    </row>
    <row r="34" spans="1:22" ht="20.100000000000001" customHeight="1">
      <c r="A34" s="1591" t="s">
        <v>858</v>
      </c>
      <c r="B34" s="1591"/>
      <c r="C34" s="675">
        <f>P34*0.5</f>
        <v>0.15</v>
      </c>
      <c r="D34" s="675">
        <f t="shared" si="8"/>
        <v>0.55000000000000004</v>
      </c>
      <c r="E34" s="675">
        <f t="shared" si="9"/>
        <v>1.25</v>
      </c>
      <c r="F34" s="675">
        <f t="shared" si="10"/>
        <v>2.75</v>
      </c>
      <c r="G34" s="675">
        <f t="shared" si="11"/>
        <v>5.5</v>
      </c>
      <c r="H34" s="675">
        <f t="shared" si="12"/>
        <v>6.9</v>
      </c>
      <c r="I34" s="675" t="s">
        <v>859</v>
      </c>
      <c r="J34" s="292"/>
      <c r="K34" s="293"/>
      <c r="L34" s="293"/>
      <c r="M34" s="293"/>
      <c r="N34" s="1592" t="s">
        <v>860</v>
      </c>
      <c r="O34" s="1592"/>
      <c r="P34" s="294">
        <v>0.3</v>
      </c>
      <c r="Q34" s="294">
        <v>1.1000000000000001</v>
      </c>
      <c r="R34" s="294">
        <v>2.5</v>
      </c>
      <c r="S34" s="294">
        <v>5.5</v>
      </c>
      <c r="T34" s="294">
        <v>11</v>
      </c>
      <c r="U34" s="294">
        <v>13.8</v>
      </c>
      <c r="V34" s="294"/>
    </row>
    <row r="35" spans="1:22" ht="24.95" customHeight="1">
      <c r="A35" s="402" t="s">
        <v>861</v>
      </c>
      <c r="B35" s="402"/>
      <c r="C35" s="296"/>
      <c r="D35" s="297"/>
      <c r="E35" s="296"/>
      <c r="F35" s="297"/>
      <c r="G35" s="296"/>
      <c r="H35" s="297"/>
      <c r="I35" s="296"/>
      <c r="J35" s="297"/>
      <c r="K35" s="296"/>
      <c r="L35" s="296"/>
      <c r="M35" s="296"/>
    </row>
    <row r="36" spans="1:22" ht="24.95" customHeight="1"/>
    <row r="37" spans="1:22" s="22" customFormat="1" ht="22.15" customHeight="1"/>
  </sheetData>
  <mergeCells count="21">
    <mergeCell ref="A1:L2"/>
    <mergeCell ref="A34:B34"/>
    <mergeCell ref="N34:O34"/>
    <mergeCell ref="A31:B31"/>
    <mergeCell ref="N31:O31"/>
    <mergeCell ref="A32:B32"/>
    <mergeCell ref="N32:O32"/>
    <mergeCell ref="A33:B33"/>
    <mergeCell ref="N33:O33"/>
    <mergeCell ref="A28:B28"/>
    <mergeCell ref="N28:O28"/>
    <mergeCell ref="A29:B29"/>
    <mergeCell ref="N29:O29"/>
    <mergeCell ref="A30:B30"/>
    <mergeCell ref="N30:O30"/>
    <mergeCell ref="A3:O3"/>
    <mergeCell ref="N11:N13"/>
    <mergeCell ref="N14:N21"/>
    <mergeCell ref="A26:M26"/>
    <mergeCell ref="A27:B27"/>
    <mergeCell ref="N27:O27"/>
  </mergeCells>
  <phoneticPr fontId="2" type="noConversion"/>
  <printOptions horizontalCentered="1"/>
  <pageMargins left="0.70866141732283472" right="0.70866141732283472" top="0.74803149606299213" bottom="0.74803149606299213" header="0.31496062992125984" footer="0.31496062992125984"/>
  <pageSetup paperSize="9" scale="90" orientation="landscape" r:id="rId1"/>
  <rowBreaks count="1" manualBreakCount="1">
    <brk id="24" max="11" man="1"/>
  </rowBreaks>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8"/>
  <sheetViews>
    <sheetView view="pageBreakPreview" zoomScale="85" zoomScaleSheetLayoutView="85" workbookViewId="0">
      <selection activeCell="M17" sqref="M17"/>
    </sheetView>
  </sheetViews>
  <sheetFormatPr defaultRowHeight="24.95" customHeight="1"/>
  <cols>
    <col min="1" max="1" width="14.375" style="22" customWidth="1"/>
    <col min="2" max="2" width="14.375" style="23" customWidth="1"/>
    <col min="3" max="9" width="12.125" style="22" customWidth="1"/>
    <col min="10" max="10" width="2" style="22" customWidth="1"/>
    <col min="11" max="15" width="9" style="22"/>
    <col min="16" max="16" width="4.625" style="22" customWidth="1"/>
    <col min="17" max="17" width="14.625" style="22" customWidth="1"/>
    <col min="18" max="18" width="12.5" style="22" customWidth="1"/>
    <col min="19" max="256" width="9" style="22"/>
    <col min="257" max="258" width="14.375" style="22" customWidth="1"/>
    <col min="259" max="265" width="12.125" style="22" customWidth="1"/>
    <col min="266" max="266" width="2" style="22" customWidth="1"/>
    <col min="267" max="512" width="9" style="22"/>
    <col min="513" max="514" width="14.375" style="22" customWidth="1"/>
    <col min="515" max="521" width="12.125" style="22" customWidth="1"/>
    <col min="522" max="522" width="2" style="22" customWidth="1"/>
    <col min="523" max="768" width="9" style="22"/>
    <col min="769" max="770" width="14.375" style="22" customWidth="1"/>
    <col min="771" max="777" width="12.125" style="22" customWidth="1"/>
    <col min="778" max="778" width="2" style="22" customWidth="1"/>
    <col min="779" max="1024" width="9" style="22"/>
    <col min="1025" max="1026" width="14.375" style="22" customWidth="1"/>
    <col min="1027" max="1033" width="12.125" style="22" customWidth="1"/>
    <col min="1034" max="1034" width="2" style="22" customWidth="1"/>
    <col min="1035" max="1280" width="9" style="22"/>
    <col min="1281" max="1282" width="14.375" style="22" customWidth="1"/>
    <col min="1283" max="1289" width="12.125" style="22" customWidth="1"/>
    <col min="1290" max="1290" width="2" style="22" customWidth="1"/>
    <col min="1291" max="1536" width="9" style="22"/>
    <col min="1537" max="1538" width="14.375" style="22" customWidth="1"/>
    <col min="1539" max="1545" width="12.125" style="22" customWidth="1"/>
    <col min="1546" max="1546" width="2" style="22" customWidth="1"/>
    <col min="1547" max="1792" width="9" style="22"/>
    <col min="1793" max="1794" width="14.375" style="22" customWidth="1"/>
    <col min="1795" max="1801" width="12.125" style="22" customWidth="1"/>
    <col min="1802" max="1802" width="2" style="22" customWidth="1"/>
    <col min="1803" max="2048" width="9" style="22"/>
    <col min="2049" max="2050" width="14.375" style="22" customWidth="1"/>
    <col min="2051" max="2057" width="12.125" style="22" customWidth="1"/>
    <col min="2058" max="2058" width="2" style="22" customWidth="1"/>
    <col min="2059" max="2304" width="9" style="22"/>
    <col min="2305" max="2306" width="14.375" style="22" customWidth="1"/>
    <col min="2307" max="2313" width="12.125" style="22" customWidth="1"/>
    <col min="2314" max="2314" width="2" style="22" customWidth="1"/>
    <col min="2315" max="2560" width="9" style="22"/>
    <col min="2561" max="2562" width="14.375" style="22" customWidth="1"/>
    <col min="2563" max="2569" width="12.125" style="22" customWidth="1"/>
    <col min="2570" max="2570" width="2" style="22" customWidth="1"/>
    <col min="2571" max="2816" width="9" style="22"/>
    <col min="2817" max="2818" width="14.375" style="22" customWidth="1"/>
    <col min="2819" max="2825" width="12.125" style="22" customWidth="1"/>
    <col min="2826" max="2826" width="2" style="22" customWidth="1"/>
    <col min="2827" max="3072" width="9" style="22"/>
    <col min="3073" max="3074" width="14.375" style="22" customWidth="1"/>
    <col min="3075" max="3081" width="12.125" style="22" customWidth="1"/>
    <col min="3082" max="3082" width="2" style="22" customWidth="1"/>
    <col min="3083" max="3328" width="9" style="22"/>
    <col min="3329" max="3330" width="14.375" style="22" customWidth="1"/>
    <col min="3331" max="3337" width="12.125" style="22" customWidth="1"/>
    <col min="3338" max="3338" width="2" style="22" customWidth="1"/>
    <col min="3339" max="3584" width="9" style="22"/>
    <col min="3585" max="3586" width="14.375" style="22" customWidth="1"/>
    <col min="3587" max="3593" width="12.125" style="22" customWidth="1"/>
    <col min="3594" max="3594" width="2" style="22" customWidth="1"/>
    <col min="3595" max="3840" width="9" style="22"/>
    <col min="3841" max="3842" width="14.375" style="22" customWidth="1"/>
    <col min="3843" max="3849" width="12.125" style="22" customWidth="1"/>
    <col min="3850" max="3850" width="2" style="22" customWidth="1"/>
    <col min="3851" max="4096" width="9" style="22"/>
    <col min="4097" max="4098" width="14.375" style="22" customWidth="1"/>
    <col min="4099" max="4105" width="12.125" style="22" customWidth="1"/>
    <col min="4106" max="4106" width="2" style="22" customWidth="1"/>
    <col min="4107" max="4352" width="9" style="22"/>
    <col min="4353" max="4354" width="14.375" style="22" customWidth="1"/>
    <col min="4355" max="4361" width="12.125" style="22" customWidth="1"/>
    <col min="4362" max="4362" width="2" style="22" customWidth="1"/>
    <col min="4363" max="4608" width="9" style="22"/>
    <col min="4609" max="4610" width="14.375" style="22" customWidth="1"/>
    <col min="4611" max="4617" width="12.125" style="22" customWidth="1"/>
    <col min="4618" max="4618" width="2" style="22" customWidth="1"/>
    <col min="4619" max="4864" width="9" style="22"/>
    <col min="4865" max="4866" width="14.375" style="22" customWidth="1"/>
    <col min="4867" max="4873" width="12.125" style="22" customWidth="1"/>
    <col min="4874" max="4874" width="2" style="22" customWidth="1"/>
    <col min="4875" max="5120" width="9" style="22"/>
    <col min="5121" max="5122" width="14.375" style="22" customWidth="1"/>
    <col min="5123" max="5129" width="12.125" style="22" customWidth="1"/>
    <col min="5130" max="5130" width="2" style="22" customWidth="1"/>
    <col min="5131" max="5376" width="9" style="22"/>
    <col min="5377" max="5378" width="14.375" style="22" customWidth="1"/>
    <col min="5379" max="5385" width="12.125" style="22" customWidth="1"/>
    <col min="5386" max="5386" width="2" style="22" customWidth="1"/>
    <col min="5387" max="5632" width="9" style="22"/>
    <col min="5633" max="5634" width="14.375" style="22" customWidth="1"/>
    <col min="5635" max="5641" width="12.125" style="22" customWidth="1"/>
    <col min="5642" max="5642" width="2" style="22" customWidth="1"/>
    <col min="5643" max="5888" width="9" style="22"/>
    <col min="5889" max="5890" width="14.375" style="22" customWidth="1"/>
    <col min="5891" max="5897" width="12.125" style="22" customWidth="1"/>
    <col min="5898" max="5898" width="2" style="22" customWidth="1"/>
    <col min="5899" max="6144" width="9" style="22"/>
    <col min="6145" max="6146" width="14.375" style="22" customWidth="1"/>
    <col min="6147" max="6153" width="12.125" style="22" customWidth="1"/>
    <col min="6154" max="6154" width="2" style="22" customWidth="1"/>
    <col min="6155" max="6400" width="9" style="22"/>
    <col min="6401" max="6402" width="14.375" style="22" customWidth="1"/>
    <col min="6403" max="6409" width="12.125" style="22" customWidth="1"/>
    <col min="6410" max="6410" width="2" style="22" customWidth="1"/>
    <col min="6411" max="6656" width="9" style="22"/>
    <col min="6657" max="6658" width="14.375" style="22" customWidth="1"/>
    <col min="6659" max="6665" width="12.125" style="22" customWidth="1"/>
    <col min="6666" max="6666" width="2" style="22" customWidth="1"/>
    <col min="6667" max="6912" width="9" style="22"/>
    <col min="6913" max="6914" width="14.375" style="22" customWidth="1"/>
    <col min="6915" max="6921" width="12.125" style="22" customWidth="1"/>
    <col min="6922" max="6922" width="2" style="22" customWidth="1"/>
    <col min="6923" max="7168" width="9" style="22"/>
    <col min="7169" max="7170" width="14.375" style="22" customWidth="1"/>
    <col min="7171" max="7177" width="12.125" style="22" customWidth="1"/>
    <col min="7178" max="7178" width="2" style="22" customWidth="1"/>
    <col min="7179" max="7424" width="9" style="22"/>
    <col min="7425" max="7426" width="14.375" style="22" customWidth="1"/>
    <col min="7427" max="7433" width="12.125" style="22" customWidth="1"/>
    <col min="7434" max="7434" width="2" style="22" customWidth="1"/>
    <col min="7435" max="7680" width="9" style="22"/>
    <col min="7681" max="7682" width="14.375" style="22" customWidth="1"/>
    <col min="7683" max="7689" width="12.125" style="22" customWidth="1"/>
    <col min="7690" max="7690" width="2" style="22" customWidth="1"/>
    <col min="7691" max="7936" width="9" style="22"/>
    <col min="7937" max="7938" width="14.375" style="22" customWidth="1"/>
    <col min="7939" max="7945" width="12.125" style="22" customWidth="1"/>
    <col min="7946" max="7946" width="2" style="22" customWidth="1"/>
    <col min="7947" max="8192" width="9" style="22"/>
    <col min="8193" max="8194" width="14.375" style="22" customWidth="1"/>
    <col min="8195" max="8201" width="12.125" style="22" customWidth="1"/>
    <col min="8202" max="8202" width="2" style="22" customWidth="1"/>
    <col min="8203" max="8448" width="9" style="22"/>
    <col min="8449" max="8450" width="14.375" style="22" customWidth="1"/>
    <col min="8451" max="8457" width="12.125" style="22" customWidth="1"/>
    <col min="8458" max="8458" width="2" style="22" customWidth="1"/>
    <col min="8459" max="8704" width="9" style="22"/>
    <col min="8705" max="8706" width="14.375" style="22" customWidth="1"/>
    <col min="8707" max="8713" width="12.125" style="22" customWidth="1"/>
    <col min="8714" max="8714" width="2" style="22" customWidth="1"/>
    <col min="8715" max="8960" width="9" style="22"/>
    <col min="8961" max="8962" width="14.375" style="22" customWidth="1"/>
    <col min="8963" max="8969" width="12.125" style="22" customWidth="1"/>
    <col min="8970" max="8970" width="2" style="22" customWidth="1"/>
    <col min="8971" max="9216" width="9" style="22"/>
    <col min="9217" max="9218" width="14.375" style="22" customWidth="1"/>
    <col min="9219" max="9225" width="12.125" style="22" customWidth="1"/>
    <col min="9226" max="9226" width="2" style="22" customWidth="1"/>
    <col min="9227" max="9472" width="9" style="22"/>
    <col min="9473" max="9474" width="14.375" style="22" customWidth="1"/>
    <col min="9475" max="9481" width="12.125" style="22" customWidth="1"/>
    <col min="9482" max="9482" width="2" style="22" customWidth="1"/>
    <col min="9483" max="9728" width="9" style="22"/>
    <col min="9729" max="9730" width="14.375" style="22" customWidth="1"/>
    <col min="9731" max="9737" width="12.125" style="22" customWidth="1"/>
    <col min="9738" max="9738" width="2" style="22" customWidth="1"/>
    <col min="9739" max="9984" width="9" style="22"/>
    <col min="9985" max="9986" width="14.375" style="22" customWidth="1"/>
    <col min="9987" max="9993" width="12.125" style="22" customWidth="1"/>
    <col min="9994" max="9994" width="2" style="22" customWidth="1"/>
    <col min="9995" max="10240" width="9" style="22"/>
    <col min="10241" max="10242" width="14.375" style="22" customWidth="1"/>
    <col min="10243" max="10249" width="12.125" style="22" customWidth="1"/>
    <col min="10250" max="10250" width="2" style="22" customWidth="1"/>
    <col min="10251" max="10496" width="9" style="22"/>
    <col min="10497" max="10498" width="14.375" style="22" customWidth="1"/>
    <col min="10499" max="10505" width="12.125" style="22" customWidth="1"/>
    <col min="10506" max="10506" width="2" style="22" customWidth="1"/>
    <col min="10507" max="10752" width="9" style="22"/>
    <col min="10753" max="10754" width="14.375" style="22" customWidth="1"/>
    <col min="10755" max="10761" width="12.125" style="22" customWidth="1"/>
    <col min="10762" max="10762" width="2" style="22" customWidth="1"/>
    <col min="10763" max="11008" width="9" style="22"/>
    <col min="11009" max="11010" width="14.375" style="22" customWidth="1"/>
    <col min="11011" max="11017" width="12.125" style="22" customWidth="1"/>
    <col min="11018" max="11018" width="2" style="22" customWidth="1"/>
    <col min="11019" max="11264" width="9" style="22"/>
    <col min="11265" max="11266" width="14.375" style="22" customWidth="1"/>
    <col min="11267" max="11273" width="12.125" style="22" customWidth="1"/>
    <col min="11274" max="11274" width="2" style="22" customWidth="1"/>
    <col min="11275" max="11520" width="9" style="22"/>
    <col min="11521" max="11522" width="14.375" style="22" customWidth="1"/>
    <col min="11523" max="11529" width="12.125" style="22" customWidth="1"/>
    <col min="11530" max="11530" width="2" style="22" customWidth="1"/>
    <col min="11531" max="11776" width="9" style="22"/>
    <col min="11777" max="11778" width="14.375" style="22" customWidth="1"/>
    <col min="11779" max="11785" width="12.125" style="22" customWidth="1"/>
    <col min="11786" max="11786" width="2" style="22" customWidth="1"/>
    <col min="11787" max="12032" width="9" style="22"/>
    <col min="12033" max="12034" width="14.375" style="22" customWidth="1"/>
    <col min="12035" max="12041" width="12.125" style="22" customWidth="1"/>
    <col min="12042" max="12042" width="2" style="22" customWidth="1"/>
    <col min="12043" max="12288" width="9" style="22"/>
    <col min="12289" max="12290" width="14.375" style="22" customWidth="1"/>
    <col min="12291" max="12297" width="12.125" style="22" customWidth="1"/>
    <col min="12298" max="12298" width="2" style="22" customWidth="1"/>
    <col min="12299" max="12544" width="9" style="22"/>
    <col min="12545" max="12546" width="14.375" style="22" customWidth="1"/>
    <col min="12547" max="12553" width="12.125" style="22" customWidth="1"/>
    <col min="12554" max="12554" width="2" style="22" customWidth="1"/>
    <col min="12555" max="12800" width="9" style="22"/>
    <col min="12801" max="12802" width="14.375" style="22" customWidth="1"/>
    <col min="12803" max="12809" width="12.125" style="22" customWidth="1"/>
    <col min="12810" max="12810" width="2" style="22" customWidth="1"/>
    <col min="12811" max="13056" width="9" style="22"/>
    <col min="13057" max="13058" width="14.375" style="22" customWidth="1"/>
    <col min="13059" max="13065" width="12.125" style="22" customWidth="1"/>
    <col min="13066" max="13066" width="2" style="22" customWidth="1"/>
    <col min="13067" max="13312" width="9" style="22"/>
    <col min="13313" max="13314" width="14.375" style="22" customWidth="1"/>
    <col min="13315" max="13321" width="12.125" style="22" customWidth="1"/>
    <col min="13322" max="13322" width="2" style="22" customWidth="1"/>
    <col min="13323" max="13568" width="9" style="22"/>
    <col min="13569" max="13570" width="14.375" style="22" customWidth="1"/>
    <col min="13571" max="13577" width="12.125" style="22" customWidth="1"/>
    <col min="13578" max="13578" width="2" style="22" customWidth="1"/>
    <col min="13579" max="13824" width="9" style="22"/>
    <col min="13825" max="13826" width="14.375" style="22" customWidth="1"/>
    <col min="13827" max="13833" width="12.125" style="22" customWidth="1"/>
    <col min="13834" max="13834" width="2" style="22" customWidth="1"/>
    <col min="13835" max="14080" width="9" style="22"/>
    <col min="14081" max="14082" width="14.375" style="22" customWidth="1"/>
    <col min="14083" max="14089" width="12.125" style="22" customWidth="1"/>
    <col min="14090" max="14090" width="2" style="22" customWidth="1"/>
    <col min="14091" max="14336" width="9" style="22"/>
    <col min="14337" max="14338" width="14.375" style="22" customWidth="1"/>
    <col min="14339" max="14345" width="12.125" style="22" customWidth="1"/>
    <col min="14346" max="14346" width="2" style="22" customWidth="1"/>
    <col min="14347" max="14592" width="9" style="22"/>
    <col min="14593" max="14594" width="14.375" style="22" customWidth="1"/>
    <col min="14595" max="14601" width="12.125" style="22" customWidth="1"/>
    <col min="14602" max="14602" width="2" style="22" customWidth="1"/>
    <col min="14603" max="14848" width="9" style="22"/>
    <col min="14849" max="14850" width="14.375" style="22" customWidth="1"/>
    <col min="14851" max="14857" width="12.125" style="22" customWidth="1"/>
    <col min="14858" max="14858" width="2" style="22" customWidth="1"/>
    <col min="14859" max="15104" width="9" style="22"/>
    <col min="15105" max="15106" width="14.375" style="22" customWidth="1"/>
    <col min="15107" max="15113" width="12.125" style="22" customWidth="1"/>
    <col min="15114" max="15114" width="2" style="22" customWidth="1"/>
    <col min="15115" max="15360" width="9" style="22"/>
    <col min="15361" max="15362" width="14.375" style="22" customWidth="1"/>
    <col min="15363" max="15369" width="12.125" style="22" customWidth="1"/>
    <col min="15370" max="15370" width="2" style="22" customWidth="1"/>
    <col min="15371" max="15616" width="9" style="22"/>
    <col min="15617" max="15618" width="14.375" style="22" customWidth="1"/>
    <col min="15619" max="15625" width="12.125" style="22" customWidth="1"/>
    <col min="15626" max="15626" width="2" style="22" customWidth="1"/>
    <col min="15627" max="15872" width="9" style="22"/>
    <col min="15873" max="15874" width="14.375" style="22" customWidth="1"/>
    <col min="15875" max="15881" width="12.125" style="22" customWidth="1"/>
    <col min="15882" max="15882" width="2" style="22" customWidth="1"/>
    <col min="15883" max="16128" width="9" style="22"/>
    <col min="16129" max="16130" width="14.375" style="22" customWidth="1"/>
    <col min="16131" max="16137" width="12.125" style="22" customWidth="1"/>
    <col min="16138" max="16138" width="2" style="22" customWidth="1"/>
    <col min="16139" max="16384" width="9" style="22"/>
  </cols>
  <sheetData>
    <row r="1" spans="1:11" s="300" customFormat="1" ht="24.95" customHeight="1">
      <c r="A1" s="570" t="s">
        <v>862</v>
      </c>
      <c r="B1" s="298"/>
      <c r="C1" s="299"/>
      <c r="D1" s="298"/>
      <c r="E1" s="298"/>
      <c r="F1" s="298"/>
      <c r="G1" s="298"/>
      <c r="K1" s="300">
        <f>+용역비총괄표!O9</f>
        <v>0.95469700000000002</v>
      </c>
    </row>
    <row r="2" spans="1:11" ht="24.95" customHeight="1">
      <c r="A2" s="267"/>
      <c r="B2" s="267"/>
      <c r="C2" s="267"/>
      <c r="D2" s="267"/>
      <c r="E2" s="267"/>
      <c r="F2" s="267"/>
      <c r="I2" s="301" t="s">
        <v>668</v>
      </c>
    </row>
    <row r="3" spans="1:11" ht="24.95" customHeight="1">
      <c r="A3" s="302" t="s">
        <v>863</v>
      </c>
      <c r="B3" s="303"/>
      <c r="C3" s="303"/>
      <c r="D3" s="392"/>
      <c r="E3" s="304" t="s">
        <v>670</v>
      </c>
      <c r="F3" s="304" t="s">
        <v>671</v>
      </c>
      <c r="G3" s="304" t="s">
        <v>864</v>
      </c>
      <c r="H3" s="1596">
        <f>SUM(H4:H6)</f>
        <v>1638522.5936750001</v>
      </c>
      <c r="I3" s="1597"/>
      <c r="J3" s="305"/>
    </row>
    <row r="4" spans="1:11" ht="24.95" customHeight="1">
      <c r="A4" s="306" t="s">
        <v>673</v>
      </c>
      <c r="B4" s="307"/>
      <c r="C4" s="307"/>
      <c r="E4" s="282">
        <v>100</v>
      </c>
      <c r="F4" s="282">
        <v>200</v>
      </c>
      <c r="G4" s="282">
        <f>((C28-H24)+((E4-50)/10*D28))*K1</f>
        <v>7432.3161449999998</v>
      </c>
      <c r="H4" s="1598">
        <f>F4*G4</f>
        <v>1486463.2290000001</v>
      </c>
      <c r="I4" s="1599"/>
      <c r="J4" s="305"/>
    </row>
    <row r="5" spans="1:11" ht="24.95" customHeight="1">
      <c r="A5" s="308" t="s">
        <v>865</v>
      </c>
      <c r="B5" s="309"/>
      <c r="C5" s="309"/>
      <c r="D5" s="393"/>
      <c r="E5" s="285">
        <v>100</v>
      </c>
      <c r="F5" s="285">
        <v>1</v>
      </c>
      <c r="G5" s="285">
        <f>((C25+(E5-50)/10*D25)*5)*K1</f>
        <v>77736.203225000005</v>
      </c>
      <c r="H5" s="1600">
        <f t="shared" ref="H5:H6" si="0">F5*G5</f>
        <v>77736.203225000005</v>
      </c>
      <c r="I5" s="1601"/>
    </row>
    <row r="6" spans="1:11" ht="24.95" customHeight="1">
      <c r="A6" s="310" t="s">
        <v>719</v>
      </c>
      <c r="B6" s="311"/>
      <c r="C6" s="311"/>
      <c r="E6" s="287">
        <v>100</v>
      </c>
      <c r="F6" s="287">
        <v>10</v>
      </c>
      <c r="G6" s="287">
        <f>((C28-H24)+((E6-50)/10*D28))*K1</f>
        <v>7432.3161449999998</v>
      </c>
      <c r="H6" s="1602">
        <f t="shared" si="0"/>
        <v>74323.16145</v>
      </c>
      <c r="I6" s="1603"/>
    </row>
    <row r="7" spans="1:11" ht="24.95" customHeight="1">
      <c r="A7" s="312"/>
      <c r="B7" s="313"/>
      <c r="C7" s="313"/>
      <c r="D7" s="313"/>
      <c r="E7" s="313"/>
      <c r="F7" s="313"/>
      <c r="G7" s="313"/>
      <c r="H7" s="1604"/>
      <c r="I7" s="1604"/>
    </row>
    <row r="8" spans="1:11" ht="24.95" customHeight="1">
      <c r="A8" s="572" t="s">
        <v>866</v>
      </c>
      <c r="B8" s="314"/>
      <c r="C8" s="314"/>
      <c r="D8" s="314"/>
      <c r="E8" s="314"/>
      <c r="F8" s="314"/>
      <c r="G8" s="314"/>
      <c r="H8" s="315"/>
      <c r="I8" s="316">
        <f>I13</f>
        <v>1275475.1920000003</v>
      </c>
    </row>
    <row r="9" spans="1:11" ht="24.95" customHeight="1">
      <c r="A9" s="302" t="s">
        <v>867</v>
      </c>
      <c r="B9" s="303"/>
      <c r="C9" s="303"/>
      <c r="D9" s="303"/>
      <c r="E9" s="303"/>
      <c r="F9" s="303"/>
      <c r="G9" s="317"/>
      <c r="H9" s="317"/>
      <c r="I9" s="571"/>
    </row>
    <row r="10" spans="1:11" ht="24.95" customHeight="1">
      <c r="A10" s="318" t="s">
        <v>868</v>
      </c>
      <c r="B10" s="319"/>
      <c r="C10" s="319"/>
      <c r="D10" s="319"/>
      <c r="E10" s="319"/>
      <c r="F10" s="319"/>
      <c r="G10" s="319"/>
      <c r="H10" s="319"/>
      <c r="I10" s="320"/>
    </row>
    <row r="11" spans="1:11" ht="24.95" customHeight="1">
      <c r="A11" s="321" t="s">
        <v>1261</v>
      </c>
      <c r="B11" s="322"/>
      <c r="C11" s="676">
        <v>23700</v>
      </c>
      <c r="D11" s="323" t="s">
        <v>869</v>
      </c>
      <c r="E11" s="323"/>
      <c r="F11" s="323"/>
      <c r="G11" s="323"/>
      <c r="H11" s="324"/>
      <c r="I11" s="325"/>
    </row>
    <row r="12" spans="1:11" ht="24.95" customHeight="1">
      <c r="A12" s="302" t="s">
        <v>870</v>
      </c>
      <c r="B12" s="303"/>
      <c r="C12" s="303"/>
      <c r="D12" s="303"/>
      <c r="E12" s="303"/>
      <c r="F12" s="303"/>
      <c r="G12" s="326"/>
      <c r="H12" s="327"/>
      <c r="I12" s="328"/>
    </row>
    <row r="13" spans="1:11" ht="24.95" customHeight="1">
      <c r="A13" s="1322" t="s">
        <v>871</v>
      </c>
      <c r="B13" s="1323"/>
      <c r="C13" s="1324"/>
      <c r="D13" s="1325" t="s">
        <v>872</v>
      </c>
      <c r="E13" s="1325" t="s">
        <v>873</v>
      </c>
      <c r="F13" s="1325" t="s">
        <v>874</v>
      </c>
      <c r="G13" s="1326" t="s">
        <v>1</v>
      </c>
      <c r="H13" s="1326" t="s">
        <v>875</v>
      </c>
      <c r="I13" s="1327">
        <f>SUM(I14:I16)</f>
        <v>1275475.1920000003</v>
      </c>
    </row>
    <row r="14" spans="1:11" ht="24.95" customHeight="1">
      <c r="A14" s="1328" t="s">
        <v>876</v>
      </c>
      <c r="B14" s="1329"/>
      <c r="C14" s="1329"/>
      <c r="D14" s="1330">
        <v>20000</v>
      </c>
      <c r="E14" s="1330">
        <v>25000</v>
      </c>
      <c r="F14" s="1330">
        <f>C11*2</f>
        <v>47400</v>
      </c>
      <c r="G14" s="1331">
        <f>(SUM(D14:F14))*$K$1</f>
        <v>88214.002800000002</v>
      </c>
      <c r="H14" s="1331">
        <v>5</v>
      </c>
      <c r="I14" s="1332">
        <f>+G14*H14</f>
        <v>441070.01400000002</v>
      </c>
    </row>
    <row r="15" spans="1:11" ht="24.95" customHeight="1">
      <c r="A15" s="329" t="s">
        <v>877</v>
      </c>
      <c r="B15" s="330"/>
      <c r="C15" s="330"/>
      <c r="D15" s="331">
        <v>20000</v>
      </c>
      <c r="E15" s="331">
        <v>20000</v>
      </c>
      <c r="F15" s="331">
        <f>C11*2</f>
        <v>47400</v>
      </c>
      <c r="G15" s="332">
        <f>(SUM(D15:F15))*$K$1</f>
        <v>83440.517800000001</v>
      </c>
      <c r="H15" s="332">
        <v>5</v>
      </c>
      <c r="I15" s="1333">
        <f>+G15*H15</f>
        <v>417202.58900000004</v>
      </c>
    </row>
    <row r="16" spans="1:11" ht="24.95" customHeight="1">
      <c r="A16" s="333" t="s">
        <v>878</v>
      </c>
      <c r="B16" s="334"/>
      <c r="C16" s="334"/>
      <c r="D16" s="335">
        <v>20000</v>
      </c>
      <c r="E16" s="335">
        <v>20000</v>
      </c>
      <c r="F16" s="335">
        <f>C11*2</f>
        <v>47400</v>
      </c>
      <c r="G16" s="336">
        <f>(SUM(D16:F16))*$K$1</f>
        <v>83440.517800000001</v>
      </c>
      <c r="H16" s="336">
        <v>5</v>
      </c>
      <c r="I16" s="1334">
        <f>+G16*H16</f>
        <v>417202.58900000004</v>
      </c>
    </row>
    <row r="19" spans="1:20" s="337" customFormat="1" ht="24.95" customHeight="1"/>
    <row r="20" spans="1:20" ht="24.95" customHeight="1">
      <c r="A20" s="22" t="s">
        <v>879</v>
      </c>
      <c r="B20" s="22"/>
      <c r="F20" s="22" t="s">
        <v>880</v>
      </c>
      <c r="H20" s="324"/>
    </row>
    <row r="21" spans="1:20" ht="24.95" customHeight="1">
      <c r="A21" s="22" t="s">
        <v>881</v>
      </c>
      <c r="B21" s="22"/>
      <c r="D21" s="301" t="s">
        <v>882</v>
      </c>
      <c r="H21" s="324"/>
      <c r="P21" s="18"/>
      <c r="Q21" s="11"/>
      <c r="R21" s="11"/>
      <c r="S21" s="11"/>
      <c r="T21" s="11"/>
    </row>
    <row r="22" spans="1:20" ht="24.95" customHeight="1">
      <c r="A22" s="561" t="s">
        <v>883</v>
      </c>
      <c r="B22" s="561" t="s">
        <v>884</v>
      </c>
      <c r="C22" s="561" t="s">
        <v>885</v>
      </c>
      <c r="D22" s="561" t="s">
        <v>886</v>
      </c>
      <c r="E22" s="338"/>
      <c r="F22" s="304" t="s">
        <v>700</v>
      </c>
      <c r="G22" s="339" t="s">
        <v>887</v>
      </c>
      <c r="H22" s="339" t="s">
        <v>888</v>
      </c>
      <c r="I22" s="339" t="s">
        <v>889</v>
      </c>
      <c r="J22" s="338"/>
      <c r="K22" s="338"/>
      <c r="P22" s="10"/>
      <c r="Q22" s="18" t="s">
        <v>928</v>
      </c>
      <c r="R22" s="17"/>
      <c r="S22" s="11"/>
      <c r="T22" s="11"/>
    </row>
    <row r="23" spans="1:20" ht="24.95" customHeight="1">
      <c r="A23" s="1557" t="s">
        <v>890</v>
      </c>
      <c r="B23" s="561" t="s">
        <v>891</v>
      </c>
      <c r="C23" s="119">
        <v>15080</v>
      </c>
      <c r="D23" s="119">
        <v>132</v>
      </c>
      <c r="F23" s="304" t="s">
        <v>890</v>
      </c>
      <c r="G23" s="340">
        <v>8560</v>
      </c>
      <c r="H23" s="340">
        <v>6690</v>
      </c>
      <c r="I23" s="340">
        <v>4420</v>
      </c>
      <c r="P23" s="10"/>
      <c r="Q23" s="128" t="s">
        <v>610</v>
      </c>
      <c r="R23" s="128" t="s">
        <v>611</v>
      </c>
      <c r="S23" s="11" t="s">
        <v>612</v>
      </c>
      <c r="T23" s="11"/>
    </row>
    <row r="24" spans="1:20" ht="24.95" customHeight="1">
      <c r="A24" s="1557"/>
      <c r="B24" s="561" t="s">
        <v>892</v>
      </c>
      <c r="C24" s="119">
        <v>15270</v>
      </c>
      <c r="D24" s="119">
        <v>157</v>
      </c>
      <c r="F24" s="304" t="s">
        <v>893</v>
      </c>
      <c r="G24" s="340">
        <v>6780</v>
      </c>
      <c r="H24" s="340">
        <v>5150</v>
      </c>
      <c r="I24" s="340">
        <v>3500</v>
      </c>
      <c r="P24" s="16"/>
      <c r="Q24" s="129" t="s">
        <v>615</v>
      </c>
      <c r="R24" s="130">
        <f>+'3-2.산출근거'!I20</f>
        <v>325327.32320500002</v>
      </c>
      <c r="S24" s="127"/>
      <c r="T24" s="124"/>
    </row>
    <row r="25" spans="1:20" ht="24.95" customHeight="1">
      <c r="A25" s="1557"/>
      <c r="B25" s="561" t="s">
        <v>894</v>
      </c>
      <c r="C25" s="119">
        <v>15370</v>
      </c>
      <c r="D25" s="119">
        <v>183</v>
      </c>
      <c r="F25" s="304" t="s">
        <v>895</v>
      </c>
      <c r="G25" s="340">
        <v>4620</v>
      </c>
      <c r="H25" s="340">
        <v>3470</v>
      </c>
      <c r="I25" s="340">
        <v>2380</v>
      </c>
      <c r="P25" s="16"/>
      <c r="Q25" s="129" t="s">
        <v>617</v>
      </c>
      <c r="R25" s="130">
        <f>+'3-2.산출근거'!I21</f>
        <v>238578.78030000001</v>
      </c>
      <c r="S25" s="127"/>
      <c r="T25" s="124"/>
    </row>
    <row r="26" spans="1:20" ht="24.95" customHeight="1">
      <c r="A26" s="1557" t="s">
        <v>893</v>
      </c>
      <c r="B26" s="561" t="s">
        <v>891</v>
      </c>
      <c r="C26" s="119">
        <v>11960</v>
      </c>
      <c r="D26" s="119">
        <v>122</v>
      </c>
      <c r="F26" s="304" t="s">
        <v>896</v>
      </c>
      <c r="G26" s="340">
        <v>2950</v>
      </c>
      <c r="H26" s="340">
        <v>2320</v>
      </c>
      <c r="I26" s="340">
        <v>1530</v>
      </c>
      <c r="P26" s="16"/>
      <c r="Q26" s="129" t="s">
        <v>620</v>
      </c>
      <c r="R26" s="130">
        <f>+'3-2.산출근거'!I22</f>
        <v>199505.89618100002</v>
      </c>
      <c r="S26" s="127"/>
      <c r="T26" s="124"/>
    </row>
    <row r="27" spans="1:20" ht="24.95" customHeight="1">
      <c r="A27" s="1557"/>
      <c r="B27" s="561" t="s">
        <v>892</v>
      </c>
      <c r="C27" s="119">
        <v>12040</v>
      </c>
      <c r="D27" s="119">
        <v>140</v>
      </c>
      <c r="F27" s="304" t="s">
        <v>897</v>
      </c>
      <c r="G27" s="340">
        <v>2390</v>
      </c>
      <c r="H27" s="340">
        <v>1500</v>
      </c>
      <c r="I27" s="340">
        <v>1240</v>
      </c>
      <c r="P27" s="16"/>
      <c r="Q27" s="129" t="s">
        <v>622</v>
      </c>
      <c r="R27" s="130">
        <f>+'3-2.산출근거'!I23</f>
        <v>173018.78261300002</v>
      </c>
      <c r="S27" s="127"/>
      <c r="T27" s="124"/>
    </row>
    <row r="28" spans="1:20" ht="24.95" customHeight="1">
      <c r="A28" s="1557"/>
      <c r="B28" s="561" t="s">
        <v>894</v>
      </c>
      <c r="C28" s="119">
        <v>12150</v>
      </c>
      <c r="D28" s="119">
        <v>157</v>
      </c>
      <c r="F28" s="22" t="s">
        <v>898</v>
      </c>
      <c r="H28" s="324"/>
      <c r="P28" s="16"/>
      <c r="Q28" s="129" t="s">
        <v>624</v>
      </c>
      <c r="R28" s="130">
        <f>+'3-2.산출근거'!I24</f>
        <v>134480.52881399999</v>
      </c>
      <c r="S28" s="127"/>
      <c r="T28" s="124"/>
    </row>
    <row r="29" spans="1:20" ht="24.95" customHeight="1">
      <c r="A29" s="1557" t="s">
        <v>895</v>
      </c>
      <c r="B29" s="561" t="s">
        <v>891</v>
      </c>
      <c r="C29" s="119">
        <v>8070</v>
      </c>
      <c r="D29" s="119">
        <v>81</v>
      </c>
      <c r="F29" s="22" t="s">
        <v>899</v>
      </c>
      <c r="H29" s="324"/>
      <c r="P29" s="16"/>
      <c r="Q29" s="129" t="s">
        <v>626</v>
      </c>
      <c r="R29" s="130">
        <f>+'3-2.산출근거'!I25</f>
        <v>155643.29721300001</v>
      </c>
      <c r="S29" s="127"/>
      <c r="T29" s="124"/>
    </row>
    <row r="30" spans="1:20" ht="24.95" customHeight="1">
      <c r="A30" s="1557"/>
      <c r="B30" s="561" t="s">
        <v>892</v>
      </c>
      <c r="C30" s="119">
        <v>8120</v>
      </c>
      <c r="D30" s="119">
        <v>91</v>
      </c>
      <c r="F30" s="22" t="s">
        <v>900</v>
      </c>
      <c r="H30" s="324"/>
      <c r="P30" s="16"/>
      <c r="Q30" s="129" t="s">
        <v>581</v>
      </c>
      <c r="R30" s="130">
        <f>+'3-2.산출근거'!I26</f>
        <v>135345.48429600001</v>
      </c>
      <c r="S30" s="127"/>
      <c r="T30" s="124"/>
    </row>
    <row r="31" spans="1:20" ht="24.95" customHeight="1">
      <c r="A31" s="1557"/>
      <c r="B31" s="561" t="s">
        <v>894</v>
      </c>
      <c r="C31" s="119">
        <v>8180</v>
      </c>
      <c r="D31" s="119">
        <v>101</v>
      </c>
      <c r="H31" s="324"/>
      <c r="P31" s="16"/>
      <c r="Q31" s="129" t="s">
        <v>629</v>
      </c>
      <c r="R31" s="130">
        <f>+'3-2.산출근거'!I27</f>
        <v>117469.737668</v>
      </c>
      <c r="S31" s="127"/>
      <c r="T31" s="124"/>
    </row>
    <row r="32" spans="1:20" ht="24.95" customHeight="1">
      <c r="A32" s="1557" t="s">
        <v>896</v>
      </c>
      <c r="B32" s="561" t="s">
        <v>891</v>
      </c>
      <c r="C32" s="119">
        <v>5510</v>
      </c>
      <c r="D32" s="119">
        <v>72</v>
      </c>
      <c r="H32" s="324"/>
    </row>
    <row r="33" spans="1:8" ht="24.95" customHeight="1">
      <c r="A33" s="1557"/>
      <c r="B33" s="561" t="s">
        <v>892</v>
      </c>
      <c r="C33" s="119">
        <v>5540</v>
      </c>
      <c r="D33" s="119">
        <v>74</v>
      </c>
      <c r="H33" s="324"/>
    </row>
    <row r="34" spans="1:8" ht="24.95" customHeight="1">
      <c r="A34" s="1557"/>
      <c r="B34" s="561" t="s">
        <v>894</v>
      </c>
      <c r="C34" s="119">
        <v>5580</v>
      </c>
      <c r="D34" s="119">
        <v>80</v>
      </c>
      <c r="H34" s="324"/>
    </row>
    <row r="35" spans="1:8" ht="24.95" customHeight="1">
      <c r="A35" s="1557" t="s">
        <v>897</v>
      </c>
      <c r="B35" s="561" t="s">
        <v>891</v>
      </c>
      <c r="C35" s="119">
        <v>4150</v>
      </c>
      <c r="D35" s="119">
        <v>47</v>
      </c>
      <c r="H35" s="324"/>
    </row>
    <row r="36" spans="1:8" ht="24.95" customHeight="1">
      <c r="A36" s="1557"/>
      <c r="B36" s="561" t="s">
        <v>892</v>
      </c>
      <c r="C36" s="119">
        <v>4160</v>
      </c>
      <c r="D36" s="119">
        <v>50</v>
      </c>
      <c r="H36" s="324"/>
    </row>
    <row r="37" spans="1:8" ht="24.95" customHeight="1">
      <c r="A37" s="1557"/>
      <c r="B37" s="561" t="s">
        <v>894</v>
      </c>
      <c r="C37" s="119">
        <v>4190</v>
      </c>
      <c r="D37" s="119">
        <v>55</v>
      </c>
      <c r="H37" s="324"/>
    </row>
    <row r="38" spans="1:8" ht="24.95" customHeight="1">
      <c r="B38" s="22"/>
      <c r="H38" s="324"/>
    </row>
  </sheetData>
  <mergeCells count="10">
    <mergeCell ref="A32:A34"/>
    <mergeCell ref="A35:A37"/>
    <mergeCell ref="A23:A25"/>
    <mergeCell ref="A26:A28"/>
    <mergeCell ref="A29:A31"/>
    <mergeCell ref="H3:I3"/>
    <mergeCell ref="H4:I4"/>
    <mergeCell ref="H5:I5"/>
    <mergeCell ref="H6:I6"/>
    <mergeCell ref="H7:I7"/>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rowBreaks count="1" manualBreakCount="1">
    <brk id="19" max="16383" man="1"/>
  </rowBreak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45"/>
  <sheetViews>
    <sheetView view="pageBreakPreview" zoomScaleNormal="70" zoomScaleSheetLayoutView="100" workbookViewId="0">
      <selection activeCell="I8" sqref="I8:K8"/>
    </sheetView>
  </sheetViews>
  <sheetFormatPr defaultRowHeight="16.5"/>
  <cols>
    <col min="1" max="2" width="1.875" style="698" customWidth="1"/>
    <col min="3" max="3" width="19.375" style="698" customWidth="1"/>
    <col min="4" max="6" width="6.375" style="698" customWidth="1"/>
    <col min="7" max="7" width="12.25" style="698" customWidth="1"/>
    <col min="8" max="8" width="15.625" style="698" customWidth="1"/>
    <col min="9" max="9" width="8.875" style="698" customWidth="1"/>
    <col min="10" max="16384" width="9" style="698"/>
  </cols>
  <sheetData>
    <row r="1" spans="1:9" ht="46.5" customHeight="1">
      <c r="A1" s="1611" t="s">
        <v>1028</v>
      </c>
      <c r="B1" s="1612"/>
      <c r="C1" s="1612"/>
      <c r="D1" s="1612"/>
      <c r="E1" s="1612"/>
      <c r="F1" s="1612"/>
      <c r="G1" s="1612"/>
      <c r="H1" s="1612"/>
      <c r="I1" s="1612"/>
    </row>
    <row r="3" spans="1:9">
      <c r="A3" s="524"/>
      <c r="B3" s="524"/>
      <c r="C3" s="524"/>
      <c r="D3" s="524"/>
      <c r="E3" s="524"/>
      <c r="F3" s="524"/>
      <c r="G3" s="524"/>
      <c r="H3" s="524"/>
      <c r="I3" s="524"/>
    </row>
    <row r="4" spans="1:9" ht="22.5" customHeight="1" thickBot="1">
      <c r="A4" s="1613" t="s">
        <v>469</v>
      </c>
      <c r="B4" s="1614"/>
      <c r="C4" s="1614"/>
      <c r="D4" s="1021" t="s">
        <v>164</v>
      </c>
      <c r="E4" s="1021" t="s">
        <v>5</v>
      </c>
      <c r="F4" s="1021" t="s">
        <v>4</v>
      </c>
      <c r="G4" s="1021" t="s">
        <v>89</v>
      </c>
      <c r="H4" s="1021" t="s">
        <v>90</v>
      </c>
      <c r="I4" s="1021" t="s">
        <v>2</v>
      </c>
    </row>
    <row r="5" spans="1:9" s="1007" customFormat="1" ht="22.5" customHeight="1" thickTop="1">
      <c r="A5" s="1615" t="s">
        <v>1232</v>
      </c>
      <c r="B5" s="1615"/>
      <c r="C5" s="1615"/>
      <c r="D5" s="1020"/>
      <c r="E5" s="1008"/>
      <c r="F5" s="1020"/>
      <c r="G5" s="1020"/>
      <c r="H5" s="1016">
        <f>SUM(H6,H12,H17,H18)</f>
        <v>353685454.13707495</v>
      </c>
      <c r="I5" s="1020"/>
    </row>
    <row r="6" spans="1:9" ht="22.5" customHeight="1">
      <c r="A6" s="757"/>
      <c r="B6" s="1616" t="s">
        <v>470</v>
      </c>
      <c r="C6" s="1616"/>
      <c r="D6" s="758"/>
      <c r="E6" s="759"/>
      <c r="F6" s="758"/>
      <c r="G6" s="758"/>
      <c r="H6" s="760">
        <f>SUM(H7:H11)</f>
        <v>136518254.80772492</v>
      </c>
      <c r="I6" s="758"/>
    </row>
    <row r="7" spans="1:9" ht="22.5" customHeight="1">
      <c r="A7" s="761"/>
      <c r="B7" s="757"/>
      <c r="C7" s="758" t="s">
        <v>459</v>
      </c>
      <c r="D7" s="758"/>
      <c r="E7" s="759" t="s">
        <v>167</v>
      </c>
      <c r="F7" s="758"/>
      <c r="G7" s="758"/>
      <c r="H7" s="760">
        <f>'6-2.(기본및실시)직접인건비 내역'!H6</f>
        <v>9283387.0369821005</v>
      </c>
      <c r="I7" s="758"/>
    </row>
    <row r="8" spans="1:9" ht="22.5" customHeight="1">
      <c r="A8" s="761"/>
      <c r="B8" s="761"/>
      <c r="C8" s="758" t="s">
        <v>466</v>
      </c>
      <c r="D8" s="758"/>
      <c r="E8" s="759" t="s">
        <v>167</v>
      </c>
      <c r="F8" s="758"/>
      <c r="G8" s="758"/>
      <c r="H8" s="760">
        <f>'6-2.(기본및실시)직접인건비 내역'!H55</f>
        <v>77580399.347751617</v>
      </c>
      <c r="I8" s="758"/>
    </row>
    <row r="9" spans="1:9" ht="22.5" customHeight="1">
      <c r="A9" s="761"/>
      <c r="B9" s="761"/>
      <c r="C9" s="758" t="s">
        <v>467</v>
      </c>
      <c r="D9" s="758"/>
      <c r="E9" s="759" t="s">
        <v>167</v>
      </c>
      <c r="F9" s="758"/>
      <c r="G9" s="758"/>
      <c r="H9" s="760">
        <f>'6-2.(기본및실시)직접인건비 내역'!H122</f>
        <v>29933807.648492403</v>
      </c>
      <c r="I9" s="758"/>
    </row>
    <row r="10" spans="1:9" ht="22.5" customHeight="1">
      <c r="A10" s="761"/>
      <c r="B10" s="761"/>
      <c r="C10" s="758" t="s">
        <v>468</v>
      </c>
      <c r="D10" s="758"/>
      <c r="E10" s="759" t="s">
        <v>167</v>
      </c>
      <c r="F10" s="758"/>
      <c r="G10" s="758"/>
      <c r="H10" s="760">
        <f>'6-2.(기본및실시)직접인건비 내역'!H177</f>
        <v>19720660.774498802</v>
      </c>
      <c r="I10" s="758"/>
    </row>
    <row r="11" spans="1:9" ht="22.5" customHeight="1">
      <c r="A11" s="761"/>
      <c r="B11" s="756"/>
      <c r="C11" s="758" t="s">
        <v>471</v>
      </c>
      <c r="D11" s="758"/>
      <c r="E11" s="759" t="s">
        <v>167</v>
      </c>
      <c r="F11" s="758"/>
      <c r="G11" s="758"/>
      <c r="H11" s="758"/>
      <c r="I11" s="758"/>
    </row>
    <row r="12" spans="1:9" ht="22.5" customHeight="1">
      <c r="A12" s="761"/>
      <c r="B12" s="1617" t="s">
        <v>472</v>
      </c>
      <c r="C12" s="1618"/>
      <c r="D12" s="758"/>
      <c r="E12" s="759"/>
      <c r="F12" s="758"/>
      <c r="G12" s="758"/>
      <c r="H12" s="760">
        <f>SUM(H13:H16)</f>
        <v>9660149.3293500002</v>
      </c>
      <c r="I12" s="758"/>
    </row>
    <row r="13" spans="1:9" ht="22.5" customHeight="1">
      <c r="A13" s="761"/>
      <c r="B13" s="757"/>
      <c r="C13" s="758" t="s">
        <v>473</v>
      </c>
      <c r="D13" s="758"/>
      <c r="E13" s="759" t="s">
        <v>282</v>
      </c>
      <c r="F13" s="758"/>
      <c r="G13" s="758"/>
      <c r="H13" s="760">
        <f>+'6-6.(기본및실시)직접경비'!I40</f>
        <v>3409222.9870000002</v>
      </c>
      <c r="I13" s="758"/>
    </row>
    <row r="14" spans="1:9" ht="22.5" customHeight="1">
      <c r="A14" s="761"/>
      <c r="B14" s="761"/>
      <c r="C14" s="758" t="s">
        <v>1029</v>
      </c>
      <c r="D14" s="758"/>
      <c r="E14" s="759" t="s">
        <v>167</v>
      </c>
      <c r="F14" s="758"/>
      <c r="G14" s="758"/>
      <c r="H14" s="762">
        <f>'6-6.(기본및실시)직접경비'!H15</f>
        <v>6250926.3423500005</v>
      </c>
      <c r="I14" s="758"/>
    </row>
    <row r="15" spans="1:9" ht="22.5" customHeight="1">
      <c r="A15" s="761"/>
      <c r="B15" s="761"/>
      <c r="C15" s="758"/>
      <c r="D15" s="758"/>
      <c r="E15" s="759"/>
      <c r="F15" s="758"/>
      <c r="G15" s="758"/>
      <c r="H15" s="758"/>
      <c r="I15" s="758"/>
    </row>
    <row r="16" spans="1:9" ht="22.5" customHeight="1">
      <c r="A16" s="761"/>
      <c r="B16" s="756"/>
      <c r="C16" s="758"/>
      <c r="D16" s="758"/>
      <c r="E16" s="759"/>
      <c r="F16" s="758"/>
      <c r="G16" s="758"/>
      <c r="H16" s="758"/>
      <c r="I16" s="758"/>
    </row>
    <row r="17" spans="1:9" ht="22.5" customHeight="1">
      <c r="A17" s="761"/>
      <c r="B17" s="763" t="s">
        <v>1030</v>
      </c>
      <c r="C17" s="764"/>
      <c r="D17" s="758"/>
      <c r="E17" s="759" t="s">
        <v>167</v>
      </c>
      <c r="F17" s="758"/>
      <c r="G17" s="758"/>
      <c r="H17" s="760">
        <f>TRUNC(H6*1.1,0)</f>
        <v>150170080</v>
      </c>
      <c r="I17" s="765"/>
    </row>
    <row r="18" spans="1:9" ht="22.5" customHeight="1">
      <c r="A18" s="756"/>
      <c r="B18" s="766" t="s">
        <v>1031</v>
      </c>
      <c r="C18" s="767"/>
      <c r="D18" s="758"/>
      <c r="E18" s="759" t="s">
        <v>167</v>
      </c>
      <c r="F18" s="758"/>
      <c r="G18" s="758"/>
      <c r="H18" s="760">
        <f>TRUNC((H6+H17)*0.2,0)-696</f>
        <v>57336970</v>
      </c>
      <c r="I18" s="765"/>
    </row>
    <row r="19" spans="1:9" s="1007" customFormat="1" ht="22.5" customHeight="1">
      <c r="A19" s="1605" t="s">
        <v>1233</v>
      </c>
      <c r="B19" s="1606"/>
      <c r="C19" s="1607"/>
      <c r="D19" s="1024"/>
      <c r="E19" s="1023"/>
      <c r="F19" s="1024"/>
      <c r="G19" s="1024"/>
      <c r="H19" s="1022">
        <f>'6-7.(기본및실시)손해배상보험료'!J32</f>
        <v>1310000</v>
      </c>
      <c r="I19" s="1015"/>
    </row>
    <row r="20" spans="1:9" s="1007" customFormat="1" ht="22.5" customHeight="1">
      <c r="A20" s="1014"/>
      <c r="B20" s="1013"/>
      <c r="C20" s="1012" t="s">
        <v>1235</v>
      </c>
      <c r="D20" s="769"/>
      <c r="E20" s="1011"/>
      <c r="F20" s="769"/>
      <c r="G20" s="769"/>
      <c r="H20" s="1010">
        <f>H19+H5</f>
        <v>354995454.13707495</v>
      </c>
      <c r="I20" s="1009"/>
    </row>
    <row r="21" spans="1:9" s="1007" customFormat="1" ht="22.5" customHeight="1">
      <c r="A21" s="1605" t="s">
        <v>1234</v>
      </c>
      <c r="B21" s="1606"/>
      <c r="C21" s="1607"/>
      <c r="D21" s="1024"/>
      <c r="E21" s="1023"/>
      <c r="F21" s="1024"/>
      <c r="G21" s="1024"/>
      <c r="H21" s="1022">
        <f>(H5+H19)*0.1</f>
        <v>35499545.413707495</v>
      </c>
      <c r="I21" s="1015"/>
    </row>
    <row r="22" spans="1:9" ht="22.5" customHeight="1">
      <c r="A22" s="1608" t="s">
        <v>1032</v>
      </c>
      <c r="B22" s="1609"/>
      <c r="C22" s="1609"/>
      <c r="D22" s="1609"/>
      <c r="E22" s="1609"/>
      <c r="F22" s="1609"/>
      <c r="G22" s="1610"/>
      <c r="H22" s="768">
        <f>SUM(H5,H19,H21)</f>
        <v>390494999.55078244</v>
      </c>
      <c r="I22" s="769"/>
    </row>
    <row r="23" spans="1:9" ht="24.95" customHeight="1"/>
    <row r="24" spans="1:9" ht="24.95" customHeight="1"/>
    <row r="25" spans="1:9" ht="24.95" customHeight="1"/>
    <row r="26" spans="1:9" ht="24.95" customHeight="1"/>
    <row r="27" spans="1:9" ht="24.95" customHeight="1"/>
    <row r="28" spans="1:9" ht="24.95" customHeight="1"/>
    <row r="29" spans="1:9" ht="24.95" customHeight="1"/>
    <row r="30" spans="1:9" ht="24.95" customHeight="1"/>
    <row r="31" spans="1:9" ht="24.95" customHeight="1"/>
    <row r="32" spans="1:9"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sheetData>
  <mergeCells count="8">
    <mergeCell ref="A21:C21"/>
    <mergeCell ref="A22:G22"/>
    <mergeCell ref="A1:I1"/>
    <mergeCell ref="A4:C4"/>
    <mergeCell ref="A5:C5"/>
    <mergeCell ref="B6:C6"/>
    <mergeCell ref="B12:C12"/>
    <mergeCell ref="A19:C19"/>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view="pageBreakPreview" topLeftCell="A10" zoomScale="115" zoomScaleSheetLayoutView="115" zoomScalePageLayoutView="70" workbookViewId="0">
      <selection activeCell="O21" sqref="O21"/>
    </sheetView>
  </sheetViews>
  <sheetFormatPr defaultColWidth="8.875" defaultRowHeight="16.5"/>
  <cols>
    <col min="1" max="10" width="8.375" style="698" customWidth="1"/>
    <col min="11" max="12" width="8.875" style="698"/>
    <col min="13" max="13" width="9.5" style="708" hidden="1" customWidth="1"/>
    <col min="14" max="14" width="8.875" style="698"/>
    <col min="15" max="15" width="14.625" style="698" bestFit="1" customWidth="1"/>
    <col min="16" max="16" width="18.375" style="698" customWidth="1"/>
    <col min="17" max="17" width="15.125" style="698" customWidth="1"/>
    <col min="18" max="18" width="23" style="698" bestFit="1" customWidth="1"/>
    <col min="19" max="16384" width="8.875" style="698"/>
  </cols>
  <sheetData>
    <row r="1" spans="1:18" ht="25.5">
      <c r="A1" s="1649" t="s">
        <v>968</v>
      </c>
      <c r="B1" s="1649"/>
      <c r="C1" s="1649"/>
      <c r="D1" s="1649"/>
      <c r="E1" s="1649"/>
      <c r="F1" s="1649"/>
      <c r="G1" s="1649"/>
      <c r="H1" s="1649"/>
      <c r="I1" s="1649"/>
      <c r="J1" s="1649"/>
    </row>
    <row r="2" spans="1:18" ht="17.25" customHeight="1">
      <c r="A2" s="1650" t="s">
        <v>969</v>
      </c>
      <c r="B2" s="1650"/>
      <c r="C2" s="1650"/>
      <c r="D2" s="1650"/>
      <c r="E2" s="1650"/>
      <c r="F2" s="1650"/>
      <c r="G2" s="1650"/>
      <c r="H2" s="1650"/>
      <c r="I2" s="1650"/>
      <c r="J2" s="1650"/>
      <c r="N2" s="1019"/>
      <c r="O2" s="1019"/>
      <c r="P2" s="1019"/>
      <c r="Q2" s="1019"/>
      <c r="R2" s="1019"/>
    </row>
    <row r="3" spans="1:18" ht="15" customHeight="1">
      <c r="A3" s="709"/>
      <c r="B3" s="709"/>
      <c r="C3" s="709"/>
      <c r="D3" s="709"/>
      <c r="E3" s="709"/>
      <c r="F3" s="709"/>
      <c r="G3" s="709"/>
      <c r="H3" s="710"/>
      <c r="I3" s="711"/>
      <c r="J3" s="712" t="s">
        <v>971</v>
      </c>
      <c r="N3" s="1019"/>
      <c r="O3" s="1018"/>
      <c r="P3" s="1018"/>
      <c r="Q3" s="1018"/>
      <c r="R3" s="1017"/>
    </row>
    <row r="4" spans="1:18" ht="5.0999999999999996" customHeight="1">
      <c r="A4" s="709"/>
      <c r="B4" s="709"/>
      <c r="C4" s="709"/>
      <c r="D4" s="709"/>
      <c r="E4" s="709"/>
      <c r="F4" s="709"/>
      <c r="G4" s="709"/>
      <c r="H4" s="710"/>
      <c r="I4" s="713"/>
      <c r="J4" s="712"/>
    </row>
    <row r="5" spans="1:18" ht="15" customHeight="1">
      <c r="A5" s="714"/>
      <c r="B5" s="715"/>
      <c r="C5" s="715"/>
      <c r="D5" s="715"/>
      <c r="E5" s="715"/>
      <c r="F5" s="715"/>
      <c r="G5" s="1651" t="s">
        <v>972</v>
      </c>
      <c r="H5" s="1652"/>
      <c r="I5" s="716">
        <v>2015</v>
      </c>
      <c r="J5" s="717" t="s">
        <v>1263</v>
      </c>
      <c r="Q5" s="718"/>
    </row>
    <row r="6" spans="1:18" ht="15" customHeight="1">
      <c r="A6" s="714"/>
      <c r="B6" s="715"/>
      <c r="C6" s="715"/>
      <c r="D6" s="715"/>
      <c r="E6" s="715"/>
      <c r="F6" s="715"/>
      <c r="G6" s="1651" t="s">
        <v>973</v>
      </c>
      <c r="H6" s="1652"/>
      <c r="I6" s="1653" t="s">
        <v>1264</v>
      </c>
      <c r="J6" s="1654"/>
      <c r="Q6" s="718"/>
    </row>
    <row r="7" spans="1:18" ht="20.100000000000001" customHeight="1">
      <c r="A7" s="719" t="s">
        <v>974</v>
      </c>
      <c r="B7" s="715"/>
      <c r="C7" s="715"/>
      <c r="D7" s="715"/>
      <c r="E7" s="715"/>
      <c r="F7" s="715"/>
      <c r="G7" s="715"/>
      <c r="H7" s="715"/>
      <c r="I7" s="715"/>
      <c r="J7" s="715"/>
    </row>
    <row r="8" spans="1:18" ht="17.25" customHeight="1">
      <c r="A8" s="1634" t="s">
        <v>975</v>
      </c>
      <c r="B8" s="1635"/>
      <c r="C8" s="1647" t="s">
        <v>1262</v>
      </c>
      <c r="D8" s="1647"/>
      <c r="E8" s="1647"/>
      <c r="F8" s="1647"/>
      <c r="G8" s="1647"/>
      <c r="H8" s="1647"/>
      <c r="I8" s="1647"/>
      <c r="J8" s="1648"/>
      <c r="L8" s="498"/>
      <c r="M8" s="721"/>
      <c r="N8" s="498"/>
    </row>
    <row r="9" spans="1:18" ht="17.25" customHeight="1">
      <c r="A9" s="1634" t="s">
        <v>976</v>
      </c>
      <c r="B9" s="1635"/>
      <c r="C9" s="1642">
        <v>105550</v>
      </c>
      <c r="D9" s="1642"/>
      <c r="E9" s="1642"/>
      <c r="F9" s="1635" t="s">
        <v>977</v>
      </c>
      <c r="G9" s="1635"/>
      <c r="H9" s="1642">
        <v>0</v>
      </c>
      <c r="I9" s="1642"/>
      <c r="J9" s="1643"/>
      <c r="L9" s="498"/>
      <c r="M9" s="722"/>
      <c r="N9" s="722"/>
    </row>
    <row r="10" spans="1:18" ht="17.25" customHeight="1">
      <c r="A10" s="1634" t="s">
        <v>978</v>
      </c>
      <c r="B10" s="1635"/>
      <c r="C10" s="1641">
        <f>C9-H9</f>
        <v>105550</v>
      </c>
      <c r="D10" s="1641"/>
      <c r="E10" s="1641"/>
      <c r="F10" s="1635" t="s">
        <v>979</v>
      </c>
      <c r="G10" s="1635"/>
      <c r="H10" s="1642">
        <v>10555</v>
      </c>
      <c r="I10" s="1642"/>
      <c r="J10" s="1643"/>
      <c r="L10" s="498"/>
      <c r="M10" s="722"/>
      <c r="N10" s="722"/>
    </row>
    <row r="11" spans="1:18" ht="17.25" customHeight="1">
      <c r="A11" s="1634" t="s">
        <v>980</v>
      </c>
      <c r="B11" s="1635"/>
      <c r="C11" s="1644">
        <v>0.85</v>
      </c>
      <c r="D11" s="1644"/>
      <c r="E11" s="1644"/>
      <c r="F11" s="1635" t="s">
        <v>981</v>
      </c>
      <c r="G11" s="1635"/>
      <c r="H11" s="1645">
        <v>0</v>
      </c>
      <c r="I11" s="1645"/>
      <c r="J11" s="1646"/>
      <c r="L11" s="498"/>
      <c r="M11" s="722"/>
      <c r="N11" s="722"/>
    </row>
    <row r="12" spans="1:18" ht="17.25" customHeight="1">
      <c r="A12" s="1634" t="s">
        <v>982</v>
      </c>
      <c r="B12" s="1635"/>
      <c r="C12" s="723" t="s">
        <v>552</v>
      </c>
      <c r="D12" s="724">
        <f>G12+J12</f>
        <v>173.10199999999998</v>
      </c>
      <c r="E12" s="1635" t="s">
        <v>983</v>
      </c>
      <c r="F12" s="1635"/>
      <c r="G12" s="725">
        <f>140*10.555%</f>
        <v>14.776999999999999</v>
      </c>
      <c r="H12" s="1635" t="s">
        <v>984</v>
      </c>
      <c r="I12" s="1635"/>
      <c r="J12" s="726">
        <f>1500*10.555%</f>
        <v>158.32499999999999</v>
      </c>
      <c r="L12" s="498"/>
      <c r="M12" s="721"/>
      <c r="N12" s="498"/>
    </row>
    <row r="13" spans="1:18" ht="17.25" customHeight="1">
      <c r="A13" s="1634" t="s">
        <v>985</v>
      </c>
      <c r="B13" s="1635"/>
      <c r="C13" s="723" t="s">
        <v>552</v>
      </c>
      <c r="D13" s="727">
        <f>SUM(F13,H13,J13)</f>
        <v>1</v>
      </c>
      <c r="E13" s="723" t="s">
        <v>986</v>
      </c>
      <c r="F13" s="728">
        <v>1</v>
      </c>
      <c r="G13" s="723" t="s">
        <v>987</v>
      </c>
      <c r="H13" s="728">
        <v>0</v>
      </c>
      <c r="I13" s="729" t="s">
        <v>988</v>
      </c>
      <c r="J13" s="730">
        <v>0</v>
      </c>
    </row>
    <row r="14" spans="1:18" ht="17.25" customHeight="1" thickBot="1">
      <c r="A14" s="1636" t="s">
        <v>989</v>
      </c>
      <c r="B14" s="1637"/>
      <c r="C14" s="1637"/>
      <c r="D14" s="1637"/>
      <c r="E14" s="1638"/>
      <c r="F14" s="1639">
        <v>5</v>
      </c>
      <c r="G14" s="1639"/>
      <c r="H14" s="1639"/>
      <c r="I14" s="1639"/>
      <c r="J14" s="1640"/>
    </row>
    <row r="15" spans="1:18" ht="5.0999999999999996" customHeight="1">
      <c r="A15" s="731"/>
      <c r="B15" s="731"/>
      <c r="C15" s="731"/>
      <c r="D15" s="732"/>
      <c r="E15" s="732"/>
      <c r="F15" s="733"/>
      <c r="G15" s="733"/>
      <c r="H15" s="733"/>
      <c r="I15" s="733"/>
      <c r="J15" s="733"/>
    </row>
    <row r="16" spans="1:18" s="736" customFormat="1" ht="15" customHeight="1">
      <c r="A16" s="734" t="s">
        <v>990</v>
      </c>
      <c r="B16" s="735"/>
      <c r="C16" s="735"/>
      <c r="D16" s="735"/>
      <c r="E16" s="735"/>
      <c r="F16" s="735"/>
      <c r="G16" s="735"/>
      <c r="H16" s="735"/>
      <c r="I16" s="735"/>
      <c r="J16" s="735"/>
      <c r="M16" s="737"/>
    </row>
    <row r="17" spans="1:13" s="736" customFormat="1" ht="15" customHeight="1">
      <c r="A17" s="738" t="s">
        <v>991</v>
      </c>
      <c r="B17" s="735"/>
      <c r="C17" s="735"/>
      <c r="D17" s="735"/>
      <c r="E17" s="735"/>
      <c r="F17" s="735"/>
      <c r="G17" s="735"/>
      <c r="H17" s="735"/>
      <c r="I17" s="735"/>
      <c r="J17" s="735"/>
      <c r="M17" s="737"/>
    </row>
    <row r="18" spans="1:13" s="736" customFormat="1" ht="15" customHeight="1">
      <c r="A18" s="738" t="s">
        <v>992</v>
      </c>
      <c r="B18" s="735"/>
      <c r="C18" s="735"/>
      <c r="D18" s="735"/>
      <c r="E18" s="735"/>
      <c r="F18" s="735"/>
      <c r="G18" s="735"/>
      <c r="H18" s="735"/>
      <c r="I18" s="735"/>
      <c r="J18" s="735"/>
      <c r="K18" s="720" t="s">
        <v>993</v>
      </c>
      <c r="M18" s="737"/>
    </row>
    <row r="19" spans="1:13" s="736" customFormat="1" ht="15" customHeight="1">
      <c r="A19" s="738" t="s">
        <v>994</v>
      </c>
      <c r="B19" s="735"/>
      <c r="C19" s="735"/>
      <c r="D19" s="735"/>
      <c r="E19" s="735"/>
      <c r="F19" s="735"/>
      <c r="G19" s="735"/>
      <c r="H19" s="735"/>
      <c r="I19" s="735"/>
      <c r="J19" s="735"/>
      <c r="K19" s="739" t="s">
        <v>995</v>
      </c>
      <c r="M19" s="737"/>
    </row>
    <row r="20" spans="1:13" s="736" customFormat="1" ht="15" customHeight="1">
      <c r="A20" s="738" t="s">
        <v>996</v>
      </c>
      <c r="B20" s="735"/>
      <c r="C20" s="735"/>
      <c r="D20" s="735"/>
      <c r="E20" s="735"/>
      <c r="F20" s="735"/>
      <c r="G20" s="735"/>
      <c r="H20" s="735"/>
      <c r="I20" s="735"/>
      <c r="J20" s="735"/>
      <c r="K20" s="740"/>
      <c r="M20" s="737"/>
    </row>
    <row r="21" spans="1:13" s="736" customFormat="1" ht="15" customHeight="1">
      <c r="A21" s="738" t="s">
        <v>997</v>
      </c>
      <c r="B21" s="735"/>
      <c r="C21" s="735"/>
      <c r="D21" s="735"/>
      <c r="E21" s="735"/>
      <c r="F21" s="735"/>
      <c r="G21" s="735"/>
      <c r="H21" s="735"/>
      <c r="I21" s="735"/>
      <c r="J21" s="735"/>
      <c r="K21" s="740"/>
      <c r="M21" s="737"/>
    </row>
    <row r="22" spans="1:13" s="736" customFormat="1" ht="15" customHeight="1">
      <c r="A22" s="738" t="s">
        <v>998</v>
      </c>
      <c r="B22" s="735"/>
      <c r="C22" s="735"/>
      <c r="D22" s="735"/>
      <c r="E22" s="735"/>
      <c r="F22" s="735"/>
      <c r="G22" s="735"/>
      <c r="H22" s="735"/>
      <c r="I22" s="735"/>
      <c r="J22" s="735"/>
      <c r="M22" s="737"/>
    </row>
    <row r="23" spans="1:13" ht="15" customHeight="1">
      <c r="A23" s="741" t="s">
        <v>999</v>
      </c>
      <c r="B23" s="735"/>
      <c r="C23" s="735"/>
      <c r="D23" s="735"/>
      <c r="E23" s="735"/>
      <c r="F23" s="735"/>
      <c r="G23" s="735"/>
      <c r="H23" s="735"/>
      <c r="I23" s="735"/>
      <c r="J23" s="735"/>
    </row>
    <row r="24" spans="1:13" ht="20.100000000000001" customHeight="1">
      <c r="A24" s="742"/>
      <c r="B24" s="715"/>
      <c r="C24" s="715"/>
      <c r="D24" s="715"/>
      <c r="E24" s="715"/>
      <c r="F24" s="715"/>
      <c r="G24" s="715"/>
      <c r="H24" s="715"/>
      <c r="I24" s="715"/>
      <c r="J24" s="715"/>
    </row>
    <row r="25" spans="1:13" ht="17.25" customHeight="1" thickBot="1">
      <c r="A25" s="719" t="s">
        <v>1000</v>
      </c>
      <c r="B25" s="715"/>
      <c r="C25" s="715"/>
      <c r="D25" s="715"/>
      <c r="E25" s="715"/>
      <c r="F25" s="715"/>
      <c r="G25" s="715"/>
      <c r="H25" s="715"/>
      <c r="I25" s="715"/>
      <c r="J25" s="715"/>
      <c r="M25" s="708">
        <v>0.8</v>
      </c>
    </row>
    <row r="26" spans="1:13" ht="17.25" customHeight="1">
      <c r="A26" s="743" t="s">
        <v>1001</v>
      </c>
      <c r="B26" s="1621" t="s">
        <v>1002</v>
      </c>
      <c r="C26" s="1627"/>
      <c r="D26" s="1620"/>
      <c r="E26" s="1621" t="s">
        <v>1003</v>
      </c>
      <c r="F26" s="1627"/>
      <c r="G26" s="1620"/>
      <c r="H26" s="1621" t="s">
        <v>1004</v>
      </c>
      <c r="I26" s="1627"/>
      <c r="J26" s="1622"/>
      <c r="M26" s="708">
        <v>1</v>
      </c>
    </row>
    <row r="27" spans="1:13" s="740" customFormat="1" ht="15" customHeight="1" thickBot="1">
      <c r="A27" s="744" t="s">
        <v>1005</v>
      </c>
      <c r="B27" s="1628">
        <v>1</v>
      </c>
      <c r="C27" s="1633"/>
      <c r="D27" s="1629"/>
      <c r="E27" s="1628">
        <v>0.8</v>
      </c>
      <c r="F27" s="1633"/>
      <c r="G27" s="1629"/>
      <c r="H27" s="1630">
        <v>0.8</v>
      </c>
      <c r="I27" s="1631"/>
      <c r="J27" s="1632"/>
      <c r="M27" s="745"/>
    </row>
    <row r="28" spans="1:13">
      <c r="A28" s="746" t="s">
        <v>1006</v>
      </c>
      <c r="B28" s="742"/>
      <c r="C28" s="742"/>
      <c r="D28" s="742"/>
      <c r="E28" s="742"/>
      <c r="F28" s="742"/>
      <c r="G28" s="742"/>
      <c r="H28" s="742"/>
      <c r="I28" s="742"/>
      <c r="J28" s="742"/>
    </row>
    <row r="29" spans="1:13" ht="4.5" customHeight="1" thickBot="1">
      <c r="A29" s="747"/>
      <c r="B29" s="735"/>
      <c r="C29" s="735"/>
      <c r="D29" s="735"/>
      <c r="E29" s="735"/>
      <c r="F29" s="735"/>
      <c r="G29" s="735"/>
      <c r="H29" s="735"/>
      <c r="I29" s="735"/>
      <c r="J29" s="735"/>
      <c r="M29" s="708">
        <v>1.2</v>
      </c>
    </row>
    <row r="30" spans="1:13" ht="17.25" customHeight="1">
      <c r="A30" s="743" t="s">
        <v>1007</v>
      </c>
      <c r="B30" s="1621" t="s">
        <v>1008</v>
      </c>
      <c r="C30" s="1627"/>
      <c r="D30" s="1620"/>
      <c r="E30" s="1621" t="s">
        <v>1009</v>
      </c>
      <c r="F30" s="1627"/>
      <c r="G30" s="1620"/>
      <c r="H30" s="1621" t="s">
        <v>1004</v>
      </c>
      <c r="I30" s="1627"/>
      <c r="J30" s="1622"/>
      <c r="M30" s="708">
        <v>0.8</v>
      </c>
    </row>
    <row r="31" spans="1:13" s="740" customFormat="1" ht="15" customHeight="1" thickBot="1">
      <c r="A31" s="744" t="s">
        <v>1005</v>
      </c>
      <c r="B31" s="1628">
        <v>1.2</v>
      </c>
      <c r="C31" s="1633"/>
      <c r="D31" s="1629"/>
      <c r="E31" s="1628">
        <v>0.8</v>
      </c>
      <c r="F31" s="1633"/>
      <c r="G31" s="1629"/>
      <c r="H31" s="1630">
        <v>1.1000000000000001</v>
      </c>
      <c r="I31" s="1631"/>
      <c r="J31" s="1632"/>
      <c r="M31" s="745"/>
    </row>
    <row r="32" spans="1:13">
      <c r="A32" s="746" t="s">
        <v>1010</v>
      </c>
      <c r="B32" s="742"/>
      <c r="C32" s="742"/>
      <c r="D32" s="742"/>
      <c r="E32" s="742"/>
      <c r="F32" s="742"/>
      <c r="G32" s="742"/>
      <c r="H32" s="742"/>
      <c r="I32" s="742"/>
      <c r="J32" s="742"/>
    </row>
    <row r="33" spans="1:13" ht="5.25" customHeight="1" thickBot="1">
      <c r="A33" s="747"/>
      <c r="B33" s="735"/>
      <c r="C33" s="735"/>
      <c r="D33" s="735"/>
      <c r="E33" s="735"/>
      <c r="F33" s="735"/>
      <c r="G33" s="735"/>
      <c r="H33" s="735"/>
      <c r="I33" s="735"/>
      <c r="J33" s="735"/>
      <c r="M33" s="708">
        <v>1.1000000000000001</v>
      </c>
    </row>
    <row r="34" spans="1:13" ht="17.25" customHeight="1">
      <c r="A34" s="743" t="s">
        <v>1011</v>
      </c>
      <c r="B34" s="1621" t="s">
        <v>1012</v>
      </c>
      <c r="C34" s="1620"/>
      <c r="D34" s="1621" t="s">
        <v>1013</v>
      </c>
      <c r="E34" s="1620"/>
      <c r="F34" s="1621" t="s">
        <v>1014</v>
      </c>
      <c r="G34" s="1620"/>
      <c r="H34" s="1621" t="s">
        <v>1004</v>
      </c>
      <c r="I34" s="1627"/>
      <c r="J34" s="1622"/>
      <c r="M34" s="708">
        <v>1</v>
      </c>
    </row>
    <row r="35" spans="1:13" s="740" customFormat="1" ht="15" customHeight="1" thickBot="1">
      <c r="A35" s="744" t="s">
        <v>1005</v>
      </c>
      <c r="B35" s="1628">
        <v>1.1000000000000001</v>
      </c>
      <c r="C35" s="1629"/>
      <c r="D35" s="1628">
        <v>1</v>
      </c>
      <c r="E35" s="1629"/>
      <c r="F35" s="1628">
        <v>0.9</v>
      </c>
      <c r="G35" s="1629"/>
      <c r="H35" s="1630">
        <v>0.9</v>
      </c>
      <c r="I35" s="1631"/>
      <c r="J35" s="1632"/>
      <c r="K35" s="720" t="s">
        <v>1015</v>
      </c>
      <c r="M35" s="745">
        <v>0.9</v>
      </c>
    </row>
    <row r="36" spans="1:13" s="740" customFormat="1" ht="15" customHeight="1">
      <c r="A36" s="746" t="s">
        <v>1016</v>
      </c>
      <c r="B36" s="742"/>
      <c r="C36" s="742"/>
      <c r="D36" s="742"/>
      <c r="E36" s="742"/>
      <c r="F36" s="742"/>
      <c r="G36" s="742"/>
      <c r="H36" s="742"/>
      <c r="I36" s="742"/>
      <c r="J36" s="742"/>
      <c r="M36" s="745"/>
    </row>
    <row r="37" spans="1:13">
      <c r="A37" s="746" t="s">
        <v>1017</v>
      </c>
      <c r="B37" s="742"/>
      <c r="C37" s="742"/>
      <c r="D37" s="742"/>
      <c r="E37" s="742"/>
      <c r="F37" s="742"/>
      <c r="G37" s="742"/>
      <c r="H37" s="742"/>
      <c r="I37" s="742"/>
      <c r="J37" s="742"/>
      <c r="M37" s="708">
        <v>1</v>
      </c>
    </row>
    <row r="38" spans="1:13" ht="3.75" customHeight="1" thickBot="1">
      <c r="A38" s="748"/>
      <c r="B38" s="735"/>
      <c r="C38" s="735"/>
      <c r="D38" s="735"/>
      <c r="E38" s="735"/>
      <c r="F38" s="735"/>
      <c r="G38" s="735"/>
      <c r="H38" s="735"/>
      <c r="I38" s="735"/>
      <c r="J38" s="735"/>
      <c r="M38" s="708">
        <v>1.1000000000000001</v>
      </c>
    </row>
    <row r="39" spans="1:13" ht="17.25" customHeight="1">
      <c r="A39" s="743" t="s">
        <v>1018</v>
      </c>
      <c r="B39" s="1621" t="s">
        <v>1019</v>
      </c>
      <c r="C39" s="1620"/>
      <c r="D39" s="1621" t="s">
        <v>1020</v>
      </c>
      <c r="E39" s="1620"/>
      <c r="F39" s="1621" t="s">
        <v>1021</v>
      </c>
      <c r="G39" s="1620"/>
      <c r="H39" s="1621" t="s">
        <v>926</v>
      </c>
      <c r="I39" s="1627"/>
      <c r="J39" s="1622"/>
      <c r="M39" s="708">
        <v>1.2</v>
      </c>
    </row>
    <row r="40" spans="1:13" s="740" customFormat="1" ht="15" customHeight="1" thickBot="1">
      <c r="A40" s="744" t="s">
        <v>1005</v>
      </c>
      <c r="B40" s="1628">
        <v>1</v>
      </c>
      <c r="C40" s="1629"/>
      <c r="D40" s="1628">
        <v>1.1000000000000001</v>
      </c>
      <c r="E40" s="1629"/>
      <c r="F40" s="1628">
        <v>1.2</v>
      </c>
      <c r="G40" s="1629"/>
      <c r="H40" s="1630">
        <v>1</v>
      </c>
      <c r="I40" s="1631"/>
      <c r="J40" s="1632"/>
      <c r="K40" s="749" t="s">
        <v>1022</v>
      </c>
      <c r="M40" s="745"/>
    </row>
    <row r="41" spans="1:13" s="740" customFormat="1" ht="15" customHeight="1">
      <c r="A41" s="746" t="s">
        <v>1023</v>
      </c>
      <c r="B41" s="742"/>
      <c r="C41" s="742"/>
      <c r="D41" s="742"/>
      <c r="E41" s="742"/>
      <c r="F41" s="742"/>
      <c r="G41" s="742"/>
      <c r="H41" s="742"/>
      <c r="I41" s="742"/>
      <c r="J41" s="742"/>
      <c r="M41" s="745"/>
    </row>
    <row r="42" spans="1:13" s="740" customFormat="1" ht="15" customHeight="1">
      <c r="A42" s="746" t="s">
        <v>1024</v>
      </c>
      <c r="B42" s="742"/>
      <c r="C42" s="742"/>
      <c r="D42" s="742"/>
      <c r="E42" s="742"/>
      <c r="F42" s="742"/>
      <c r="G42" s="742"/>
      <c r="H42" s="742"/>
      <c r="I42" s="742"/>
      <c r="J42" s="742"/>
      <c r="M42" s="745"/>
    </row>
    <row r="43" spans="1:13">
      <c r="A43" s="746" t="s">
        <v>1025</v>
      </c>
      <c r="B43" s="742"/>
      <c r="C43" s="742"/>
      <c r="D43" s="742"/>
      <c r="E43" s="742"/>
      <c r="F43" s="742"/>
      <c r="G43" s="742"/>
      <c r="H43" s="742"/>
      <c r="I43" s="742"/>
      <c r="J43" s="742"/>
    </row>
    <row r="44" spans="1:13" ht="7.5" customHeight="1">
      <c r="A44" s="714"/>
      <c r="B44" s="715"/>
      <c r="C44" s="715"/>
      <c r="D44" s="715"/>
      <c r="E44" s="715"/>
      <c r="F44" s="715"/>
      <c r="G44" s="715"/>
      <c r="H44" s="715"/>
      <c r="I44" s="715"/>
      <c r="J44" s="715"/>
    </row>
    <row r="45" spans="1:13" ht="17.25" customHeight="1" thickBot="1">
      <c r="A45" s="719" t="s">
        <v>1436</v>
      </c>
      <c r="B45" s="715"/>
      <c r="C45" s="715"/>
      <c r="D45" s="715"/>
      <c r="E45" s="715"/>
      <c r="F45" s="715"/>
      <c r="G45" s="715"/>
      <c r="H45" s="715"/>
      <c r="I45" s="715"/>
      <c r="J45" s="715"/>
    </row>
    <row r="46" spans="1:13" ht="17.25" customHeight="1">
      <c r="A46" s="1619" t="s">
        <v>92</v>
      </c>
      <c r="B46" s="1620"/>
      <c r="C46" s="1621" t="s">
        <v>93</v>
      </c>
      <c r="D46" s="1620"/>
      <c r="E46" s="1621" t="s">
        <v>94</v>
      </c>
      <c r="F46" s="1620"/>
      <c r="G46" s="1621" t="s">
        <v>95</v>
      </c>
      <c r="H46" s="1620"/>
      <c r="I46" s="1621" t="s">
        <v>96</v>
      </c>
      <c r="J46" s="1622"/>
    </row>
    <row r="47" spans="1:13" s="750" customFormat="1" ht="17.25" customHeight="1" thickBot="1">
      <c r="A47" s="1623">
        <f>+'5-3.산출근거(2)'!R24</f>
        <v>325327.32320500002</v>
      </c>
      <c r="B47" s="1624"/>
      <c r="C47" s="1625">
        <f>+'5-3.산출근거(2)'!R25</f>
        <v>238578.78030000001</v>
      </c>
      <c r="D47" s="1624"/>
      <c r="E47" s="1625">
        <f>+'5-3.산출근거(2)'!R26</f>
        <v>199505.89618100002</v>
      </c>
      <c r="F47" s="1624"/>
      <c r="G47" s="1625">
        <f>+'5-3.산출근거(2)'!R27</f>
        <v>173018.78261300002</v>
      </c>
      <c r="H47" s="1624"/>
      <c r="I47" s="1625">
        <f>+'5-3.산출근거(2)'!R28</f>
        <v>134480.52881399999</v>
      </c>
      <c r="J47" s="1626"/>
      <c r="M47" s="751"/>
    </row>
    <row r="48" spans="1:13">
      <c r="A48" s="752" t="s">
        <v>1026</v>
      </c>
      <c r="B48" s="753"/>
      <c r="C48" s="753"/>
      <c r="D48" s="753"/>
      <c r="E48" s="753"/>
      <c r="F48" s="753"/>
      <c r="G48" s="753"/>
      <c r="H48" s="753"/>
      <c r="I48" s="753"/>
      <c r="J48" s="753"/>
    </row>
    <row r="49" ht="8.25" customHeight="1"/>
    <row r="50" ht="8.25" customHeight="1"/>
  </sheetData>
  <mergeCells count="63">
    <mergeCell ref="A1:J1"/>
    <mergeCell ref="A2:J2"/>
    <mergeCell ref="G5:H5"/>
    <mergeCell ref="G6:H6"/>
    <mergeCell ref="I6:J6"/>
    <mergeCell ref="A8:B8"/>
    <mergeCell ref="C8:J8"/>
    <mergeCell ref="A9:B9"/>
    <mergeCell ref="C9:E9"/>
    <mergeCell ref="F9:G9"/>
    <mergeCell ref="H9:J9"/>
    <mergeCell ref="A10:B10"/>
    <mergeCell ref="C10:E10"/>
    <mergeCell ref="F10:G10"/>
    <mergeCell ref="H10:J10"/>
    <mergeCell ref="A11:B11"/>
    <mergeCell ref="C11:E11"/>
    <mergeCell ref="F11:G11"/>
    <mergeCell ref="H11:J11"/>
    <mergeCell ref="A12:B12"/>
    <mergeCell ref="E12:F12"/>
    <mergeCell ref="H12:I12"/>
    <mergeCell ref="A13:B13"/>
    <mergeCell ref="A14:E14"/>
    <mergeCell ref="F14:J14"/>
    <mergeCell ref="B26:D26"/>
    <mergeCell ref="E26:G26"/>
    <mergeCell ref="H26:J26"/>
    <mergeCell ref="B27:D27"/>
    <mergeCell ref="E27:G27"/>
    <mergeCell ref="H27:J27"/>
    <mergeCell ref="B30:D30"/>
    <mergeCell ref="E30:G30"/>
    <mergeCell ref="H30:J30"/>
    <mergeCell ref="B31:D31"/>
    <mergeCell ref="E31:G31"/>
    <mergeCell ref="H31:J31"/>
    <mergeCell ref="B34:C34"/>
    <mergeCell ref="D34:E34"/>
    <mergeCell ref="F34:G34"/>
    <mergeCell ref="H34:J34"/>
    <mergeCell ref="B35:C35"/>
    <mergeCell ref="D35:E35"/>
    <mergeCell ref="F35:G35"/>
    <mergeCell ref="H35:J35"/>
    <mergeCell ref="B39:C39"/>
    <mergeCell ref="D39:E39"/>
    <mergeCell ref="F39:G39"/>
    <mergeCell ref="H39:J39"/>
    <mergeCell ref="B40:C40"/>
    <mergeCell ref="D40:E40"/>
    <mergeCell ref="F40:G40"/>
    <mergeCell ref="H40:J40"/>
    <mergeCell ref="A47:B47"/>
    <mergeCell ref="C47:D47"/>
    <mergeCell ref="E47:F47"/>
    <mergeCell ref="G47:H47"/>
    <mergeCell ref="I47:J47"/>
    <mergeCell ref="A46:B46"/>
    <mergeCell ref="C46:D46"/>
    <mergeCell ref="E46:F46"/>
    <mergeCell ref="G46:H46"/>
    <mergeCell ref="I46:J46"/>
  </mergeCells>
  <phoneticPr fontId="2" type="noConversion"/>
  <hyperlinks>
    <hyperlink ref="A48" r:id="rId1" display="http://www.kenca.or.kr/"/>
  </hyperlinks>
  <printOptions horizontalCentered="1"/>
  <pageMargins left="0.51181102362204722" right="0.51181102362204722" top="0.74803149606299213" bottom="0.74803149606299213" header="0.31496062992125984" footer="0.31496062992125984"/>
  <pageSetup paperSize="9" orientation="portrait" r:id="rId2"/>
  <rowBreaks count="1" manualBreakCount="1">
    <brk id="49" max="9" man="1"/>
  </rowBreak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5"/>
  <sheetViews>
    <sheetView topLeftCell="A196" zoomScaleNormal="100" zoomScaleSheetLayoutView="100" workbookViewId="0">
      <selection activeCell="I8" sqref="I8:K8"/>
    </sheetView>
  </sheetViews>
  <sheetFormatPr defaultRowHeight="16.5"/>
  <cols>
    <col min="1" max="2" width="2.5" style="698" customWidth="1"/>
    <col min="3" max="3" width="31.125" style="698" customWidth="1"/>
    <col min="4" max="4" width="20" style="771" customWidth="1"/>
    <col min="5" max="5" width="6.75" style="707" customWidth="1"/>
    <col min="6" max="6" width="8" style="772" customWidth="1"/>
    <col min="7" max="7" width="12" style="698" customWidth="1"/>
    <col min="8" max="8" width="19.75" style="698" customWidth="1"/>
    <col min="9" max="9" width="18" style="698" customWidth="1"/>
    <col min="10" max="10" width="9" style="698"/>
    <col min="11" max="11" width="22.375" style="698" customWidth="1"/>
    <col min="12" max="17" width="9" style="698"/>
    <col min="18" max="18" width="36.375" style="698" customWidth="1"/>
    <col min="19" max="19" width="9.625" style="698" customWidth="1"/>
    <col min="20" max="20" width="5.25" style="698" customWidth="1"/>
    <col min="21" max="25" width="6.375" style="698" customWidth="1"/>
    <col min="26" max="30" width="7.5" style="698" customWidth="1"/>
    <col min="31" max="31" width="6.375" style="698" customWidth="1"/>
    <col min="32" max="33" width="7.5" style="698" customWidth="1"/>
    <col min="34" max="34" width="6.375" style="698" customWidth="1"/>
    <col min="35" max="46" width="7.5" style="698" customWidth="1"/>
    <col min="47" max="47" width="8.5" style="698" customWidth="1"/>
    <col min="48" max="50" width="7.5" style="698" customWidth="1"/>
    <col min="51" max="52" width="8.5" style="698" customWidth="1"/>
    <col min="53" max="53" width="9.625" style="698" bestFit="1" customWidth="1"/>
    <col min="54" max="16384" width="9" style="698"/>
  </cols>
  <sheetData>
    <row r="1" spans="1:9" ht="45.75" customHeight="1">
      <c r="A1" s="1657" t="s">
        <v>1033</v>
      </c>
      <c r="B1" s="1658"/>
      <c r="C1" s="1658"/>
      <c r="D1" s="1658"/>
      <c r="E1" s="1658"/>
      <c r="F1" s="1658"/>
      <c r="G1" s="1658"/>
      <c r="H1" s="1658"/>
    </row>
    <row r="2" spans="1:9" ht="16.5" customHeight="1">
      <c r="A2" s="770"/>
      <c r="B2" s="770"/>
      <c r="C2" s="770"/>
      <c r="D2" s="770"/>
      <c r="E2" s="770"/>
      <c r="F2" s="770"/>
      <c r="G2" s="770"/>
      <c r="H2" s="770"/>
    </row>
    <row r="3" spans="1:9" ht="18" customHeight="1">
      <c r="A3" s="698" t="e">
        <f>"○ 용역명 : "&amp;'6-1.기초DATA 입력'!#REF!</f>
        <v>#REF!</v>
      </c>
    </row>
    <row r="4" spans="1:9" ht="24.95" customHeight="1">
      <c r="A4" s="1659" t="s">
        <v>168</v>
      </c>
      <c r="B4" s="1660"/>
      <c r="C4" s="1661"/>
      <c r="D4" s="754" t="s">
        <v>164</v>
      </c>
      <c r="E4" s="754" t="s">
        <v>5</v>
      </c>
      <c r="F4" s="754" t="s">
        <v>4</v>
      </c>
      <c r="G4" s="754" t="s">
        <v>89</v>
      </c>
      <c r="H4" s="754" t="s">
        <v>90</v>
      </c>
    </row>
    <row r="5" spans="1:9" ht="17.25" customHeight="1">
      <c r="A5" s="497" t="s">
        <v>458</v>
      </c>
      <c r="B5" s="498"/>
      <c r="C5" s="498"/>
      <c r="D5" s="773"/>
      <c r="E5" s="774"/>
      <c r="F5" s="775"/>
      <c r="G5" s="776"/>
      <c r="H5" s="776">
        <f>SUM(H6,H55,H122,H177)</f>
        <v>136518254.80772492</v>
      </c>
    </row>
    <row r="6" spans="1:9" ht="17.25" customHeight="1">
      <c r="A6" s="497"/>
      <c r="B6" s="1655" t="s">
        <v>459</v>
      </c>
      <c r="C6" s="1656"/>
      <c r="D6" s="773"/>
      <c r="E6" s="774"/>
      <c r="F6" s="775"/>
      <c r="G6" s="776"/>
      <c r="H6" s="776">
        <f>SUM(H7,H13,H19,H25,H31,H37,H43,H49)</f>
        <v>9283387.0369821005</v>
      </c>
    </row>
    <row r="7" spans="1:9" ht="17.25" customHeight="1">
      <c r="A7" s="497"/>
      <c r="B7" s="777"/>
      <c r="C7" s="499" t="str">
        <f>'6-3.기본및실시설계투입인원'!B5</f>
        <v>1. 과업착수준비</v>
      </c>
      <c r="D7" s="773"/>
      <c r="E7" s="774"/>
      <c r="F7" s="778">
        <f>SUM(F8:F12)</f>
        <v>18</v>
      </c>
      <c r="G7" s="776"/>
      <c r="H7" s="776">
        <f>SUM(H8:H12)</f>
        <v>3739164.4562757001</v>
      </c>
      <c r="I7" s="547"/>
    </row>
    <row r="8" spans="1:9" ht="17.25" customHeight="1">
      <c r="A8" s="497"/>
      <c r="B8" s="500"/>
      <c r="C8" s="498"/>
      <c r="D8" s="773" t="s">
        <v>460</v>
      </c>
      <c r="E8" s="774" t="s">
        <v>461</v>
      </c>
      <c r="F8" s="778">
        <f>'6-3.기본및실시설계투입인원'!S5</f>
        <v>1.8</v>
      </c>
      <c r="G8" s="779">
        <f>+'5-3.산출근거(2)'!$R$24</f>
        <v>325327.32320500002</v>
      </c>
      <c r="H8" s="776">
        <f>F8*G8</f>
        <v>585589.18176900002</v>
      </c>
    </row>
    <row r="9" spans="1:9" ht="17.25" customHeight="1">
      <c r="A9" s="497"/>
      <c r="B9" s="500"/>
      <c r="C9" s="498"/>
      <c r="D9" s="773" t="s">
        <v>462</v>
      </c>
      <c r="E9" s="774" t="s">
        <v>461</v>
      </c>
      <c r="F9" s="778">
        <f>'6-3.기본및실시설계투입인원'!T5</f>
        <v>4.5999999999999996</v>
      </c>
      <c r="G9" s="780">
        <f>+'5-3.산출근거(2)'!$R$25</f>
        <v>238578.78030000001</v>
      </c>
      <c r="H9" s="776">
        <f>F9*G9</f>
        <v>1097462.3893800001</v>
      </c>
    </row>
    <row r="10" spans="1:9" ht="17.25" customHeight="1">
      <c r="A10" s="497"/>
      <c r="B10" s="500"/>
      <c r="C10" s="498"/>
      <c r="D10" s="773" t="s">
        <v>463</v>
      </c>
      <c r="E10" s="774" t="s">
        <v>461</v>
      </c>
      <c r="F10" s="778">
        <f>'6-3.기본및실시설계투입인원'!U5</f>
        <v>5.2</v>
      </c>
      <c r="G10" s="780">
        <f>+'5-3.산출근거(2)'!$R$26</f>
        <v>199505.89618100002</v>
      </c>
      <c r="H10" s="776">
        <f>F10*G10</f>
        <v>1037430.6601412002</v>
      </c>
    </row>
    <row r="11" spans="1:9" ht="17.25" customHeight="1">
      <c r="A11" s="497"/>
      <c r="B11" s="500"/>
      <c r="C11" s="498"/>
      <c r="D11" s="773" t="s">
        <v>464</v>
      </c>
      <c r="E11" s="774" t="s">
        <v>461</v>
      </c>
      <c r="F11" s="778">
        <f>'6-3.기본및실시설계투입인원'!V5</f>
        <v>4.0999999999999996</v>
      </c>
      <c r="G11" s="780">
        <f>+'5-3.산출근거(2)'!$R$27</f>
        <v>173018.78261300002</v>
      </c>
      <c r="H11" s="776">
        <f>F11*G11</f>
        <v>709377.00871329999</v>
      </c>
    </row>
    <row r="12" spans="1:9" ht="17.25" customHeight="1">
      <c r="A12" s="497"/>
      <c r="B12" s="500"/>
      <c r="C12" s="498"/>
      <c r="D12" s="773" t="s">
        <v>465</v>
      </c>
      <c r="E12" s="774" t="s">
        <v>461</v>
      </c>
      <c r="F12" s="778">
        <f>'6-3.기본및실시설계투입인원'!W5</f>
        <v>2.2999999999999998</v>
      </c>
      <c r="G12" s="780">
        <f>+'5-3.산출근거(2)'!$R$28</f>
        <v>134480.52881399999</v>
      </c>
      <c r="H12" s="776">
        <f>F12*G12</f>
        <v>309305.21627219993</v>
      </c>
    </row>
    <row r="13" spans="1:9" ht="17.25" customHeight="1">
      <c r="A13" s="497"/>
      <c r="B13" s="500"/>
      <c r="C13" s="781" t="str">
        <f>'6-3.기본및실시설계투입인원'!B6</f>
        <v>2. 관련계획 조사 및 검토</v>
      </c>
      <c r="D13" s="773"/>
      <c r="E13" s="774"/>
      <c r="F13" s="778">
        <f>SUM(F14:F18)</f>
        <v>4.7</v>
      </c>
      <c r="G13" s="776"/>
      <c r="H13" s="776">
        <f>SUM(H14:H18)</f>
        <v>1094362.7746301002</v>
      </c>
    </row>
    <row r="14" spans="1:9" ht="17.25" customHeight="1">
      <c r="A14" s="497"/>
      <c r="B14" s="500"/>
      <c r="C14" s="498"/>
      <c r="D14" s="773" t="s">
        <v>460</v>
      </c>
      <c r="E14" s="774" t="s">
        <v>461</v>
      </c>
      <c r="F14" s="778">
        <f>'6-3.기본및실시설계투입인원'!S6</f>
        <v>1</v>
      </c>
      <c r="G14" s="779">
        <f>+'5-3.산출근거(2)'!$R$24</f>
        <v>325327.32320500002</v>
      </c>
      <c r="H14" s="776">
        <f>F14*G14</f>
        <v>325327.32320500002</v>
      </c>
    </row>
    <row r="15" spans="1:9" ht="17.25" customHeight="1">
      <c r="A15" s="497"/>
      <c r="B15" s="500"/>
      <c r="C15" s="498"/>
      <c r="D15" s="773" t="s">
        <v>462</v>
      </c>
      <c r="E15" s="774" t="s">
        <v>461</v>
      </c>
      <c r="F15" s="778">
        <f>'6-3.기본및실시설계투입인원'!T6</f>
        <v>1.4</v>
      </c>
      <c r="G15" s="780">
        <f>+'5-3.산출근거(2)'!$R$25</f>
        <v>238578.78030000001</v>
      </c>
      <c r="H15" s="776">
        <f>F15*G15</f>
        <v>334010.29242000001</v>
      </c>
    </row>
    <row r="16" spans="1:9" ht="17.25" customHeight="1">
      <c r="A16" s="497"/>
      <c r="B16" s="500"/>
      <c r="C16" s="498"/>
      <c r="D16" s="773" t="s">
        <v>463</v>
      </c>
      <c r="E16" s="774" t="s">
        <v>461</v>
      </c>
      <c r="F16" s="778">
        <f>'6-3.기본및실시설계투입인원'!U6</f>
        <v>1.4</v>
      </c>
      <c r="G16" s="780">
        <f>+'5-3.산출근거(2)'!$R$26</f>
        <v>199505.89618100002</v>
      </c>
      <c r="H16" s="776">
        <f>F16*G16</f>
        <v>279308.25465339998</v>
      </c>
    </row>
    <row r="17" spans="1:8" ht="17.25" customHeight="1">
      <c r="A17" s="497"/>
      <c r="B17" s="500"/>
      <c r="C17" s="498"/>
      <c r="D17" s="773" t="s">
        <v>464</v>
      </c>
      <c r="E17" s="774" t="s">
        <v>461</v>
      </c>
      <c r="F17" s="778">
        <f>'6-3.기본및실시설계투입인원'!V6</f>
        <v>0.9</v>
      </c>
      <c r="G17" s="780">
        <f>+'5-3.산출근거(2)'!$R$27</f>
        <v>173018.78261300002</v>
      </c>
      <c r="H17" s="776">
        <f>F17*G17</f>
        <v>155716.90435170001</v>
      </c>
    </row>
    <row r="18" spans="1:8" ht="17.25" customHeight="1">
      <c r="A18" s="497"/>
      <c r="B18" s="500"/>
      <c r="C18" s="498"/>
      <c r="D18" s="773" t="s">
        <v>465</v>
      </c>
      <c r="E18" s="774" t="s">
        <v>461</v>
      </c>
      <c r="F18" s="778">
        <f>'6-3.기본및실시설계투입인원'!W6</f>
        <v>0</v>
      </c>
      <c r="G18" s="780">
        <f>+'5-3.산출근거(2)'!$R$28</f>
        <v>134480.52881399999</v>
      </c>
      <c r="H18" s="776">
        <f>F18*G18</f>
        <v>0</v>
      </c>
    </row>
    <row r="19" spans="1:8" ht="17.25" customHeight="1">
      <c r="A19" s="497"/>
      <c r="B19" s="500"/>
      <c r="C19" s="781" t="str">
        <f>'6-3.기본및실시설계투입인원'!B7</f>
        <v>3. 현지조사 및 답사</v>
      </c>
      <c r="D19" s="773"/>
      <c r="E19" s="774"/>
      <c r="F19" s="778">
        <f>SUM(F20:F24)</f>
        <v>5</v>
      </c>
      <c r="G19" s="776"/>
      <c r="H19" s="776">
        <f>SUM(H20:H24)</f>
        <v>1156134.5346210999</v>
      </c>
    </row>
    <row r="20" spans="1:8" ht="17.25" customHeight="1">
      <c r="A20" s="497"/>
      <c r="B20" s="500"/>
      <c r="C20" s="498"/>
      <c r="D20" s="773" t="s">
        <v>460</v>
      </c>
      <c r="E20" s="774" t="s">
        <v>461</v>
      </c>
      <c r="F20" s="778">
        <f>'6-3.기본및실시설계투입인원'!S7</f>
        <v>0.9</v>
      </c>
      <c r="G20" s="779">
        <f>+'5-3.산출근거(2)'!$R$24</f>
        <v>325327.32320500002</v>
      </c>
      <c r="H20" s="776">
        <f>F20*G20</f>
        <v>292794.59088450001</v>
      </c>
    </row>
    <row r="21" spans="1:8" ht="17.25" customHeight="1">
      <c r="A21" s="497"/>
      <c r="B21" s="500"/>
      <c r="C21" s="498"/>
      <c r="D21" s="773" t="s">
        <v>462</v>
      </c>
      <c r="E21" s="774" t="s">
        <v>461</v>
      </c>
      <c r="F21" s="778">
        <f>'6-3.기본및실시설계투입인원'!T7</f>
        <v>1.5</v>
      </c>
      <c r="G21" s="780">
        <f>+'5-3.산출근거(2)'!$R$25</f>
        <v>238578.78030000001</v>
      </c>
      <c r="H21" s="776">
        <f>F21*G21</f>
        <v>357868.17045000003</v>
      </c>
    </row>
    <row r="22" spans="1:8" ht="17.25" customHeight="1">
      <c r="A22" s="497"/>
      <c r="B22" s="500"/>
      <c r="C22" s="498"/>
      <c r="D22" s="773" t="s">
        <v>463</v>
      </c>
      <c r="E22" s="774" t="s">
        <v>461</v>
      </c>
      <c r="F22" s="778">
        <f>'6-3.기본및실시설계투입인원'!U7</f>
        <v>2.1</v>
      </c>
      <c r="G22" s="780">
        <f>+'5-3.산출근거(2)'!$R$26</f>
        <v>199505.89618100002</v>
      </c>
      <c r="H22" s="776">
        <f>F22*G22</f>
        <v>418962.38198010006</v>
      </c>
    </row>
    <row r="23" spans="1:8" ht="17.25" customHeight="1">
      <c r="A23" s="497"/>
      <c r="B23" s="500"/>
      <c r="C23" s="498"/>
      <c r="D23" s="773" t="s">
        <v>464</v>
      </c>
      <c r="E23" s="774" t="s">
        <v>461</v>
      </c>
      <c r="F23" s="778">
        <f>'6-3.기본및실시설계투입인원'!V7</f>
        <v>0.5</v>
      </c>
      <c r="G23" s="780">
        <f>+'5-3.산출근거(2)'!$R$27</f>
        <v>173018.78261300002</v>
      </c>
      <c r="H23" s="776">
        <f>F23*G23</f>
        <v>86509.391306500009</v>
      </c>
    </row>
    <row r="24" spans="1:8" ht="17.25" customHeight="1">
      <c r="A24" s="497"/>
      <c r="B24" s="500"/>
      <c r="C24" s="498"/>
      <c r="D24" s="773" t="s">
        <v>465</v>
      </c>
      <c r="E24" s="774" t="s">
        <v>461</v>
      </c>
      <c r="F24" s="778">
        <f>'6-3.기본및실시설계투입인원'!W7</f>
        <v>0</v>
      </c>
      <c r="G24" s="780">
        <f>+'5-3.산출근거(2)'!$R$28</f>
        <v>134480.52881399999</v>
      </c>
      <c r="H24" s="776">
        <f>F24*G24</f>
        <v>0</v>
      </c>
    </row>
    <row r="25" spans="1:8" ht="17.25" customHeight="1">
      <c r="A25" s="497"/>
      <c r="B25" s="500"/>
      <c r="C25" s="781" t="str">
        <f>'6-3.기본및실시설계투입인원'!B8</f>
        <v>4. 수리·수문조사</v>
      </c>
      <c r="D25" s="773"/>
      <c r="E25" s="774"/>
      <c r="F25" s="778">
        <f>SUM(F26:F30)</f>
        <v>8.5</v>
      </c>
      <c r="G25" s="776"/>
      <c r="H25" s="776">
        <f>SUM(H26:H30)</f>
        <v>1610097.5406666999</v>
      </c>
    </row>
    <row r="26" spans="1:8" ht="17.25" customHeight="1">
      <c r="A26" s="497"/>
      <c r="B26" s="500"/>
      <c r="C26" s="498"/>
      <c r="D26" s="773" t="s">
        <v>460</v>
      </c>
      <c r="E26" s="774" t="s">
        <v>461</v>
      </c>
      <c r="F26" s="778">
        <f>'6-3.기본및실시설계투입인원'!S8</f>
        <v>0.3</v>
      </c>
      <c r="G26" s="779">
        <f>+'5-3.산출근거(2)'!$R$24</f>
        <v>325327.32320500002</v>
      </c>
      <c r="H26" s="776">
        <f>F26*G26</f>
        <v>97598.196961499998</v>
      </c>
    </row>
    <row r="27" spans="1:8" ht="17.25" customHeight="1">
      <c r="A27" s="497"/>
      <c r="B27" s="500"/>
      <c r="C27" s="498"/>
      <c r="D27" s="773" t="s">
        <v>462</v>
      </c>
      <c r="E27" s="774" t="s">
        <v>461</v>
      </c>
      <c r="F27" s="778">
        <f>'6-3.기본및실시설계투입인원'!T8</f>
        <v>1.5</v>
      </c>
      <c r="G27" s="780">
        <f>+'5-3.산출근거(2)'!$R$25</f>
        <v>238578.78030000001</v>
      </c>
      <c r="H27" s="776">
        <f>F27*G27</f>
        <v>357868.17045000003</v>
      </c>
    </row>
    <row r="28" spans="1:8" ht="17.25" customHeight="1">
      <c r="A28" s="497"/>
      <c r="B28" s="500"/>
      <c r="C28" s="498"/>
      <c r="D28" s="773" t="s">
        <v>463</v>
      </c>
      <c r="E28" s="774" t="s">
        <v>461</v>
      </c>
      <c r="F28" s="778">
        <f>'6-3.기본및실시설계투입인원'!U8</f>
        <v>2.2999999999999998</v>
      </c>
      <c r="G28" s="780">
        <f>+'5-3.산출근거(2)'!$R$26</f>
        <v>199505.89618100002</v>
      </c>
      <c r="H28" s="776">
        <f>F28*G28</f>
        <v>458863.5612163</v>
      </c>
    </row>
    <row r="29" spans="1:8" ht="17.25" customHeight="1">
      <c r="A29" s="497"/>
      <c r="B29" s="500"/>
      <c r="C29" s="498"/>
      <c r="D29" s="773" t="s">
        <v>464</v>
      </c>
      <c r="E29" s="774" t="s">
        <v>461</v>
      </c>
      <c r="F29" s="778">
        <f>'6-3.기본및실시설계투입인원'!V8</f>
        <v>2.7</v>
      </c>
      <c r="G29" s="780">
        <f>+'5-3.산출근거(2)'!$R$27</f>
        <v>173018.78261300002</v>
      </c>
      <c r="H29" s="776">
        <f>F29*G29</f>
        <v>467150.71305510006</v>
      </c>
    </row>
    <row r="30" spans="1:8" ht="17.25" customHeight="1">
      <c r="A30" s="497"/>
      <c r="B30" s="500"/>
      <c r="C30" s="498"/>
      <c r="D30" s="773" t="s">
        <v>465</v>
      </c>
      <c r="E30" s="774" t="s">
        <v>461</v>
      </c>
      <c r="F30" s="778">
        <f>'6-3.기본및실시설계투입인원'!W8</f>
        <v>1.7</v>
      </c>
      <c r="G30" s="780">
        <f>+'5-3.산출근거(2)'!$R$28</f>
        <v>134480.52881399999</v>
      </c>
      <c r="H30" s="776">
        <f>F30*G30</f>
        <v>228616.89898379997</v>
      </c>
    </row>
    <row r="31" spans="1:8" ht="17.25" customHeight="1">
      <c r="A31" s="497"/>
      <c r="B31" s="500"/>
      <c r="C31" s="781" t="str">
        <f>'6-3.기본및실시설계투입인원'!B9</f>
        <v>5. 측량 성과검토</v>
      </c>
      <c r="D31" s="773"/>
      <c r="E31" s="774"/>
      <c r="F31" s="778">
        <f>SUM(F32:F36)</f>
        <v>2.5</v>
      </c>
      <c r="G31" s="776"/>
      <c r="H31" s="776">
        <f>SUM(H32:H36)</f>
        <v>475922.37362140004</v>
      </c>
    </row>
    <row r="32" spans="1:8" ht="17.25" customHeight="1">
      <c r="A32" s="497"/>
      <c r="B32" s="500"/>
      <c r="C32" s="498"/>
      <c r="D32" s="773" t="s">
        <v>460</v>
      </c>
      <c r="E32" s="774" t="s">
        <v>461</v>
      </c>
      <c r="F32" s="778">
        <f>'6-3.기본및실시설계투입인원'!S9</f>
        <v>0.1</v>
      </c>
      <c r="G32" s="779">
        <f>+'5-3.산출근거(2)'!$R$24</f>
        <v>325327.32320500002</v>
      </c>
      <c r="H32" s="776">
        <f>F32*G32</f>
        <v>32532.732320500003</v>
      </c>
    </row>
    <row r="33" spans="1:8" ht="17.25" customHeight="1">
      <c r="A33" s="497"/>
      <c r="B33" s="500"/>
      <c r="C33" s="498"/>
      <c r="D33" s="773" t="s">
        <v>462</v>
      </c>
      <c r="E33" s="774" t="s">
        <v>461</v>
      </c>
      <c r="F33" s="778">
        <f>'6-3.기본및실시설계투입인원'!T9</f>
        <v>0.4</v>
      </c>
      <c r="G33" s="780">
        <f>+'5-3.산출근거(2)'!$R$25</f>
        <v>238578.78030000001</v>
      </c>
      <c r="H33" s="776">
        <f>F33*G33</f>
        <v>95431.512120000014</v>
      </c>
    </row>
    <row r="34" spans="1:8" ht="17.25" customHeight="1">
      <c r="A34" s="497"/>
      <c r="B34" s="500"/>
      <c r="C34" s="498"/>
      <c r="D34" s="773" t="s">
        <v>463</v>
      </c>
      <c r="E34" s="774" t="s">
        <v>461</v>
      </c>
      <c r="F34" s="778">
        <f>'6-3.기본및실시설계투입인원'!U9</f>
        <v>0.8</v>
      </c>
      <c r="G34" s="780">
        <f>+'5-3.산출근거(2)'!$R$26</f>
        <v>199505.89618100002</v>
      </c>
      <c r="H34" s="776">
        <f>F34*G34</f>
        <v>159604.71694480002</v>
      </c>
    </row>
    <row r="35" spans="1:8" ht="17.25" customHeight="1">
      <c r="A35" s="497"/>
      <c r="B35" s="500"/>
      <c r="C35" s="498"/>
      <c r="D35" s="773" t="s">
        <v>464</v>
      </c>
      <c r="E35" s="774" t="s">
        <v>461</v>
      </c>
      <c r="F35" s="778">
        <f>'6-3.기본및실시설계투입인원'!V9</f>
        <v>0.7</v>
      </c>
      <c r="G35" s="780">
        <f>+'5-3.산출근거(2)'!$R$27</f>
        <v>173018.78261300002</v>
      </c>
      <c r="H35" s="776">
        <f>F35*G35</f>
        <v>121113.14782910001</v>
      </c>
    </row>
    <row r="36" spans="1:8" ht="17.25" customHeight="1">
      <c r="A36" s="497"/>
      <c r="B36" s="500"/>
      <c r="C36" s="498"/>
      <c r="D36" s="773" t="s">
        <v>465</v>
      </c>
      <c r="E36" s="774" t="s">
        <v>461</v>
      </c>
      <c r="F36" s="778">
        <f>'6-3.기본및실시설계투입인원'!W9</f>
        <v>0.5</v>
      </c>
      <c r="G36" s="780">
        <f>+'5-3.산출근거(2)'!$R$28</f>
        <v>134480.52881399999</v>
      </c>
      <c r="H36" s="776">
        <f>F36*G36</f>
        <v>67240.264406999995</v>
      </c>
    </row>
    <row r="37" spans="1:8" ht="17.25" customHeight="1">
      <c r="A37" s="497"/>
      <c r="B37" s="500"/>
      <c r="C37" s="781" t="str">
        <f>'6-3.기본및실시설계투입인원'!B10</f>
        <v>6. 토질 및 지반조사 성과검토</v>
      </c>
      <c r="D37" s="773"/>
      <c r="E37" s="774"/>
      <c r="F37" s="778">
        <f>SUM(F38:F42)</f>
        <v>1.9000000000000001</v>
      </c>
      <c r="G37" s="776"/>
      <c r="H37" s="776">
        <f>SUM(H38:H42)</f>
        <v>378375.15747970005</v>
      </c>
    </row>
    <row r="38" spans="1:8" ht="17.25" customHeight="1">
      <c r="A38" s="497"/>
      <c r="B38" s="500"/>
      <c r="C38" s="498"/>
      <c r="D38" s="773" t="s">
        <v>460</v>
      </c>
      <c r="E38" s="774" t="s">
        <v>461</v>
      </c>
      <c r="F38" s="778">
        <f>'6-3.기본및실시설계투입인원'!S10</f>
        <v>0.1</v>
      </c>
      <c r="G38" s="779">
        <f>+'5-3.산출근거(2)'!$R$24</f>
        <v>325327.32320500002</v>
      </c>
      <c r="H38" s="776">
        <f>F38*G38</f>
        <v>32532.732320500003</v>
      </c>
    </row>
    <row r="39" spans="1:8" ht="17.25" customHeight="1">
      <c r="A39" s="497"/>
      <c r="B39" s="500"/>
      <c r="C39" s="498"/>
      <c r="D39" s="773" t="s">
        <v>462</v>
      </c>
      <c r="E39" s="774" t="s">
        <v>461</v>
      </c>
      <c r="F39" s="778">
        <f>'6-3.기본및실시설계투입인원'!T10</f>
        <v>0.4</v>
      </c>
      <c r="G39" s="780">
        <f>+'5-3.산출근거(2)'!$R$25</f>
        <v>238578.78030000001</v>
      </c>
      <c r="H39" s="776">
        <f>F39*G39</f>
        <v>95431.512120000014</v>
      </c>
    </row>
    <row r="40" spans="1:8" ht="17.25" customHeight="1">
      <c r="A40" s="497"/>
      <c r="B40" s="500"/>
      <c r="C40" s="498"/>
      <c r="D40" s="773" t="s">
        <v>463</v>
      </c>
      <c r="E40" s="774" t="s">
        <v>461</v>
      </c>
      <c r="F40" s="778">
        <f>'6-3.기본및실시설계투입인원'!U10</f>
        <v>0.6</v>
      </c>
      <c r="G40" s="780">
        <f>+'5-3.산출근거(2)'!$R$26</f>
        <v>199505.89618100002</v>
      </c>
      <c r="H40" s="776">
        <f>F40*G40</f>
        <v>119703.53770860001</v>
      </c>
    </row>
    <row r="41" spans="1:8" ht="17.25" customHeight="1">
      <c r="A41" s="497"/>
      <c r="B41" s="500"/>
      <c r="C41" s="498"/>
      <c r="D41" s="773" t="s">
        <v>464</v>
      </c>
      <c r="E41" s="774" t="s">
        <v>461</v>
      </c>
      <c r="F41" s="778">
        <f>'6-3.기본및실시설계투입인원'!V10</f>
        <v>0.6</v>
      </c>
      <c r="G41" s="780">
        <f>+'5-3.산출근거(2)'!$R$27</f>
        <v>173018.78261300002</v>
      </c>
      <c r="H41" s="776">
        <f>F41*G41</f>
        <v>103811.2695678</v>
      </c>
    </row>
    <row r="42" spans="1:8" ht="17.25" customHeight="1">
      <c r="A42" s="497"/>
      <c r="B42" s="500"/>
      <c r="C42" s="498"/>
      <c r="D42" s="773" t="s">
        <v>465</v>
      </c>
      <c r="E42" s="774" t="s">
        <v>461</v>
      </c>
      <c r="F42" s="778">
        <f>'6-3.기본및실시설계투입인원'!W10</f>
        <v>0.2</v>
      </c>
      <c r="G42" s="780">
        <f>+'5-3.산출근거(2)'!$R$28</f>
        <v>134480.52881399999</v>
      </c>
      <c r="H42" s="776">
        <f>F42*G42</f>
        <v>26896.105762799998</v>
      </c>
    </row>
    <row r="43" spans="1:8" ht="17.25" customHeight="1">
      <c r="A43" s="497"/>
      <c r="B43" s="500"/>
      <c r="C43" s="781" t="str">
        <f>'6-3.기본및실시설계투입인원'!B11</f>
        <v>7. 지장물 및 구조물조사</v>
      </c>
      <c r="D43" s="773"/>
      <c r="E43" s="774"/>
      <c r="F43" s="778">
        <f>SUM(F44:F48)</f>
        <v>3.3</v>
      </c>
      <c r="G43" s="776"/>
      <c r="H43" s="776">
        <f>SUM(H44:H48)</f>
        <v>690623.22725440015</v>
      </c>
    </row>
    <row r="44" spans="1:8" ht="17.25" customHeight="1">
      <c r="A44" s="497"/>
      <c r="B44" s="500"/>
      <c r="C44" s="498"/>
      <c r="D44" s="773" t="s">
        <v>460</v>
      </c>
      <c r="E44" s="774" t="s">
        <v>461</v>
      </c>
      <c r="F44" s="778">
        <f>'6-3.기본및실시설계투입인원'!S11</f>
        <v>0</v>
      </c>
      <c r="G44" s="779">
        <f>+'5-3.산출근거(2)'!$R$24</f>
        <v>325327.32320500002</v>
      </c>
      <c r="H44" s="776">
        <f>F44*G44</f>
        <v>0</v>
      </c>
    </row>
    <row r="45" spans="1:8" ht="17.25" customHeight="1">
      <c r="A45" s="497"/>
      <c r="B45" s="500"/>
      <c r="C45" s="498"/>
      <c r="D45" s="773" t="s">
        <v>462</v>
      </c>
      <c r="E45" s="774" t="s">
        <v>461</v>
      </c>
      <c r="F45" s="778">
        <f>'6-3.기본및실시설계투입인원'!T11</f>
        <v>1.3</v>
      </c>
      <c r="G45" s="780">
        <f>+'5-3.산출근거(2)'!$R$25</f>
        <v>238578.78030000001</v>
      </c>
      <c r="H45" s="776">
        <f>F45*G45</f>
        <v>310152.41439000005</v>
      </c>
    </row>
    <row r="46" spans="1:8" ht="17.25" customHeight="1">
      <c r="A46" s="497"/>
      <c r="B46" s="500"/>
      <c r="C46" s="498"/>
      <c r="D46" s="773" t="s">
        <v>463</v>
      </c>
      <c r="E46" s="774" t="s">
        <v>461</v>
      </c>
      <c r="F46" s="778">
        <f>'6-3.기본및실시설계투입인원'!U11</f>
        <v>1.3</v>
      </c>
      <c r="G46" s="780">
        <f>+'5-3.산출근거(2)'!$R$26</f>
        <v>199505.89618100002</v>
      </c>
      <c r="H46" s="776">
        <f>F46*G46</f>
        <v>259357.66503530004</v>
      </c>
    </row>
    <row r="47" spans="1:8" ht="17.25" customHeight="1">
      <c r="A47" s="497"/>
      <c r="B47" s="500"/>
      <c r="C47" s="498"/>
      <c r="D47" s="773" t="s">
        <v>464</v>
      </c>
      <c r="E47" s="774" t="s">
        <v>461</v>
      </c>
      <c r="F47" s="778">
        <f>'6-3.기본및실시설계투입인원'!V11</f>
        <v>0.7</v>
      </c>
      <c r="G47" s="780">
        <f>+'5-3.산출근거(2)'!$R$27</f>
        <v>173018.78261300002</v>
      </c>
      <c r="H47" s="776">
        <f>F47*G47</f>
        <v>121113.14782910001</v>
      </c>
    </row>
    <row r="48" spans="1:8" ht="17.25" customHeight="1">
      <c r="A48" s="497"/>
      <c r="B48" s="500"/>
      <c r="C48" s="498"/>
      <c r="D48" s="773" t="s">
        <v>465</v>
      </c>
      <c r="E48" s="774" t="s">
        <v>461</v>
      </c>
      <c r="F48" s="778">
        <f>'6-3.기본및실시설계투입인원'!W11</f>
        <v>0</v>
      </c>
      <c r="G48" s="780">
        <f>+'5-3.산출근거(2)'!$R$28</f>
        <v>134480.52881399999</v>
      </c>
      <c r="H48" s="776">
        <f>F48*G48</f>
        <v>0</v>
      </c>
    </row>
    <row r="49" spans="1:8" ht="17.25" customHeight="1">
      <c r="A49" s="497"/>
      <c r="B49" s="500"/>
      <c r="C49" s="781" t="str">
        <f>'6-3.기본및실시설계투입인원'!B12</f>
        <v>8. 토취장, 골재원, 사토장 조사</v>
      </c>
      <c r="D49" s="773"/>
      <c r="E49" s="774"/>
      <c r="F49" s="778">
        <f>SUM(F50:F54)</f>
        <v>0.8</v>
      </c>
      <c r="G49" s="776"/>
      <c r="H49" s="776">
        <f>SUM(H50:H54)</f>
        <v>138706.97243299999</v>
      </c>
    </row>
    <row r="50" spans="1:8" ht="17.25" customHeight="1">
      <c r="A50" s="497"/>
      <c r="B50" s="500"/>
      <c r="C50" s="498"/>
      <c r="D50" s="773" t="s">
        <v>460</v>
      </c>
      <c r="E50" s="774" t="s">
        <v>461</v>
      </c>
      <c r="F50" s="778">
        <f>'6-3.기본및실시설계투입인원'!S12</f>
        <v>0</v>
      </c>
      <c r="G50" s="779">
        <f>+'5-3.산출근거(2)'!$R$24</f>
        <v>325327.32320500002</v>
      </c>
      <c r="H50" s="776">
        <f>F50*G50</f>
        <v>0</v>
      </c>
    </row>
    <row r="51" spans="1:8" ht="17.25" customHeight="1">
      <c r="A51" s="497"/>
      <c r="B51" s="500"/>
      <c r="C51" s="498"/>
      <c r="D51" s="773" t="s">
        <v>462</v>
      </c>
      <c r="E51" s="774" t="s">
        <v>461</v>
      </c>
      <c r="F51" s="778">
        <f>'6-3.기본및실시설계투입인원'!T12</f>
        <v>0.1</v>
      </c>
      <c r="G51" s="780">
        <f>+'5-3.산출근거(2)'!$R$25</f>
        <v>238578.78030000001</v>
      </c>
      <c r="H51" s="776">
        <f>F51*G51</f>
        <v>23857.878030000003</v>
      </c>
    </row>
    <row r="52" spans="1:8" ht="17.25" customHeight="1">
      <c r="A52" s="497"/>
      <c r="B52" s="500"/>
      <c r="C52" s="498"/>
      <c r="D52" s="773" t="s">
        <v>463</v>
      </c>
      <c r="E52" s="774" t="s">
        <v>461</v>
      </c>
      <c r="F52" s="778">
        <f>'6-3.기본및실시설계투입인원'!U12</f>
        <v>0.2</v>
      </c>
      <c r="G52" s="780">
        <f>+'5-3.산출근거(2)'!$R$26</f>
        <v>199505.89618100002</v>
      </c>
      <c r="H52" s="776">
        <f>F52*G52</f>
        <v>39901.179236200005</v>
      </c>
    </row>
    <row r="53" spans="1:8" ht="17.25" customHeight="1">
      <c r="A53" s="497"/>
      <c r="B53" s="500"/>
      <c r="C53" s="498"/>
      <c r="D53" s="773" t="s">
        <v>464</v>
      </c>
      <c r="E53" s="774" t="s">
        <v>461</v>
      </c>
      <c r="F53" s="778">
        <f>'6-3.기본및실시설계투입인원'!V12</f>
        <v>0.2</v>
      </c>
      <c r="G53" s="780">
        <f>+'5-3.산출근거(2)'!$R$27</f>
        <v>173018.78261300002</v>
      </c>
      <c r="H53" s="776">
        <f>F53*G53</f>
        <v>34603.756522600008</v>
      </c>
    </row>
    <row r="54" spans="1:8" ht="17.25" customHeight="1">
      <c r="A54" s="502"/>
      <c r="B54" s="501"/>
      <c r="C54" s="503"/>
      <c r="D54" s="773" t="s">
        <v>465</v>
      </c>
      <c r="E54" s="774" t="s">
        <v>461</v>
      </c>
      <c r="F54" s="778">
        <f>'6-3.기본및실시설계투입인원'!W12</f>
        <v>0.3</v>
      </c>
      <c r="G54" s="780">
        <f>+'5-3.산출근거(2)'!$R$28</f>
        <v>134480.52881399999</v>
      </c>
      <c r="H54" s="776">
        <f>F54*G54</f>
        <v>40344.158644199997</v>
      </c>
    </row>
    <row r="55" spans="1:8" ht="17.25" customHeight="1">
      <c r="A55" s="782"/>
      <c r="B55" s="1655" t="s">
        <v>466</v>
      </c>
      <c r="C55" s="1656"/>
      <c r="D55" s="773"/>
      <c r="E55" s="774"/>
      <c r="F55" s="778"/>
      <c r="G55" s="776"/>
      <c r="H55" s="776">
        <f>SUM(H56,H62,H68,H74,H80,H86,H92,H98,H104,H110,H116)</f>
        <v>77580399.347751617</v>
      </c>
    </row>
    <row r="56" spans="1:8" ht="17.25" customHeight="1">
      <c r="A56" s="497"/>
      <c r="B56" s="777"/>
      <c r="C56" s="499" t="str">
        <f>'6-3.기본및실시설계투입인원'!B14</f>
        <v>1. 전 단계 성과검토</v>
      </c>
      <c r="D56" s="773"/>
      <c r="E56" s="774"/>
      <c r="F56" s="778">
        <f>SUM(F57:F61)</f>
        <v>6.1</v>
      </c>
      <c r="G56" s="776"/>
      <c r="H56" s="776">
        <f>SUM(H57:H61)</f>
        <v>1239573.0475574001</v>
      </c>
    </row>
    <row r="57" spans="1:8" ht="17.25" customHeight="1">
      <c r="A57" s="497"/>
      <c r="B57" s="500"/>
      <c r="C57" s="498"/>
      <c r="D57" s="773" t="s">
        <v>460</v>
      </c>
      <c r="E57" s="774" t="s">
        <v>461</v>
      </c>
      <c r="F57" s="778">
        <f>'6-3.기본및실시설계투입인원'!S14</f>
        <v>0.4</v>
      </c>
      <c r="G57" s="779">
        <f>+'5-3.산출근거(2)'!$R$24</f>
        <v>325327.32320500002</v>
      </c>
      <c r="H57" s="776">
        <f>F57*G57</f>
        <v>130130.92928200001</v>
      </c>
    </row>
    <row r="58" spans="1:8" ht="17.25" customHeight="1">
      <c r="A58" s="497"/>
      <c r="B58" s="500"/>
      <c r="C58" s="498"/>
      <c r="D58" s="773" t="s">
        <v>462</v>
      </c>
      <c r="E58" s="774" t="s">
        <v>461</v>
      </c>
      <c r="F58" s="778">
        <f>'6-3.기본및실시설계투입인원'!T14</f>
        <v>0.8</v>
      </c>
      <c r="G58" s="780">
        <f>+'5-3.산출근거(2)'!$R$25</f>
        <v>238578.78030000001</v>
      </c>
      <c r="H58" s="776">
        <f>F58*G58</f>
        <v>190863.02424000003</v>
      </c>
    </row>
    <row r="59" spans="1:8" ht="17.25" customHeight="1">
      <c r="A59" s="497"/>
      <c r="B59" s="500"/>
      <c r="C59" s="498"/>
      <c r="D59" s="773" t="s">
        <v>463</v>
      </c>
      <c r="E59" s="774" t="s">
        <v>461</v>
      </c>
      <c r="F59" s="778">
        <f>'6-3.기본및실시설계투입인원'!U14</f>
        <v>3.4</v>
      </c>
      <c r="G59" s="780">
        <f>+'5-3.산출근거(2)'!$R$26</f>
        <v>199505.89618100002</v>
      </c>
      <c r="H59" s="776">
        <f>F59*G59</f>
        <v>678320.04701540002</v>
      </c>
    </row>
    <row r="60" spans="1:8" ht="17.25" customHeight="1">
      <c r="A60" s="497"/>
      <c r="B60" s="500"/>
      <c r="C60" s="498"/>
      <c r="D60" s="773" t="s">
        <v>464</v>
      </c>
      <c r="E60" s="774" t="s">
        <v>461</v>
      </c>
      <c r="F60" s="778">
        <f>'6-3.기본및실시설계투입인원'!V14</f>
        <v>1</v>
      </c>
      <c r="G60" s="780">
        <f>+'5-3.산출근거(2)'!$R$27</f>
        <v>173018.78261300002</v>
      </c>
      <c r="H60" s="776">
        <f>F60*G60</f>
        <v>173018.78261300002</v>
      </c>
    </row>
    <row r="61" spans="1:8" ht="17.25" customHeight="1">
      <c r="A61" s="497"/>
      <c r="B61" s="500"/>
      <c r="C61" s="498"/>
      <c r="D61" s="773" t="s">
        <v>465</v>
      </c>
      <c r="E61" s="774" t="s">
        <v>461</v>
      </c>
      <c r="F61" s="778">
        <f>'6-3.기본및실시설계투입인원'!W14</f>
        <v>0.5</v>
      </c>
      <c r="G61" s="780">
        <f>+'5-3.산출근거(2)'!$R$28</f>
        <v>134480.52881399999</v>
      </c>
      <c r="H61" s="776">
        <f>F61*G61</f>
        <v>67240.264406999995</v>
      </c>
    </row>
    <row r="62" spans="1:8" ht="17.25" customHeight="1">
      <c r="A62" s="497"/>
      <c r="B62" s="500"/>
      <c r="C62" s="781" t="str">
        <f>'6-3.기본및실시설계투입인원'!B15</f>
        <v>2. 제영향평가 성과검토</v>
      </c>
      <c r="D62" s="773"/>
      <c r="E62" s="774"/>
      <c r="F62" s="778">
        <f>SUM(F63:F67)</f>
        <v>10</v>
      </c>
      <c r="G62" s="776"/>
      <c r="H62" s="776">
        <f>SUM(H63:H67)</f>
        <v>2191297.5029782001</v>
      </c>
    </row>
    <row r="63" spans="1:8" ht="17.25" customHeight="1">
      <c r="A63" s="497"/>
      <c r="B63" s="500"/>
      <c r="C63" s="498"/>
      <c r="D63" s="773" t="s">
        <v>460</v>
      </c>
      <c r="E63" s="774" t="s">
        <v>461</v>
      </c>
      <c r="F63" s="778">
        <f>'6-3.기본및실시설계투입인원'!S15</f>
        <v>0.9</v>
      </c>
      <c r="G63" s="779">
        <f>+'5-3.산출근거(2)'!$R$24</f>
        <v>325327.32320500002</v>
      </c>
      <c r="H63" s="776">
        <f>F63*G63</f>
        <v>292794.59088450001</v>
      </c>
    </row>
    <row r="64" spans="1:8" ht="17.25" customHeight="1">
      <c r="A64" s="497"/>
      <c r="B64" s="500"/>
      <c r="C64" s="498"/>
      <c r="D64" s="773" t="s">
        <v>462</v>
      </c>
      <c r="E64" s="774" t="s">
        <v>461</v>
      </c>
      <c r="F64" s="778">
        <f>'6-3.기본및실시설계투입인원'!T15</f>
        <v>3.4</v>
      </c>
      <c r="G64" s="780">
        <f>+'5-3.산출근거(2)'!$R$25</f>
        <v>238578.78030000001</v>
      </c>
      <c r="H64" s="776">
        <f>F64*G64</f>
        <v>811167.85302000004</v>
      </c>
    </row>
    <row r="65" spans="1:8" ht="17.25" customHeight="1">
      <c r="A65" s="497"/>
      <c r="B65" s="500"/>
      <c r="C65" s="498"/>
      <c r="D65" s="773" t="s">
        <v>463</v>
      </c>
      <c r="E65" s="774" t="s">
        <v>461</v>
      </c>
      <c r="F65" s="778">
        <f>'6-3.기본및실시설계투입인원'!U15</f>
        <v>4.4000000000000004</v>
      </c>
      <c r="G65" s="780">
        <f>+'5-3.산출근거(2)'!$R$26</f>
        <v>199505.89618100002</v>
      </c>
      <c r="H65" s="776">
        <f>F65*G65</f>
        <v>877825.94319640019</v>
      </c>
    </row>
    <row r="66" spans="1:8" ht="17.25" customHeight="1">
      <c r="A66" s="497"/>
      <c r="B66" s="500"/>
      <c r="C66" s="498"/>
      <c r="D66" s="773" t="s">
        <v>464</v>
      </c>
      <c r="E66" s="774" t="s">
        <v>461</v>
      </c>
      <c r="F66" s="778">
        <f>'6-3.기본및실시설계투입인원'!V15</f>
        <v>0.9</v>
      </c>
      <c r="G66" s="780">
        <f>+'5-3.산출근거(2)'!$R$27</f>
        <v>173018.78261300002</v>
      </c>
      <c r="H66" s="776">
        <f>F66*G66</f>
        <v>155716.90435170001</v>
      </c>
    </row>
    <row r="67" spans="1:8" ht="17.25" customHeight="1">
      <c r="A67" s="497"/>
      <c r="B67" s="500"/>
      <c r="C67" s="498"/>
      <c r="D67" s="773" t="s">
        <v>465</v>
      </c>
      <c r="E67" s="774" t="s">
        <v>461</v>
      </c>
      <c r="F67" s="778">
        <f>'6-3.기본및실시설계투입인원'!W15</f>
        <v>0.4</v>
      </c>
      <c r="G67" s="780">
        <f>+'5-3.산출근거(2)'!$R$28</f>
        <v>134480.52881399999</v>
      </c>
      <c r="H67" s="776">
        <f>F67*G67</f>
        <v>53792.211525599996</v>
      </c>
    </row>
    <row r="68" spans="1:8" ht="17.25" customHeight="1">
      <c r="A68" s="497"/>
      <c r="B68" s="500"/>
      <c r="C68" s="781" t="str">
        <f>'6-3.기본및실시설계투입인원'!B16</f>
        <v>3. 단지토공 계획</v>
      </c>
      <c r="D68" s="773"/>
      <c r="E68" s="774"/>
      <c r="F68" s="778">
        <f>SUM(F69:F73)</f>
        <v>21.2</v>
      </c>
      <c r="G68" s="776"/>
      <c r="H68" s="776">
        <f>SUM(H69:H73)</f>
        <v>4516268.0520478003</v>
      </c>
    </row>
    <row r="69" spans="1:8" ht="17.25" customHeight="1">
      <c r="A69" s="497"/>
      <c r="B69" s="500"/>
      <c r="C69" s="498"/>
      <c r="D69" s="773" t="s">
        <v>460</v>
      </c>
      <c r="E69" s="774" t="s">
        <v>461</v>
      </c>
      <c r="F69" s="778">
        <f>'6-3.기본및실시설계투입인원'!S16</f>
        <v>3.1</v>
      </c>
      <c r="G69" s="779">
        <f>+'5-3.산출근거(2)'!$R$24</f>
        <v>325327.32320500002</v>
      </c>
      <c r="H69" s="776">
        <f>F69*G69</f>
        <v>1008514.7019355001</v>
      </c>
    </row>
    <row r="70" spans="1:8" ht="17.25" customHeight="1">
      <c r="A70" s="497"/>
      <c r="B70" s="500"/>
      <c r="C70" s="498"/>
      <c r="D70" s="773" t="s">
        <v>462</v>
      </c>
      <c r="E70" s="774" t="s">
        <v>461</v>
      </c>
      <c r="F70" s="778">
        <f>'6-3.기본및실시설계투입인원'!T16</f>
        <v>4.9000000000000004</v>
      </c>
      <c r="G70" s="780">
        <f>+'5-3.산출근거(2)'!$R$25</f>
        <v>238578.78030000001</v>
      </c>
      <c r="H70" s="776">
        <f>F70*G70</f>
        <v>1169036.0234700001</v>
      </c>
    </row>
    <row r="71" spans="1:8" ht="17.25" customHeight="1">
      <c r="A71" s="497"/>
      <c r="B71" s="500"/>
      <c r="C71" s="498"/>
      <c r="D71" s="773" t="s">
        <v>463</v>
      </c>
      <c r="E71" s="774" t="s">
        <v>461</v>
      </c>
      <c r="F71" s="778">
        <f>'6-3.기본및실시설계투입인원'!U16</f>
        <v>6</v>
      </c>
      <c r="G71" s="780">
        <f>+'5-3.산출근거(2)'!$R$26</f>
        <v>199505.89618100002</v>
      </c>
      <c r="H71" s="776">
        <f>F71*G71</f>
        <v>1197035.3770860001</v>
      </c>
    </row>
    <row r="72" spans="1:8" ht="17.25" customHeight="1">
      <c r="A72" s="497"/>
      <c r="B72" s="500"/>
      <c r="C72" s="498"/>
      <c r="D72" s="773" t="s">
        <v>464</v>
      </c>
      <c r="E72" s="774" t="s">
        <v>461</v>
      </c>
      <c r="F72" s="778">
        <f>'6-3.기본및실시설계투입인원'!V16</f>
        <v>4.5</v>
      </c>
      <c r="G72" s="780">
        <f>+'5-3.산출근거(2)'!$R$27</f>
        <v>173018.78261300002</v>
      </c>
      <c r="H72" s="776">
        <f>F72*G72</f>
        <v>778584.52175850002</v>
      </c>
    </row>
    <row r="73" spans="1:8" ht="17.25" customHeight="1">
      <c r="A73" s="497"/>
      <c r="B73" s="500"/>
      <c r="C73" s="498"/>
      <c r="D73" s="773" t="s">
        <v>465</v>
      </c>
      <c r="E73" s="774" t="s">
        <v>461</v>
      </c>
      <c r="F73" s="778">
        <f>'6-3.기본및실시설계투입인원'!W16</f>
        <v>2.7</v>
      </c>
      <c r="G73" s="780">
        <f>+'5-3.산출근거(2)'!$R$28</f>
        <v>134480.52881399999</v>
      </c>
      <c r="H73" s="776">
        <f>F73*G73</f>
        <v>363097.42779779999</v>
      </c>
    </row>
    <row r="74" spans="1:8" ht="17.25" customHeight="1">
      <c r="A74" s="497"/>
      <c r="B74" s="500"/>
      <c r="C74" s="781" t="str">
        <f>'6-3.기본및실시설계투입인원'!B17</f>
        <v>4. 연약지반처리 계획</v>
      </c>
      <c r="D74" s="773"/>
      <c r="E74" s="774"/>
      <c r="F74" s="778">
        <f>SUM(F75:F79)</f>
        <v>14.3</v>
      </c>
      <c r="G74" s="776"/>
      <c r="H74" s="776">
        <f>SUM(H75:H79)</f>
        <v>3049592.8277668003</v>
      </c>
    </row>
    <row r="75" spans="1:8" ht="17.25" customHeight="1">
      <c r="A75" s="497"/>
      <c r="B75" s="500"/>
      <c r="C75" s="498"/>
      <c r="D75" s="773" t="s">
        <v>460</v>
      </c>
      <c r="E75" s="774" t="s">
        <v>461</v>
      </c>
      <c r="F75" s="778">
        <f>'6-3.기본및실시설계투입인원'!S17</f>
        <v>2.1</v>
      </c>
      <c r="G75" s="779">
        <f>+'5-3.산출근거(2)'!$R$24</f>
        <v>325327.32320500002</v>
      </c>
      <c r="H75" s="776">
        <f>F75*G75</f>
        <v>683187.37873050012</v>
      </c>
    </row>
    <row r="76" spans="1:8" ht="17.25" customHeight="1">
      <c r="A76" s="497"/>
      <c r="B76" s="500"/>
      <c r="C76" s="498"/>
      <c r="D76" s="773" t="s">
        <v>462</v>
      </c>
      <c r="E76" s="774" t="s">
        <v>461</v>
      </c>
      <c r="F76" s="778">
        <f>'6-3.기본및실시설계투입인원'!T17</f>
        <v>3.3</v>
      </c>
      <c r="G76" s="780">
        <f>+'5-3.산출근거(2)'!$R$25</f>
        <v>238578.78030000001</v>
      </c>
      <c r="H76" s="776">
        <f>F76*G76</f>
        <v>787309.97499000002</v>
      </c>
    </row>
    <row r="77" spans="1:8" ht="17.25" customHeight="1">
      <c r="A77" s="497"/>
      <c r="B77" s="500"/>
      <c r="C77" s="498"/>
      <c r="D77" s="773" t="s">
        <v>463</v>
      </c>
      <c r="E77" s="774" t="s">
        <v>461</v>
      </c>
      <c r="F77" s="778">
        <f>'6-3.기본및실시설계투입인원'!U17</f>
        <v>4.0999999999999996</v>
      </c>
      <c r="G77" s="780">
        <f>+'5-3.산출근거(2)'!$R$26</f>
        <v>199505.89618100002</v>
      </c>
      <c r="H77" s="776">
        <f>F77*G77</f>
        <v>817974.17434210004</v>
      </c>
    </row>
    <row r="78" spans="1:8" ht="17.25" customHeight="1">
      <c r="A78" s="497"/>
      <c r="B78" s="500"/>
      <c r="C78" s="498"/>
      <c r="D78" s="773" t="s">
        <v>464</v>
      </c>
      <c r="E78" s="774" t="s">
        <v>461</v>
      </c>
      <c r="F78" s="778">
        <f>'6-3.기본및실시설계투입인원'!V17</f>
        <v>3</v>
      </c>
      <c r="G78" s="780">
        <f>+'5-3.산출근거(2)'!$R$27</f>
        <v>173018.78261300002</v>
      </c>
      <c r="H78" s="776">
        <f>F78*G78</f>
        <v>519056.34783900005</v>
      </c>
    </row>
    <row r="79" spans="1:8" ht="17.25" customHeight="1">
      <c r="A79" s="497"/>
      <c r="B79" s="500"/>
      <c r="C79" s="498"/>
      <c r="D79" s="773" t="s">
        <v>465</v>
      </c>
      <c r="E79" s="774" t="s">
        <v>461</v>
      </c>
      <c r="F79" s="778">
        <f>'6-3.기본및실시설계투입인원'!W17</f>
        <v>1.8</v>
      </c>
      <c r="G79" s="780">
        <f>+'5-3.산출근거(2)'!$R$28</f>
        <v>134480.52881399999</v>
      </c>
      <c r="H79" s="776">
        <f>F79*G79</f>
        <v>242064.95186519998</v>
      </c>
    </row>
    <row r="80" spans="1:8" ht="17.25" customHeight="1">
      <c r="A80" s="497"/>
      <c r="B80" s="500"/>
      <c r="C80" s="781" t="str">
        <f>'6-3.기본및실시설계투입인원'!B18</f>
        <v>5. 우수배제 계획</v>
      </c>
      <c r="D80" s="773"/>
      <c r="E80" s="774"/>
      <c r="F80" s="778">
        <f>SUM(F81:F85)</f>
        <v>8.6999999999999993</v>
      </c>
      <c r="G80" s="776"/>
      <c r="H80" s="776">
        <f>SUM(H81:H85)</f>
        <v>1876449.0295149002</v>
      </c>
    </row>
    <row r="81" spans="1:8" ht="17.25" customHeight="1">
      <c r="A81" s="497"/>
      <c r="B81" s="500"/>
      <c r="C81" s="498"/>
      <c r="D81" s="773" t="s">
        <v>460</v>
      </c>
      <c r="E81" s="774" t="s">
        <v>461</v>
      </c>
      <c r="F81" s="778">
        <f>'6-3.기본및실시설계투입인원'!S18</f>
        <v>1.6</v>
      </c>
      <c r="G81" s="779">
        <f>+'5-3.산출근거(2)'!$R$24</f>
        <v>325327.32320500002</v>
      </c>
      <c r="H81" s="776">
        <f>F81*G81</f>
        <v>520523.71712800005</v>
      </c>
    </row>
    <row r="82" spans="1:8" ht="17.25" customHeight="1">
      <c r="A82" s="497"/>
      <c r="B82" s="500"/>
      <c r="C82" s="498"/>
      <c r="D82" s="773" t="s">
        <v>462</v>
      </c>
      <c r="E82" s="774" t="s">
        <v>461</v>
      </c>
      <c r="F82" s="778">
        <f>'6-3.기본및실시설계투입인원'!T18</f>
        <v>2</v>
      </c>
      <c r="G82" s="780">
        <f>+'5-3.산출근거(2)'!$R$25</f>
        <v>238578.78030000001</v>
      </c>
      <c r="H82" s="776">
        <f>F82*G82</f>
        <v>477157.56060000003</v>
      </c>
    </row>
    <row r="83" spans="1:8" ht="17.25" customHeight="1">
      <c r="A83" s="497"/>
      <c r="B83" s="500"/>
      <c r="C83" s="498"/>
      <c r="D83" s="773" t="s">
        <v>463</v>
      </c>
      <c r="E83" s="774" t="s">
        <v>461</v>
      </c>
      <c r="F83" s="778">
        <f>'6-3.기본및실시설계투입인원'!U18</f>
        <v>1.9</v>
      </c>
      <c r="G83" s="780">
        <f>+'5-3.산출근거(2)'!$R$26</f>
        <v>199505.89618100002</v>
      </c>
      <c r="H83" s="776">
        <f>F83*G83</f>
        <v>379061.20274390001</v>
      </c>
    </row>
    <row r="84" spans="1:8" ht="17.25" customHeight="1">
      <c r="A84" s="497"/>
      <c r="B84" s="500"/>
      <c r="C84" s="498"/>
      <c r="D84" s="773" t="s">
        <v>464</v>
      </c>
      <c r="E84" s="774" t="s">
        <v>461</v>
      </c>
      <c r="F84" s="778">
        <f>'6-3.기본및실시설계투입인원'!V18</f>
        <v>1.8</v>
      </c>
      <c r="G84" s="780">
        <f>+'5-3.산출근거(2)'!$R$27</f>
        <v>173018.78261300002</v>
      </c>
      <c r="H84" s="776">
        <f>F84*G84</f>
        <v>311433.80870340002</v>
      </c>
    </row>
    <row r="85" spans="1:8" ht="17.25" customHeight="1">
      <c r="A85" s="497"/>
      <c r="B85" s="500"/>
      <c r="C85" s="498"/>
      <c r="D85" s="773" t="s">
        <v>465</v>
      </c>
      <c r="E85" s="774" t="s">
        <v>461</v>
      </c>
      <c r="F85" s="778">
        <f>'6-3.기본및실시설계투입인원'!W18</f>
        <v>1.4</v>
      </c>
      <c r="G85" s="780">
        <f>+'5-3.산출근거(2)'!$R$28</f>
        <v>134480.52881399999</v>
      </c>
      <c r="H85" s="776">
        <f>F85*G85</f>
        <v>188272.74033959999</v>
      </c>
    </row>
    <row r="86" spans="1:8" ht="17.25" customHeight="1">
      <c r="A86" s="497"/>
      <c r="B86" s="500"/>
      <c r="C86" s="781" t="str">
        <f>'6-3.기본및실시설계투입인원'!B19</f>
        <v>6. 오수처리 계획</v>
      </c>
      <c r="D86" s="773"/>
      <c r="E86" s="774"/>
      <c r="F86" s="778">
        <f>SUM(F87:F91)</f>
        <v>6.4</v>
      </c>
      <c r="G86" s="776"/>
      <c r="H86" s="776">
        <f>SUM(H87:H91)</f>
        <v>1389185.5238214</v>
      </c>
    </row>
    <row r="87" spans="1:8" ht="17.25" customHeight="1">
      <c r="A87" s="497"/>
      <c r="B87" s="500"/>
      <c r="C87" s="498"/>
      <c r="D87" s="773" t="s">
        <v>460</v>
      </c>
      <c r="E87" s="774" t="s">
        <v>461</v>
      </c>
      <c r="F87" s="778">
        <f>'6-3.기본및실시설계투입인원'!S19</f>
        <v>1</v>
      </c>
      <c r="G87" s="779">
        <f>+'5-3.산출근거(2)'!$R$24</f>
        <v>325327.32320500002</v>
      </c>
      <c r="H87" s="776">
        <f>F87*G87</f>
        <v>325327.32320500002</v>
      </c>
    </row>
    <row r="88" spans="1:8" ht="17.25" customHeight="1">
      <c r="A88" s="497"/>
      <c r="B88" s="500"/>
      <c r="C88" s="498"/>
      <c r="D88" s="773" t="s">
        <v>462</v>
      </c>
      <c r="E88" s="774" t="s">
        <v>461</v>
      </c>
      <c r="F88" s="778">
        <f>'6-3.기본및실시설계투입인원'!T19</f>
        <v>1.8</v>
      </c>
      <c r="G88" s="780">
        <f>+'5-3.산출근거(2)'!$R$25</f>
        <v>238578.78030000001</v>
      </c>
      <c r="H88" s="776">
        <f>F88*G88</f>
        <v>429441.80454000004</v>
      </c>
    </row>
    <row r="89" spans="1:8" ht="17.25" customHeight="1">
      <c r="A89" s="497"/>
      <c r="B89" s="500"/>
      <c r="C89" s="498"/>
      <c r="D89" s="773" t="s">
        <v>463</v>
      </c>
      <c r="E89" s="774" t="s">
        <v>461</v>
      </c>
      <c r="F89" s="778">
        <f>'6-3.기본및실시설계투입인원'!U19</f>
        <v>1.6</v>
      </c>
      <c r="G89" s="780">
        <f>+'5-3.산출근거(2)'!$R$26</f>
        <v>199505.89618100002</v>
      </c>
      <c r="H89" s="776">
        <f>F89*G89</f>
        <v>319209.43388960004</v>
      </c>
    </row>
    <row r="90" spans="1:8" ht="17.25" customHeight="1">
      <c r="A90" s="497"/>
      <c r="B90" s="500"/>
      <c r="C90" s="498"/>
      <c r="D90" s="773" t="s">
        <v>464</v>
      </c>
      <c r="E90" s="774" t="s">
        <v>461</v>
      </c>
      <c r="F90" s="778">
        <f>'6-3.기본및실시설계투입인원'!V19</f>
        <v>1.2</v>
      </c>
      <c r="G90" s="780">
        <f>+'5-3.산출근거(2)'!$R$27</f>
        <v>173018.78261300002</v>
      </c>
      <c r="H90" s="776">
        <f>F90*G90</f>
        <v>207622.5391356</v>
      </c>
    </row>
    <row r="91" spans="1:8" ht="17.25" customHeight="1">
      <c r="A91" s="497"/>
      <c r="B91" s="500"/>
      <c r="C91" s="498"/>
      <c r="D91" s="773" t="s">
        <v>465</v>
      </c>
      <c r="E91" s="774" t="s">
        <v>461</v>
      </c>
      <c r="F91" s="778">
        <f>'6-3.기본및실시설계투입인원'!W19</f>
        <v>0.8</v>
      </c>
      <c r="G91" s="780">
        <f>+'5-3.산출근거(2)'!$R$28</f>
        <v>134480.52881399999</v>
      </c>
      <c r="H91" s="776">
        <f>F91*G91</f>
        <v>107584.42305119999</v>
      </c>
    </row>
    <row r="92" spans="1:8" ht="17.25" customHeight="1">
      <c r="A92" s="497"/>
      <c r="B92" s="500"/>
      <c r="C92" s="781" t="str">
        <f>'6-3.기본및실시설계투입인원'!B20</f>
        <v>7. 상수공급 계획</v>
      </c>
      <c r="D92" s="773"/>
      <c r="E92" s="774"/>
      <c r="F92" s="778">
        <f>SUM(F93:F97)</f>
        <v>4.7</v>
      </c>
      <c r="G92" s="776"/>
      <c r="H92" s="776">
        <f>SUM(H93:H97)</f>
        <v>1009363.6185079</v>
      </c>
    </row>
    <row r="93" spans="1:8" ht="17.25" customHeight="1">
      <c r="A93" s="497"/>
      <c r="B93" s="500"/>
      <c r="C93" s="498"/>
      <c r="D93" s="773" t="s">
        <v>460</v>
      </c>
      <c r="E93" s="774" t="s">
        <v>461</v>
      </c>
      <c r="F93" s="778">
        <f>'6-3.기본및실시설계투입인원'!S20</f>
        <v>0.8</v>
      </c>
      <c r="G93" s="779">
        <f>+'5-3.산출근거(2)'!$R$24</f>
        <v>325327.32320500002</v>
      </c>
      <c r="H93" s="776">
        <f>F93*G93</f>
        <v>260261.85856400002</v>
      </c>
    </row>
    <row r="94" spans="1:8" ht="17.25" customHeight="1">
      <c r="A94" s="497"/>
      <c r="B94" s="500"/>
      <c r="C94" s="498"/>
      <c r="D94" s="773" t="s">
        <v>462</v>
      </c>
      <c r="E94" s="774" t="s">
        <v>461</v>
      </c>
      <c r="F94" s="778">
        <f>'6-3.기본및실시설계투입인원'!T20</f>
        <v>1.2</v>
      </c>
      <c r="G94" s="780">
        <f>+'5-3.산출근거(2)'!$R$25</f>
        <v>238578.78030000001</v>
      </c>
      <c r="H94" s="776">
        <f>F94*G94</f>
        <v>286294.53636000003</v>
      </c>
    </row>
    <row r="95" spans="1:8" ht="17.25" customHeight="1">
      <c r="A95" s="497"/>
      <c r="B95" s="500"/>
      <c r="C95" s="498"/>
      <c r="D95" s="773" t="s">
        <v>463</v>
      </c>
      <c r="E95" s="774" t="s">
        <v>461</v>
      </c>
      <c r="F95" s="778">
        <f>'6-3.기본및실시설계투입인원'!U20</f>
        <v>1</v>
      </c>
      <c r="G95" s="780">
        <f>+'5-3.산출근거(2)'!$R$26</f>
        <v>199505.89618100002</v>
      </c>
      <c r="H95" s="776">
        <f>F95*G95</f>
        <v>199505.89618100002</v>
      </c>
    </row>
    <row r="96" spans="1:8" ht="17.25" customHeight="1">
      <c r="A96" s="497"/>
      <c r="B96" s="500"/>
      <c r="C96" s="498"/>
      <c r="D96" s="773" t="s">
        <v>464</v>
      </c>
      <c r="E96" s="774" t="s">
        <v>461</v>
      </c>
      <c r="F96" s="778">
        <f>'6-3.기본및실시설계투입인원'!V20</f>
        <v>0.9</v>
      </c>
      <c r="G96" s="780">
        <f>+'5-3.산출근거(2)'!$R$27</f>
        <v>173018.78261300002</v>
      </c>
      <c r="H96" s="776">
        <f>F96*G96</f>
        <v>155716.90435170001</v>
      </c>
    </row>
    <row r="97" spans="1:8" ht="17.25" customHeight="1">
      <c r="A97" s="497"/>
      <c r="B97" s="500"/>
      <c r="C97" s="498"/>
      <c r="D97" s="773" t="s">
        <v>465</v>
      </c>
      <c r="E97" s="774" t="s">
        <v>461</v>
      </c>
      <c r="F97" s="778">
        <f>'6-3.기본및실시설계투입인원'!W20</f>
        <v>0.8</v>
      </c>
      <c r="G97" s="780">
        <f>+'5-3.산출근거(2)'!$R$28</f>
        <v>134480.52881399999</v>
      </c>
      <c r="H97" s="776">
        <f>F97*G97</f>
        <v>107584.42305119999</v>
      </c>
    </row>
    <row r="98" spans="1:8" ht="17.25" customHeight="1">
      <c r="A98" s="497"/>
      <c r="B98" s="500"/>
      <c r="C98" s="781" t="str">
        <f>'6-3.기본및실시설계투입인원'!B21</f>
        <v>8. 도시시설물 계획</v>
      </c>
      <c r="D98" s="773"/>
      <c r="E98" s="774"/>
      <c r="F98" s="778">
        <f>SUM(F99:F103)</f>
        <v>18.7</v>
      </c>
      <c r="G98" s="776"/>
      <c r="H98" s="776">
        <f>SUM(H99:H103)</f>
        <v>3561886.1020578002</v>
      </c>
    </row>
    <row r="99" spans="1:8" ht="17.25" customHeight="1">
      <c r="A99" s="497"/>
      <c r="B99" s="500"/>
      <c r="C99" s="498"/>
      <c r="D99" s="773" t="s">
        <v>460</v>
      </c>
      <c r="E99" s="774" t="s">
        <v>461</v>
      </c>
      <c r="F99" s="778">
        <f>'6-3.기본및실시설계투입인원'!S21</f>
        <v>1.4</v>
      </c>
      <c r="G99" s="779">
        <f>+'5-3.산출근거(2)'!$R$24</f>
        <v>325327.32320500002</v>
      </c>
      <c r="H99" s="776">
        <f>F99*G99</f>
        <v>455458.25248700002</v>
      </c>
    </row>
    <row r="100" spans="1:8" ht="17.25" customHeight="1">
      <c r="A100" s="497"/>
      <c r="B100" s="500"/>
      <c r="C100" s="498"/>
      <c r="D100" s="773" t="s">
        <v>462</v>
      </c>
      <c r="E100" s="774" t="s">
        <v>461</v>
      </c>
      <c r="F100" s="778">
        <f>'6-3.기본및실시설계투입인원'!T21</f>
        <v>1.9</v>
      </c>
      <c r="G100" s="780">
        <f>+'5-3.산출근거(2)'!$R$25</f>
        <v>238578.78030000001</v>
      </c>
      <c r="H100" s="776">
        <f>F100*G100</f>
        <v>453299.68257</v>
      </c>
    </row>
    <row r="101" spans="1:8" ht="17.25" customHeight="1">
      <c r="A101" s="497"/>
      <c r="B101" s="500"/>
      <c r="C101" s="498"/>
      <c r="D101" s="773" t="s">
        <v>463</v>
      </c>
      <c r="E101" s="774" t="s">
        <v>461</v>
      </c>
      <c r="F101" s="778">
        <f>'6-3.기본및실시설계투입인원'!U21</f>
        <v>5.0999999999999996</v>
      </c>
      <c r="G101" s="780">
        <f>+'5-3.산출근거(2)'!$R$26</f>
        <v>199505.89618100002</v>
      </c>
      <c r="H101" s="776">
        <f>F101*G101</f>
        <v>1017480.0705231</v>
      </c>
    </row>
    <row r="102" spans="1:8" ht="17.25" customHeight="1">
      <c r="A102" s="497"/>
      <c r="B102" s="500"/>
      <c r="C102" s="498"/>
      <c r="D102" s="773" t="s">
        <v>464</v>
      </c>
      <c r="E102" s="774" t="s">
        <v>461</v>
      </c>
      <c r="F102" s="778">
        <f>'6-3.기본및실시설계투입인원'!V21</f>
        <v>6.5</v>
      </c>
      <c r="G102" s="780">
        <f>+'5-3.산출근거(2)'!$R$27</f>
        <v>173018.78261300002</v>
      </c>
      <c r="H102" s="776">
        <f>F102*G102</f>
        <v>1124622.0869845001</v>
      </c>
    </row>
    <row r="103" spans="1:8" ht="17.25" customHeight="1">
      <c r="A103" s="502"/>
      <c r="B103" s="501"/>
      <c r="C103" s="503"/>
      <c r="D103" s="773" t="s">
        <v>465</v>
      </c>
      <c r="E103" s="774" t="s">
        <v>461</v>
      </c>
      <c r="F103" s="778">
        <f>'6-3.기본및실시설계투입인원'!W21</f>
        <v>3.8</v>
      </c>
      <c r="G103" s="780">
        <f>+'5-3.산출근거(2)'!$R$28</f>
        <v>134480.52881399999</v>
      </c>
      <c r="H103" s="776">
        <f>F103*G103</f>
        <v>511026.00949319993</v>
      </c>
    </row>
    <row r="104" spans="1:8" ht="17.25" customHeight="1">
      <c r="A104" s="782"/>
      <c r="B104" s="777"/>
      <c r="C104" s="781" t="str">
        <f>'6-3.기본및실시설계투입인원'!B22</f>
        <v>9. 설계기준 작성</v>
      </c>
      <c r="D104" s="773"/>
      <c r="E104" s="774"/>
      <c r="F104" s="778">
        <f>SUM(F105:F109)</f>
        <v>29.5</v>
      </c>
      <c r="G104" s="776"/>
      <c r="H104" s="776">
        <f>SUM(H105:H109)</f>
        <v>6507294.5646692002</v>
      </c>
    </row>
    <row r="105" spans="1:8" ht="17.25" customHeight="1">
      <c r="A105" s="497"/>
      <c r="B105" s="500"/>
      <c r="C105" s="498"/>
      <c r="D105" s="773" t="s">
        <v>460</v>
      </c>
      <c r="E105" s="774" t="s">
        <v>461</v>
      </c>
      <c r="F105" s="778">
        <f>'6-3.기본및실시설계투입인원'!S22</f>
        <v>5.0999999999999996</v>
      </c>
      <c r="G105" s="779">
        <f>+'5-3.산출근거(2)'!$R$24</f>
        <v>325327.32320500002</v>
      </c>
      <c r="H105" s="776">
        <f>F105*G105</f>
        <v>1659169.3483455</v>
      </c>
    </row>
    <row r="106" spans="1:8" ht="17.25" customHeight="1">
      <c r="A106" s="497"/>
      <c r="B106" s="500"/>
      <c r="C106" s="498"/>
      <c r="D106" s="773" t="s">
        <v>462</v>
      </c>
      <c r="E106" s="774" t="s">
        <v>461</v>
      </c>
      <c r="F106" s="778">
        <f>'6-3.기본및실시설계투입인원'!T22</f>
        <v>7.4</v>
      </c>
      <c r="G106" s="780">
        <f>+'5-3.산출근거(2)'!$R$25</f>
        <v>238578.78030000001</v>
      </c>
      <c r="H106" s="776">
        <f>F106*G106</f>
        <v>1765482.9742200002</v>
      </c>
    </row>
    <row r="107" spans="1:8" ht="17.25" customHeight="1">
      <c r="A107" s="497"/>
      <c r="B107" s="500"/>
      <c r="C107" s="498"/>
      <c r="D107" s="773" t="s">
        <v>463</v>
      </c>
      <c r="E107" s="774" t="s">
        <v>461</v>
      </c>
      <c r="F107" s="778">
        <f>'6-3.기본및실시설계투입인원'!U22</f>
        <v>8.1</v>
      </c>
      <c r="G107" s="780">
        <f>+'5-3.산출근거(2)'!$R$26</f>
        <v>199505.89618100002</v>
      </c>
      <c r="H107" s="776">
        <f>F107*G107</f>
        <v>1615997.7590661</v>
      </c>
    </row>
    <row r="108" spans="1:8" ht="17.25" customHeight="1">
      <c r="A108" s="497"/>
      <c r="B108" s="500"/>
      <c r="C108" s="498"/>
      <c r="D108" s="773" t="s">
        <v>464</v>
      </c>
      <c r="E108" s="774" t="s">
        <v>461</v>
      </c>
      <c r="F108" s="778">
        <f>'6-3.기본및실시설계투입인원'!V22</f>
        <v>7</v>
      </c>
      <c r="G108" s="780">
        <f>+'5-3.산출근거(2)'!$R$27</f>
        <v>173018.78261300002</v>
      </c>
      <c r="H108" s="776">
        <f>F108*G108</f>
        <v>1211131.4782910002</v>
      </c>
    </row>
    <row r="109" spans="1:8" ht="17.25" customHeight="1">
      <c r="A109" s="497"/>
      <c r="B109" s="500"/>
      <c r="C109" s="498"/>
      <c r="D109" s="773" t="s">
        <v>465</v>
      </c>
      <c r="E109" s="774" t="s">
        <v>461</v>
      </c>
      <c r="F109" s="778">
        <f>'6-3.기본및실시설계투입인원'!W22</f>
        <v>1.9</v>
      </c>
      <c r="G109" s="780">
        <f>+'5-3.산출근거(2)'!$R$28</f>
        <v>134480.52881399999</v>
      </c>
      <c r="H109" s="776">
        <f>F109*G109</f>
        <v>255513.00474659997</v>
      </c>
    </row>
    <row r="110" spans="1:8" ht="17.25" customHeight="1">
      <c r="A110" s="497"/>
      <c r="B110" s="500"/>
      <c r="C110" s="781" t="str">
        <f>'6-3.기본및실시설계투입인원'!B23</f>
        <v>10. 관계기관 협의 및 민원검토</v>
      </c>
      <c r="D110" s="773"/>
      <c r="E110" s="774"/>
      <c r="F110" s="778">
        <f>SUM(F111:F115)</f>
        <v>11.4</v>
      </c>
      <c r="G110" s="776"/>
      <c r="H110" s="776">
        <f>SUM(H111:H115)</f>
        <v>2453341.9717806</v>
      </c>
    </row>
    <row r="111" spans="1:8" ht="17.25" customHeight="1">
      <c r="A111" s="497"/>
      <c r="B111" s="500"/>
      <c r="C111" s="498"/>
      <c r="D111" s="773" t="s">
        <v>460</v>
      </c>
      <c r="E111" s="774" t="s">
        <v>461</v>
      </c>
      <c r="F111" s="778">
        <f>'6-3.기본및실시설계투입인원'!S23</f>
        <v>1.8</v>
      </c>
      <c r="G111" s="779">
        <f>+'5-3.산출근거(2)'!$R$24</f>
        <v>325327.32320500002</v>
      </c>
      <c r="H111" s="776">
        <f>F111*G111</f>
        <v>585589.18176900002</v>
      </c>
    </row>
    <row r="112" spans="1:8" ht="17.25" customHeight="1">
      <c r="A112" s="497"/>
      <c r="B112" s="500"/>
      <c r="C112" s="498"/>
      <c r="D112" s="773" t="s">
        <v>462</v>
      </c>
      <c r="E112" s="774" t="s">
        <v>461</v>
      </c>
      <c r="F112" s="778">
        <f>'6-3.기본및실시설계투입인원'!T23</f>
        <v>3</v>
      </c>
      <c r="G112" s="780">
        <f>+'5-3.산출근거(2)'!$R$25</f>
        <v>238578.78030000001</v>
      </c>
      <c r="H112" s="776">
        <f>F112*G112</f>
        <v>715736.34090000007</v>
      </c>
    </row>
    <row r="113" spans="1:8" ht="17.25" customHeight="1">
      <c r="A113" s="497"/>
      <c r="B113" s="500"/>
      <c r="C113" s="498"/>
      <c r="D113" s="773" t="s">
        <v>463</v>
      </c>
      <c r="E113" s="774" t="s">
        <v>461</v>
      </c>
      <c r="F113" s="778">
        <f>'6-3.기본및실시설계투입인원'!U23</f>
        <v>3</v>
      </c>
      <c r="G113" s="780">
        <f>+'5-3.산출근거(2)'!$R$26</f>
        <v>199505.89618100002</v>
      </c>
      <c r="H113" s="776">
        <f>F113*G113</f>
        <v>598517.68854300003</v>
      </c>
    </row>
    <row r="114" spans="1:8" ht="17.25" customHeight="1">
      <c r="A114" s="497"/>
      <c r="B114" s="500"/>
      <c r="C114" s="498"/>
      <c r="D114" s="773" t="s">
        <v>464</v>
      </c>
      <c r="E114" s="774" t="s">
        <v>461</v>
      </c>
      <c r="F114" s="778">
        <f>'6-3.기본및실시설계투입인원'!V23</f>
        <v>1.8</v>
      </c>
      <c r="G114" s="780">
        <f>+'5-3.산출근거(2)'!$R$27</f>
        <v>173018.78261300002</v>
      </c>
      <c r="H114" s="776">
        <f>F114*G114</f>
        <v>311433.80870340002</v>
      </c>
    </row>
    <row r="115" spans="1:8" ht="17.25" customHeight="1">
      <c r="A115" s="497"/>
      <c r="B115" s="500"/>
      <c r="C115" s="498"/>
      <c r="D115" s="773" t="s">
        <v>465</v>
      </c>
      <c r="E115" s="774" t="s">
        <v>461</v>
      </c>
      <c r="F115" s="778">
        <f>'6-3.기본및실시설계투입인원'!W23</f>
        <v>1.8</v>
      </c>
      <c r="G115" s="780">
        <f>+'5-3.산출근거(2)'!$R$28</f>
        <v>134480.52881399999</v>
      </c>
      <c r="H115" s="776">
        <f>F115*G115</f>
        <v>242064.95186519998</v>
      </c>
    </row>
    <row r="116" spans="1:8" ht="17.25" customHeight="1">
      <c r="A116" s="497"/>
      <c r="B116" s="500"/>
      <c r="C116" s="781" t="str">
        <f>'6-3.기본및실시설계투입인원'!B24</f>
        <v>11. 단계별 자문 및 방침자료작성</v>
      </c>
      <c r="D116" s="773"/>
      <c r="E116" s="774"/>
      <c r="F116" s="778">
        <f>SUM(F117:F121)</f>
        <v>225.20000000000002</v>
      </c>
      <c r="G116" s="776"/>
      <c r="H116" s="776">
        <f>SUM(H117:H121)</f>
        <v>49786147.107049607</v>
      </c>
    </row>
    <row r="117" spans="1:8" ht="17.25" customHeight="1">
      <c r="A117" s="497"/>
      <c r="B117" s="500"/>
      <c r="C117" s="498"/>
      <c r="D117" s="773" t="s">
        <v>460</v>
      </c>
      <c r="E117" s="774" t="s">
        <v>461</v>
      </c>
      <c r="F117" s="778">
        <f>'6-3.기본및실시설계투입인원'!S24</f>
        <v>46</v>
      </c>
      <c r="G117" s="779">
        <f>+'5-3.산출근거(2)'!$R$24</f>
        <v>325327.32320500002</v>
      </c>
      <c r="H117" s="776">
        <f>F117*G117</f>
        <v>14965056.867430001</v>
      </c>
    </row>
    <row r="118" spans="1:8" ht="17.25" customHeight="1">
      <c r="A118" s="497"/>
      <c r="B118" s="500"/>
      <c r="C118" s="498"/>
      <c r="D118" s="773" t="s">
        <v>462</v>
      </c>
      <c r="E118" s="774" t="s">
        <v>461</v>
      </c>
      <c r="F118" s="778">
        <f>'6-3.기본및실시설계투입인원'!T24</f>
        <v>50</v>
      </c>
      <c r="G118" s="780">
        <f>+'5-3.산출근거(2)'!$R$25</f>
        <v>238578.78030000001</v>
      </c>
      <c r="H118" s="776">
        <f>F118*G118</f>
        <v>11928939.015000001</v>
      </c>
    </row>
    <row r="119" spans="1:8" ht="17.25" customHeight="1">
      <c r="A119" s="497"/>
      <c r="B119" s="500"/>
      <c r="C119" s="498"/>
      <c r="D119" s="773" t="s">
        <v>463</v>
      </c>
      <c r="E119" s="774" t="s">
        <v>461</v>
      </c>
      <c r="F119" s="778">
        <f>'6-3.기본및실시설계투입인원'!U24</f>
        <v>56.4</v>
      </c>
      <c r="G119" s="780">
        <f>+'5-3.산출근거(2)'!$R$26</f>
        <v>199505.89618100002</v>
      </c>
      <c r="H119" s="776">
        <f>F119*G119</f>
        <v>11252132.544608401</v>
      </c>
    </row>
    <row r="120" spans="1:8" ht="17.25" customHeight="1">
      <c r="A120" s="497"/>
      <c r="B120" s="500"/>
      <c r="C120" s="498"/>
      <c r="D120" s="773" t="s">
        <v>464</v>
      </c>
      <c r="E120" s="774" t="s">
        <v>461</v>
      </c>
      <c r="F120" s="778">
        <f>'6-3.기본및실시설계투입인원'!V24</f>
        <v>48</v>
      </c>
      <c r="G120" s="780">
        <f>+'5-3.산출근거(2)'!$R$27</f>
        <v>173018.78261300002</v>
      </c>
      <c r="H120" s="776">
        <f>F120*G120</f>
        <v>8304901.5654240008</v>
      </c>
    </row>
    <row r="121" spans="1:8" ht="17.25" customHeight="1">
      <c r="A121" s="497"/>
      <c r="B121" s="501"/>
      <c r="C121" s="498"/>
      <c r="D121" s="773" t="s">
        <v>465</v>
      </c>
      <c r="E121" s="774" t="s">
        <v>461</v>
      </c>
      <c r="F121" s="778">
        <f>'6-3.기본및실시설계투입인원'!W24</f>
        <v>24.8</v>
      </c>
      <c r="G121" s="780">
        <f>+'5-3.산출근거(2)'!$R$28</f>
        <v>134480.52881399999</v>
      </c>
      <c r="H121" s="776">
        <f>F121*G121</f>
        <v>3335117.1145871999</v>
      </c>
    </row>
    <row r="122" spans="1:8" ht="17.25" customHeight="1">
      <c r="A122" s="497"/>
      <c r="B122" s="1655" t="s">
        <v>467</v>
      </c>
      <c r="C122" s="1656"/>
      <c r="D122" s="773"/>
      <c r="E122" s="774"/>
      <c r="F122" s="778"/>
      <c r="G122" s="776"/>
      <c r="H122" s="776">
        <f>SUM(H123,H129,H135,H141,H147,H153,H159,H165,H171)</f>
        <v>29933807.648492403</v>
      </c>
    </row>
    <row r="123" spans="1:8" ht="17.25" customHeight="1">
      <c r="A123" s="497"/>
      <c r="B123" s="777"/>
      <c r="C123" s="499" t="str">
        <f>'6-3.기본및실시설계투입인원'!B26</f>
        <v>1. 단지정지 및 토공 설계</v>
      </c>
      <c r="D123" s="773"/>
      <c r="E123" s="774"/>
      <c r="F123" s="778">
        <f>SUM(F124:F128)</f>
        <v>25.299999999999997</v>
      </c>
      <c r="G123" s="776"/>
      <c r="H123" s="776">
        <f>SUM(H124:H128)</f>
        <v>5115336.7916992009</v>
      </c>
    </row>
    <row r="124" spans="1:8" ht="17.25" customHeight="1">
      <c r="A124" s="497"/>
      <c r="B124" s="500"/>
      <c r="C124" s="498"/>
      <c r="D124" s="773" t="s">
        <v>460</v>
      </c>
      <c r="E124" s="774" t="s">
        <v>461</v>
      </c>
      <c r="F124" s="778">
        <f>'6-3.기본및실시설계투입인원'!S26</f>
        <v>2.6</v>
      </c>
      <c r="G124" s="779">
        <f>+'5-3.산출근거(2)'!$R$24</f>
        <v>325327.32320500002</v>
      </c>
      <c r="H124" s="776">
        <f>F124*G124</f>
        <v>845851.04033300013</v>
      </c>
    </row>
    <row r="125" spans="1:8" ht="17.25" customHeight="1">
      <c r="A125" s="497"/>
      <c r="B125" s="500"/>
      <c r="C125" s="498"/>
      <c r="D125" s="773" t="s">
        <v>462</v>
      </c>
      <c r="E125" s="774" t="s">
        <v>461</v>
      </c>
      <c r="F125" s="778">
        <f>'6-3.기본및실시설계투입인원'!T26</f>
        <v>5</v>
      </c>
      <c r="G125" s="780">
        <f>+'5-3.산출근거(2)'!$R$25</f>
        <v>238578.78030000001</v>
      </c>
      <c r="H125" s="776">
        <f>F125*G125</f>
        <v>1192893.9015000002</v>
      </c>
    </row>
    <row r="126" spans="1:8" ht="17.25" customHeight="1">
      <c r="A126" s="497"/>
      <c r="B126" s="500"/>
      <c r="C126" s="498"/>
      <c r="D126" s="773" t="s">
        <v>463</v>
      </c>
      <c r="E126" s="774" t="s">
        <v>461</v>
      </c>
      <c r="F126" s="778">
        <f>'6-3.기본및실시설계투입인원'!U26</f>
        <v>6.5</v>
      </c>
      <c r="G126" s="780">
        <f>+'5-3.산출근거(2)'!$R$26</f>
        <v>199505.89618100002</v>
      </c>
      <c r="H126" s="776">
        <f>F126*G126</f>
        <v>1296788.3251765</v>
      </c>
    </row>
    <row r="127" spans="1:8" ht="17.25" customHeight="1">
      <c r="A127" s="497"/>
      <c r="B127" s="500"/>
      <c r="C127" s="498"/>
      <c r="D127" s="773" t="s">
        <v>464</v>
      </c>
      <c r="E127" s="774" t="s">
        <v>461</v>
      </c>
      <c r="F127" s="778">
        <f>'6-3.기본및실시설계투입인원'!V26</f>
        <v>7.1</v>
      </c>
      <c r="G127" s="780">
        <f>+'5-3.산출근거(2)'!$R$27</f>
        <v>173018.78261300002</v>
      </c>
      <c r="H127" s="776">
        <f>F127*G127</f>
        <v>1228433.3565523</v>
      </c>
    </row>
    <row r="128" spans="1:8" ht="17.25" customHeight="1">
      <c r="A128" s="497"/>
      <c r="B128" s="500"/>
      <c r="C128" s="498"/>
      <c r="D128" s="773" t="s">
        <v>465</v>
      </c>
      <c r="E128" s="774" t="s">
        <v>461</v>
      </c>
      <c r="F128" s="778">
        <f>'6-3.기본및실시설계투입인원'!W26</f>
        <v>4.0999999999999996</v>
      </c>
      <c r="G128" s="780">
        <f>+'5-3.산출근거(2)'!$R$28</f>
        <v>134480.52881399999</v>
      </c>
      <c r="H128" s="776">
        <f>F128*G128</f>
        <v>551370.16813739995</v>
      </c>
    </row>
    <row r="129" spans="1:8" ht="17.25" customHeight="1">
      <c r="A129" s="497"/>
      <c r="B129" s="500"/>
      <c r="C129" s="781" t="str">
        <f>'6-3.기본및실시설계투입인원'!B27</f>
        <v>2. 연약지반처리 설계</v>
      </c>
      <c r="D129" s="773"/>
      <c r="E129" s="774"/>
      <c r="F129" s="778">
        <f>SUM(F130:F134)</f>
        <v>12.6</v>
      </c>
      <c r="G129" s="776"/>
      <c r="H129" s="776">
        <f>SUM(H130:H134)</f>
        <v>2730295.4662835002</v>
      </c>
    </row>
    <row r="130" spans="1:8" ht="17.25" customHeight="1">
      <c r="A130" s="497"/>
      <c r="B130" s="500"/>
      <c r="C130" s="498"/>
      <c r="D130" s="773" t="s">
        <v>460</v>
      </c>
      <c r="E130" s="774" t="s">
        <v>461</v>
      </c>
      <c r="F130" s="778">
        <f>'6-3.기본및실시설계투입인원'!S27</f>
        <v>1.7</v>
      </c>
      <c r="G130" s="779">
        <f>+'5-3.산출근거(2)'!$R$24</f>
        <v>325327.32320500002</v>
      </c>
      <c r="H130" s="776">
        <f>F130*G130</f>
        <v>553056.44944850006</v>
      </c>
    </row>
    <row r="131" spans="1:8" ht="17.25" customHeight="1">
      <c r="A131" s="497"/>
      <c r="B131" s="500"/>
      <c r="C131" s="498"/>
      <c r="D131" s="773" t="s">
        <v>462</v>
      </c>
      <c r="E131" s="774" t="s">
        <v>461</v>
      </c>
      <c r="F131" s="778">
        <f>'6-3.기본및실시설계투입인원'!T27</f>
        <v>3.5</v>
      </c>
      <c r="G131" s="780">
        <f>+'5-3.산출근거(2)'!$R$25</f>
        <v>238578.78030000001</v>
      </c>
      <c r="H131" s="776">
        <f>F131*G131</f>
        <v>835025.73105000006</v>
      </c>
    </row>
    <row r="132" spans="1:8" ht="17.25" customHeight="1">
      <c r="A132" s="497"/>
      <c r="B132" s="500"/>
      <c r="C132" s="498"/>
      <c r="D132" s="773" t="s">
        <v>463</v>
      </c>
      <c r="E132" s="774" t="s">
        <v>461</v>
      </c>
      <c r="F132" s="778">
        <f>'6-3.기본및실시설계투입인원'!U27</f>
        <v>3.5</v>
      </c>
      <c r="G132" s="780">
        <f>+'5-3.산출근거(2)'!$R$26</f>
        <v>199505.89618100002</v>
      </c>
      <c r="H132" s="776">
        <f>F132*G132</f>
        <v>698270.63663350011</v>
      </c>
    </row>
    <row r="133" spans="1:8" ht="17.25" customHeight="1">
      <c r="A133" s="497"/>
      <c r="B133" s="500"/>
      <c r="C133" s="498"/>
      <c r="D133" s="773" t="s">
        <v>464</v>
      </c>
      <c r="E133" s="774" t="s">
        <v>461</v>
      </c>
      <c r="F133" s="778">
        <f>'6-3.기본및실시설계투입인원'!V27</f>
        <v>3.1</v>
      </c>
      <c r="G133" s="780">
        <f>+'5-3.산출근거(2)'!$R$27</f>
        <v>173018.78261300002</v>
      </c>
      <c r="H133" s="776">
        <f>F133*G133</f>
        <v>536358.22610030009</v>
      </c>
    </row>
    <row r="134" spans="1:8" ht="17.25" customHeight="1">
      <c r="A134" s="497"/>
      <c r="B134" s="500"/>
      <c r="C134" s="498"/>
      <c r="D134" s="773" t="s">
        <v>465</v>
      </c>
      <c r="E134" s="774" t="s">
        <v>461</v>
      </c>
      <c r="F134" s="778">
        <f>'6-3.기본및실시설계투입인원'!W27</f>
        <v>0.8</v>
      </c>
      <c r="G134" s="780">
        <f>+'5-3.산출근거(2)'!$R$28</f>
        <v>134480.52881399999</v>
      </c>
      <c r="H134" s="776">
        <f>F134*G134</f>
        <v>107584.42305119999</v>
      </c>
    </row>
    <row r="135" spans="1:8" ht="17.25" customHeight="1">
      <c r="A135" s="497"/>
      <c r="B135" s="500"/>
      <c r="C135" s="781" t="str">
        <f>'6-3.기본및실시설계투입인원'!B28</f>
        <v>3. 도로 및 포장공 설계</v>
      </c>
      <c r="D135" s="773"/>
      <c r="E135" s="774"/>
      <c r="F135" s="778">
        <f>SUM(F136:F140)</f>
        <v>23.7</v>
      </c>
      <c r="G135" s="776"/>
      <c r="H135" s="776">
        <f>SUM(H136:H140)</f>
        <v>5173633.0727314008</v>
      </c>
    </row>
    <row r="136" spans="1:8" ht="17.25" customHeight="1">
      <c r="A136" s="497"/>
      <c r="B136" s="500"/>
      <c r="C136" s="498"/>
      <c r="D136" s="773" t="s">
        <v>460</v>
      </c>
      <c r="E136" s="774" t="s">
        <v>461</v>
      </c>
      <c r="F136" s="778">
        <f>'6-3.기본및실시설계투입인원'!S28</f>
        <v>4.5</v>
      </c>
      <c r="G136" s="779">
        <f>+'5-3.산출근거(2)'!$R$24</f>
        <v>325327.32320500002</v>
      </c>
      <c r="H136" s="776">
        <f>F136*G136</f>
        <v>1463972.9544225</v>
      </c>
    </row>
    <row r="137" spans="1:8" ht="17.25" customHeight="1">
      <c r="A137" s="497"/>
      <c r="B137" s="500"/>
      <c r="C137" s="498"/>
      <c r="D137" s="773" t="s">
        <v>462</v>
      </c>
      <c r="E137" s="774" t="s">
        <v>461</v>
      </c>
      <c r="F137" s="778">
        <f>'6-3.기본및실시설계투입인원'!T28</f>
        <v>4.5</v>
      </c>
      <c r="G137" s="780">
        <f>+'5-3.산출근거(2)'!$R$25</f>
        <v>238578.78030000001</v>
      </c>
      <c r="H137" s="776">
        <f>F137*G137</f>
        <v>1073604.51135</v>
      </c>
    </row>
    <row r="138" spans="1:8" ht="17.25" customHeight="1">
      <c r="A138" s="497"/>
      <c r="B138" s="500"/>
      <c r="C138" s="498"/>
      <c r="D138" s="773" t="s">
        <v>463</v>
      </c>
      <c r="E138" s="774" t="s">
        <v>461</v>
      </c>
      <c r="F138" s="778">
        <f>'6-3.기본및실시설계투입인원'!U28</f>
        <v>6.7</v>
      </c>
      <c r="G138" s="780">
        <f>+'5-3.산출근거(2)'!$R$26</f>
        <v>199505.89618100002</v>
      </c>
      <c r="H138" s="776">
        <f>F138*G138</f>
        <v>1336689.5044127002</v>
      </c>
    </row>
    <row r="139" spans="1:8" ht="17.25" customHeight="1">
      <c r="A139" s="497"/>
      <c r="B139" s="500"/>
      <c r="C139" s="498"/>
      <c r="D139" s="773" t="s">
        <v>464</v>
      </c>
      <c r="E139" s="774" t="s">
        <v>461</v>
      </c>
      <c r="F139" s="778">
        <f>'6-3.기본및실시설계투입인원'!V28</f>
        <v>5.8</v>
      </c>
      <c r="G139" s="780">
        <f>+'5-3.산출근거(2)'!$R$27</f>
        <v>173018.78261300002</v>
      </c>
      <c r="H139" s="776">
        <f>F139*G139</f>
        <v>1003508.9391554</v>
      </c>
    </row>
    <row r="140" spans="1:8" ht="17.25" customHeight="1">
      <c r="A140" s="497"/>
      <c r="B140" s="500"/>
      <c r="C140" s="498"/>
      <c r="D140" s="773" t="s">
        <v>465</v>
      </c>
      <c r="E140" s="774" t="s">
        <v>461</v>
      </c>
      <c r="F140" s="778">
        <f>'6-3.기본및실시설계투입인원'!W28</f>
        <v>2.2000000000000002</v>
      </c>
      <c r="G140" s="780">
        <f>+'5-3.산출근거(2)'!$R$28</f>
        <v>134480.52881399999</v>
      </c>
      <c r="H140" s="776">
        <f>F140*G140</f>
        <v>295857.16339080001</v>
      </c>
    </row>
    <row r="141" spans="1:8" ht="17.25" customHeight="1">
      <c r="A141" s="497"/>
      <c r="B141" s="500"/>
      <c r="C141" s="781" t="str">
        <f>'6-3.기본및실시설계투입인원'!B29</f>
        <v>4. 우수공 설계</v>
      </c>
      <c r="D141" s="773"/>
      <c r="E141" s="774"/>
      <c r="F141" s="778">
        <f>SUM(F142:F146)</f>
        <v>27.099999999999998</v>
      </c>
      <c r="G141" s="776"/>
      <c r="H141" s="776">
        <f>SUM(H142:H146)</f>
        <v>5609459.1270498009</v>
      </c>
    </row>
    <row r="142" spans="1:8" ht="17.25" customHeight="1">
      <c r="A142" s="497"/>
      <c r="B142" s="500"/>
      <c r="C142" s="498"/>
      <c r="D142" s="773" t="s">
        <v>460</v>
      </c>
      <c r="E142" s="774" t="s">
        <v>461</v>
      </c>
      <c r="F142" s="778">
        <f>'6-3.기본및실시설계투입인원'!S29</f>
        <v>3.3</v>
      </c>
      <c r="G142" s="779">
        <f>+'5-3.산출근거(2)'!$R$24</f>
        <v>325327.32320500002</v>
      </c>
      <c r="H142" s="776">
        <f>F142*G142</f>
        <v>1073580.1665765001</v>
      </c>
    </row>
    <row r="143" spans="1:8" ht="17.25" customHeight="1">
      <c r="A143" s="497"/>
      <c r="B143" s="500"/>
      <c r="C143" s="498"/>
      <c r="D143" s="773" t="s">
        <v>462</v>
      </c>
      <c r="E143" s="774" t="s">
        <v>461</v>
      </c>
      <c r="F143" s="778">
        <f>'6-3.기본및실시설계투입인원'!T29</f>
        <v>5.4</v>
      </c>
      <c r="G143" s="780">
        <f>+'5-3.산출근거(2)'!$R$25</f>
        <v>238578.78030000001</v>
      </c>
      <c r="H143" s="776">
        <f>F143*G143</f>
        <v>1288325.4136200002</v>
      </c>
    </row>
    <row r="144" spans="1:8" ht="17.25" customHeight="1">
      <c r="A144" s="497"/>
      <c r="B144" s="500"/>
      <c r="C144" s="498"/>
      <c r="D144" s="773" t="s">
        <v>463</v>
      </c>
      <c r="E144" s="774" t="s">
        <v>461</v>
      </c>
      <c r="F144" s="778">
        <f>'6-3.기본및실시설계투입인원'!U29</f>
        <v>7.8</v>
      </c>
      <c r="G144" s="780">
        <f>+'5-3.산출근거(2)'!$R$26</f>
        <v>199505.89618100002</v>
      </c>
      <c r="H144" s="776">
        <f>F144*G144</f>
        <v>1556145.9902118002</v>
      </c>
    </row>
    <row r="145" spans="1:8" ht="17.25" customHeight="1">
      <c r="A145" s="497"/>
      <c r="B145" s="500"/>
      <c r="C145" s="498"/>
      <c r="D145" s="773" t="s">
        <v>464</v>
      </c>
      <c r="E145" s="774" t="s">
        <v>461</v>
      </c>
      <c r="F145" s="778">
        <f>'6-3.기본및실시설계투입인원'!V29</f>
        <v>6.9</v>
      </c>
      <c r="G145" s="780">
        <f>+'5-3.산출근거(2)'!$R$27</f>
        <v>173018.78261300002</v>
      </c>
      <c r="H145" s="776">
        <f>F145*G145</f>
        <v>1193829.6000297002</v>
      </c>
    </row>
    <row r="146" spans="1:8" ht="17.25" customHeight="1">
      <c r="A146" s="497"/>
      <c r="B146" s="500"/>
      <c r="C146" s="498"/>
      <c r="D146" s="773" t="s">
        <v>465</v>
      </c>
      <c r="E146" s="774" t="s">
        <v>461</v>
      </c>
      <c r="F146" s="778">
        <f>'6-3.기본및실시설계투입인원'!W29</f>
        <v>3.7</v>
      </c>
      <c r="G146" s="780">
        <f>+'5-3.산출근거(2)'!$R$28</f>
        <v>134480.52881399999</v>
      </c>
      <c r="H146" s="776">
        <f>F146*G146</f>
        <v>497577.95661180001</v>
      </c>
    </row>
    <row r="147" spans="1:8" ht="17.25" customHeight="1">
      <c r="A147" s="497"/>
      <c r="B147" s="500"/>
      <c r="C147" s="781" t="str">
        <f>'6-3.기본및실시설계투입인원'!B30</f>
        <v>5. 오수공 설계</v>
      </c>
      <c r="D147" s="773"/>
      <c r="E147" s="774"/>
      <c r="F147" s="778">
        <f>SUM(F148:F152)</f>
        <v>18.299999999999997</v>
      </c>
      <c r="G147" s="776"/>
      <c r="H147" s="776">
        <f>SUM(H148:H152)</f>
        <v>3804366.5380574004</v>
      </c>
    </row>
    <row r="148" spans="1:8" ht="17.25" customHeight="1">
      <c r="A148" s="497"/>
      <c r="B148" s="500"/>
      <c r="C148" s="498"/>
      <c r="D148" s="773" t="s">
        <v>460</v>
      </c>
      <c r="E148" s="774" t="s">
        <v>461</v>
      </c>
      <c r="F148" s="778">
        <f>'6-3.기본및실시설계투입인원'!S30</f>
        <v>2.2999999999999998</v>
      </c>
      <c r="G148" s="779">
        <f>+'5-3.산출근거(2)'!$R$24</f>
        <v>325327.32320500002</v>
      </c>
      <c r="H148" s="776">
        <f>F148*G148</f>
        <v>748252.84337150003</v>
      </c>
    </row>
    <row r="149" spans="1:8" ht="17.25" customHeight="1">
      <c r="A149" s="497"/>
      <c r="B149" s="500"/>
      <c r="C149" s="498"/>
      <c r="D149" s="773" t="s">
        <v>462</v>
      </c>
      <c r="E149" s="774" t="s">
        <v>461</v>
      </c>
      <c r="F149" s="778">
        <f>'6-3.기본및실시설계투입인원'!T30</f>
        <v>3.7</v>
      </c>
      <c r="G149" s="780">
        <f>+'5-3.산출근거(2)'!$R$25</f>
        <v>238578.78030000001</v>
      </c>
      <c r="H149" s="776">
        <f>F149*G149</f>
        <v>882741.4871100001</v>
      </c>
    </row>
    <row r="150" spans="1:8" ht="17.25" customHeight="1">
      <c r="A150" s="497"/>
      <c r="B150" s="500"/>
      <c r="C150" s="498"/>
      <c r="D150" s="773" t="s">
        <v>463</v>
      </c>
      <c r="E150" s="774" t="s">
        <v>461</v>
      </c>
      <c r="F150" s="778">
        <f>'6-3.기본및실시설계투입인원'!U30</f>
        <v>5.2</v>
      </c>
      <c r="G150" s="780">
        <f>+'5-3.산출근거(2)'!$R$26</f>
        <v>199505.89618100002</v>
      </c>
      <c r="H150" s="776">
        <f>F150*G150</f>
        <v>1037430.6601412002</v>
      </c>
    </row>
    <row r="151" spans="1:8" ht="17.25" customHeight="1">
      <c r="A151" s="497"/>
      <c r="B151" s="500"/>
      <c r="C151" s="498"/>
      <c r="D151" s="773" t="s">
        <v>464</v>
      </c>
      <c r="E151" s="774" t="s">
        <v>461</v>
      </c>
      <c r="F151" s="778">
        <f>'6-3.기본및실시설계투입인원'!V30</f>
        <v>4.7</v>
      </c>
      <c r="G151" s="780">
        <f>+'5-3.산출근거(2)'!$R$27</f>
        <v>173018.78261300002</v>
      </c>
      <c r="H151" s="776">
        <f>F151*G151</f>
        <v>813188.27828110009</v>
      </c>
    </row>
    <row r="152" spans="1:8" ht="17.25" customHeight="1">
      <c r="A152" s="502"/>
      <c r="B152" s="501"/>
      <c r="C152" s="503"/>
      <c r="D152" s="773" t="s">
        <v>465</v>
      </c>
      <c r="E152" s="774" t="s">
        <v>461</v>
      </c>
      <c r="F152" s="778">
        <f>'6-3.기본및실시설계투입인원'!W30</f>
        <v>2.4</v>
      </c>
      <c r="G152" s="780">
        <f>+'5-3.산출근거(2)'!$R$28</f>
        <v>134480.52881399999</v>
      </c>
      <c r="H152" s="776">
        <f>F152*G152</f>
        <v>322753.26915359998</v>
      </c>
    </row>
    <row r="153" spans="1:8" ht="17.25" customHeight="1">
      <c r="A153" s="782"/>
      <c r="B153" s="777"/>
      <c r="C153" s="781" t="str">
        <f>'6-3.기본및실시설계투입인원'!B31</f>
        <v>6. 상수공 설계</v>
      </c>
      <c r="D153" s="773"/>
      <c r="E153" s="774"/>
      <c r="F153" s="778">
        <f>SUM(F154:F158)</f>
        <v>15</v>
      </c>
      <c r="G153" s="776"/>
      <c r="H153" s="776">
        <f>SUM(H154:H158)</f>
        <v>3165938.4097173004</v>
      </c>
    </row>
    <row r="154" spans="1:8" ht="17.25" customHeight="1">
      <c r="A154" s="497"/>
      <c r="B154" s="500"/>
      <c r="C154" s="498"/>
      <c r="D154" s="773" t="s">
        <v>460</v>
      </c>
      <c r="E154" s="774" t="s">
        <v>461</v>
      </c>
      <c r="F154" s="778">
        <f>'6-3.기본및실시설계투입인원'!S31</f>
        <v>2</v>
      </c>
      <c r="G154" s="779">
        <f>+'5-3.산출근거(2)'!$R$24</f>
        <v>325327.32320500002</v>
      </c>
      <c r="H154" s="776">
        <f>F154*G154</f>
        <v>650654.64641000004</v>
      </c>
    </row>
    <row r="155" spans="1:8" ht="17.25" customHeight="1">
      <c r="A155" s="497"/>
      <c r="B155" s="500"/>
      <c r="C155" s="498"/>
      <c r="D155" s="773" t="s">
        <v>462</v>
      </c>
      <c r="E155" s="774" t="s">
        <v>461</v>
      </c>
      <c r="F155" s="778">
        <f>'6-3.기본및실시설계투입인원'!T31</f>
        <v>3.5</v>
      </c>
      <c r="G155" s="780">
        <f>+'5-3.산출근거(2)'!$R$25</f>
        <v>238578.78030000001</v>
      </c>
      <c r="H155" s="776">
        <f>F155*G155</f>
        <v>835025.73105000006</v>
      </c>
    </row>
    <row r="156" spans="1:8" ht="17.25" customHeight="1">
      <c r="A156" s="497"/>
      <c r="B156" s="500"/>
      <c r="C156" s="498"/>
      <c r="D156" s="773" t="s">
        <v>463</v>
      </c>
      <c r="E156" s="774" t="s">
        <v>461</v>
      </c>
      <c r="F156" s="778">
        <f>'6-3.기본및실시설계투입인원'!U31</f>
        <v>4</v>
      </c>
      <c r="G156" s="780">
        <f>+'5-3.산출근거(2)'!$R$26</f>
        <v>199505.89618100002</v>
      </c>
      <c r="H156" s="776">
        <f>F156*G156</f>
        <v>798023.58472400007</v>
      </c>
    </row>
    <row r="157" spans="1:8" ht="17.25" customHeight="1">
      <c r="A157" s="497"/>
      <c r="B157" s="500"/>
      <c r="C157" s="498"/>
      <c r="D157" s="773" t="s">
        <v>464</v>
      </c>
      <c r="E157" s="774" t="s">
        <v>461</v>
      </c>
      <c r="F157" s="778">
        <f>'6-3.기본및실시설계투입인원'!V31</f>
        <v>3.7</v>
      </c>
      <c r="G157" s="780">
        <f>+'5-3.산출근거(2)'!$R$27</f>
        <v>173018.78261300002</v>
      </c>
      <c r="H157" s="776">
        <f>F157*G157</f>
        <v>640169.49566810008</v>
      </c>
    </row>
    <row r="158" spans="1:8" ht="17.25" customHeight="1">
      <c r="A158" s="497"/>
      <c r="B158" s="500"/>
      <c r="C158" s="498"/>
      <c r="D158" s="773" t="s">
        <v>465</v>
      </c>
      <c r="E158" s="774" t="s">
        <v>461</v>
      </c>
      <c r="F158" s="778">
        <f>'6-3.기본및실시설계투입인원'!W31</f>
        <v>1.8</v>
      </c>
      <c r="G158" s="780">
        <f>+'5-3.산출근거(2)'!$R$28</f>
        <v>134480.52881399999</v>
      </c>
      <c r="H158" s="776">
        <f>F158*G158</f>
        <v>242064.95186519998</v>
      </c>
    </row>
    <row r="159" spans="1:8" ht="17.25" customHeight="1">
      <c r="A159" s="497"/>
      <c r="B159" s="500"/>
      <c r="C159" s="781" t="str">
        <f>'6-3.기본및실시설계투입인원'!B32</f>
        <v>7. 기타 구조물 설계</v>
      </c>
      <c r="D159" s="773"/>
      <c r="E159" s="774"/>
      <c r="F159" s="778">
        <f>SUM(F160:F164)</f>
        <v>10.100000000000001</v>
      </c>
      <c r="G159" s="776"/>
      <c r="H159" s="776">
        <f>SUM(H160:H164)</f>
        <v>2005795.8661508001</v>
      </c>
    </row>
    <row r="160" spans="1:8" ht="17.25" customHeight="1">
      <c r="A160" s="497"/>
      <c r="B160" s="500"/>
      <c r="C160" s="498"/>
      <c r="D160" s="773" t="s">
        <v>460</v>
      </c>
      <c r="E160" s="774" t="s">
        <v>461</v>
      </c>
      <c r="F160" s="778">
        <f>'6-3.기본및실시설계투입인원'!S32</f>
        <v>1</v>
      </c>
      <c r="G160" s="779">
        <f>+'5-3.산출근거(2)'!$R$24</f>
        <v>325327.32320500002</v>
      </c>
      <c r="H160" s="776">
        <f>F160*G160</f>
        <v>325327.32320500002</v>
      </c>
    </row>
    <row r="161" spans="1:8" ht="17.25" customHeight="1">
      <c r="A161" s="497"/>
      <c r="B161" s="500"/>
      <c r="C161" s="498"/>
      <c r="D161" s="773" t="s">
        <v>462</v>
      </c>
      <c r="E161" s="774" t="s">
        <v>461</v>
      </c>
      <c r="F161" s="778">
        <f>'6-3.기본및실시설계투입인원'!T32</f>
        <v>1.9</v>
      </c>
      <c r="G161" s="780">
        <f>+'5-3.산출근거(2)'!$R$25</f>
        <v>238578.78030000001</v>
      </c>
      <c r="H161" s="776">
        <f>F161*G161</f>
        <v>453299.68257</v>
      </c>
    </row>
    <row r="162" spans="1:8" ht="17.25" customHeight="1">
      <c r="A162" s="497"/>
      <c r="B162" s="500"/>
      <c r="C162" s="498"/>
      <c r="D162" s="773" t="s">
        <v>463</v>
      </c>
      <c r="E162" s="774" t="s">
        <v>461</v>
      </c>
      <c r="F162" s="778">
        <f>'6-3.기본및실시설계투입인원'!U32</f>
        <v>2.5</v>
      </c>
      <c r="G162" s="780">
        <f>+'5-3.산출근거(2)'!$R$26</f>
        <v>199505.89618100002</v>
      </c>
      <c r="H162" s="776">
        <f>F162*G162</f>
        <v>498764.74045250006</v>
      </c>
    </row>
    <row r="163" spans="1:8" ht="17.25" customHeight="1">
      <c r="A163" s="497"/>
      <c r="B163" s="500"/>
      <c r="C163" s="498"/>
      <c r="D163" s="773" t="s">
        <v>464</v>
      </c>
      <c r="E163" s="774" t="s">
        <v>461</v>
      </c>
      <c r="F163" s="778">
        <f>'6-3.기본및실시설계투입인원'!V32</f>
        <v>2.5</v>
      </c>
      <c r="G163" s="780">
        <f>+'5-3.산출근거(2)'!$R$27</f>
        <v>173018.78261300002</v>
      </c>
      <c r="H163" s="776">
        <f>F163*G163</f>
        <v>432546.95653250004</v>
      </c>
    </row>
    <row r="164" spans="1:8" ht="17.25" customHeight="1">
      <c r="A164" s="497"/>
      <c r="B164" s="500"/>
      <c r="C164" s="498"/>
      <c r="D164" s="773" t="s">
        <v>465</v>
      </c>
      <c r="E164" s="774" t="s">
        <v>461</v>
      </c>
      <c r="F164" s="778">
        <f>'6-3.기본및실시설계투입인원'!W32</f>
        <v>2.2000000000000002</v>
      </c>
      <c r="G164" s="780">
        <f>+'5-3.산출근거(2)'!$R$28</f>
        <v>134480.52881399999</v>
      </c>
      <c r="H164" s="776">
        <f>F164*G164</f>
        <v>295857.16339080001</v>
      </c>
    </row>
    <row r="165" spans="1:8" ht="17.25" customHeight="1">
      <c r="A165" s="497"/>
      <c r="B165" s="500"/>
      <c r="C165" s="781" t="str">
        <f>'6-3.기본및실시설계투입인원'!B33</f>
        <v xml:space="preserve">8. 부대시설 설계 </v>
      </c>
      <c r="D165" s="773"/>
      <c r="E165" s="774"/>
      <c r="F165" s="778">
        <f>SUM(F166:F170)</f>
        <v>11.999999999999998</v>
      </c>
      <c r="G165" s="776"/>
      <c r="H165" s="776">
        <f>SUM(H166:H170)</f>
        <v>2328982.376803</v>
      </c>
    </row>
    <row r="166" spans="1:8" ht="17.25" customHeight="1">
      <c r="A166" s="497"/>
      <c r="B166" s="500"/>
      <c r="C166" s="498"/>
      <c r="D166" s="773" t="s">
        <v>460</v>
      </c>
      <c r="E166" s="774" t="s">
        <v>461</v>
      </c>
      <c r="F166" s="778">
        <f>'6-3.기본및실시설계투입인원'!S33</f>
        <v>0.9</v>
      </c>
      <c r="G166" s="779">
        <f>+'5-3.산출근거(2)'!$R$24</f>
        <v>325327.32320500002</v>
      </c>
      <c r="H166" s="776">
        <f>F166*G166</f>
        <v>292794.59088450001</v>
      </c>
    </row>
    <row r="167" spans="1:8" ht="17.25" customHeight="1">
      <c r="A167" s="497"/>
      <c r="B167" s="500"/>
      <c r="C167" s="498"/>
      <c r="D167" s="773" t="s">
        <v>462</v>
      </c>
      <c r="E167" s="774" t="s">
        <v>461</v>
      </c>
      <c r="F167" s="778">
        <f>'6-3.기본및실시설계투입인원'!T33</f>
        <v>2</v>
      </c>
      <c r="G167" s="780">
        <f>+'5-3.산출근거(2)'!$R$25</f>
        <v>238578.78030000001</v>
      </c>
      <c r="H167" s="776">
        <f>F167*G167</f>
        <v>477157.56060000003</v>
      </c>
    </row>
    <row r="168" spans="1:8" ht="17.25" customHeight="1">
      <c r="A168" s="497"/>
      <c r="B168" s="500"/>
      <c r="C168" s="498"/>
      <c r="D168" s="773" t="s">
        <v>463</v>
      </c>
      <c r="E168" s="774" t="s">
        <v>461</v>
      </c>
      <c r="F168" s="778">
        <f>'6-3.기본및실시설계투입인원'!U33</f>
        <v>3.2</v>
      </c>
      <c r="G168" s="780">
        <f>+'5-3.산출근거(2)'!$R$26</f>
        <v>199505.89618100002</v>
      </c>
      <c r="H168" s="776">
        <f>F168*G168</f>
        <v>638418.86777920008</v>
      </c>
    </row>
    <row r="169" spans="1:8" ht="17.25" customHeight="1">
      <c r="A169" s="497"/>
      <c r="B169" s="500"/>
      <c r="C169" s="498"/>
      <c r="D169" s="773" t="s">
        <v>464</v>
      </c>
      <c r="E169" s="774" t="s">
        <v>461</v>
      </c>
      <c r="F169" s="778">
        <f>'6-3.기본및실시설계투입인원'!V33</f>
        <v>3.3</v>
      </c>
      <c r="G169" s="780">
        <f>+'5-3.산출근거(2)'!$R$27</f>
        <v>173018.78261300002</v>
      </c>
      <c r="H169" s="776">
        <f>F169*G169</f>
        <v>570961.98262290005</v>
      </c>
    </row>
    <row r="170" spans="1:8" ht="17.25" customHeight="1">
      <c r="A170" s="497"/>
      <c r="B170" s="500"/>
      <c r="C170" s="498"/>
      <c r="D170" s="773" t="s">
        <v>465</v>
      </c>
      <c r="E170" s="774" t="s">
        <v>461</v>
      </c>
      <c r="F170" s="778">
        <f>'6-3.기본및실시설계투입인원'!W33</f>
        <v>2.6</v>
      </c>
      <c r="G170" s="780">
        <f>+'5-3.산출근거(2)'!$R$28</f>
        <v>134480.52881399999</v>
      </c>
      <c r="H170" s="776">
        <f>F170*G170</f>
        <v>349649.3749164</v>
      </c>
    </row>
    <row r="171" spans="1:8" ht="17.25" customHeight="1">
      <c r="A171" s="497"/>
      <c r="B171" s="500"/>
      <c r="C171" s="781" t="str">
        <f>'6-3.기본및실시설계투입인원'!B34</f>
        <v>9. 하천설계</v>
      </c>
      <c r="D171" s="773"/>
      <c r="E171" s="774"/>
      <c r="F171" s="778">
        <f>SUM(F172:F176)</f>
        <v>0</v>
      </c>
      <c r="G171" s="776"/>
      <c r="H171" s="776">
        <f>SUM(H172:H176)</f>
        <v>0</v>
      </c>
    </row>
    <row r="172" spans="1:8" ht="17.25" customHeight="1">
      <c r="A172" s="497"/>
      <c r="B172" s="500"/>
      <c r="C172" s="498"/>
      <c r="D172" s="773" t="s">
        <v>460</v>
      </c>
      <c r="E172" s="774" t="s">
        <v>461</v>
      </c>
      <c r="F172" s="778">
        <f>'6-3.기본및실시설계투입인원'!S34</f>
        <v>0</v>
      </c>
      <c r="G172" s="779">
        <f>+'5-3.산출근거(2)'!$R$24</f>
        <v>325327.32320500002</v>
      </c>
      <c r="H172" s="776">
        <f>F172*G172</f>
        <v>0</v>
      </c>
    </row>
    <row r="173" spans="1:8" ht="17.25" customHeight="1">
      <c r="A173" s="497"/>
      <c r="B173" s="500"/>
      <c r="C173" s="498"/>
      <c r="D173" s="773" t="s">
        <v>462</v>
      </c>
      <c r="E173" s="774" t="s">
        <v>461</v>
      </c>
      <c r="F173" s="778">
        <f>'6-3.기본및실시설계투입인원'!T34</f>
        <v>0</v>
      </c>
      <c r="G173" s="780">
        <f>+'5-3.산출근거(2)'!$R$25</f>
        <v>238578.78030000001</v>
      </c>
      <c r="H173" s="776">
        <f>F173*G173</f>
        <v>0</v>
      </c>
    </row>
    <row r="174" spans="1:8" ht="17.25" customHeight="1">
      <c r="A174" s="497"/>
      <c r="B174" s="500"/>
      <c r="C174" s="498"/>
      <c r="D174" s="773" t="s">
        <v>463</v>
      </c>
      <c r="E174" s="774" t="s">
        <v>461</v>
      </c>
      <c r="F174" s="778">
        <f>'6-3.기본및실시설계투입인원'!U34</f>
        <v>0</v>
      </c>
      <c r="G174" s="780">
        <f>+'5-3.산출근거(2)'!$R$26</f>
        <v>199505.89618100002</v>
      </c>
      <c r="H174" s="776">
        <f>F174*G174</f>
        <v>0</v>
      </c>
    </row>
    <row r="175" spans="1:8" ht="17.25" customHeight="1">
      <c r="A175" s="497"/>
      <c r="B175" s="500"/>
      <c r="C175" s="498"/>
      <c r="D175" s="773" t="s">
        <v>464</v>
      </c>
      <c r="E175" s="774" t="s">
        <v>461</v>
      </c>
      <c r="F175" s="778">
        <f>'6-3.기본및실시설계투입인원'!V34</f>
        <v>0</v>
      </c>
      <c r="G175" s="780">
        <f>+'5-3.산출근거(2)'!$R$27</f>
        <v>173018.78261300002</v>
      </c>
      <c r="H175" s="776">
        <f>F175*G175</f>
        <v>0</v>
      </c>
    </row>
    <row r="176" spans="1:8" ht="17.25" customHeight="1">
      <c r="A176" s="497"/>
      <c r="B176" s="501"/>
      <c r="C176" s="498"/>
      <c r="D176" s="773" t="s">
        <v>465</v>
      </c>
      <c r="E176" s="774" t="s">
        <v>461</v>
      </c>
      <c r="F176" s="778">
        <f>'6-3.기본및실시설계투입인원'!W34</f>
        <v>0</v>
      </c>
      <c r="G176" s="780">
        <f>+'5-3.산출근거(2)'!$R$28</f>
        <v>134480.52881399999</v>
      </c>
      <c r="H176" s="776">
        <f>F176*G176</f>
        <v>0</v>
      </c>
    </row>
    <row r="177" spans="1:8" ht="17.25" customHeight="1">
      <c r="A177" s="497"/>
      <c r="B177" s="1655" t="s">
        <v>468</v>
      </c>
      <c r="C177" s="1656"/>
      <c r="D177" s="773"/>
      <c r="E177" s="774"/>
      <c r="F177" s="778"/>
      <c r="G177" s="776"/>
      <c r="H177" s="776">
        <f>SUM(H178,H184,H190,H196,H202,H208,H214,H220)</f>
        <v>19720660.774498802</v>
      </c>
    </row>
    <row r="178" spans="1:8" ht="17.25" customHeight="1">
      <c r="A178" s="497"/>
      <c r="B178" s="777"/>
      <c r="C178" s="499" t="str">
        <f>'6-3.기본및실시설계투입인원'!B36</f>
        <v>1. 기본 및 실시설계보고서</v>
      </c>
      <c r="D178" s="773"/>
      <c r="E178" s="774"/>
      <c r="F178" s="778">
        <f>SUM(F179:F183)</f>
        <v>16</v>
      </c>
      <c r="G178" s="776"/>
      <c r="H178" s="776">
        <f>SUM(H179:H183)</f>
        <v>3275624.1208654996</v>
      </c>
    </row>
    <row r="179" spans="1:8" ht="17.25" customHeight="1">
      <c r="A179" s="497"/>
      <c r="B179" s="500"/>
      <c r="C179" s="498"/>
      <c r="D179" s="773" t="s">
        <v>460</v>
      </c>
      <c r="E179" s="774" t="s">
        <v>461</v>
      </c>
      <c r="F179" s="778">
        <f>'6-3.기본및실시설계투입인원'!S36</f>
        <v>1.7</v>
      </c>
      <c r="G179" s="779">
        <f>+'5-3.산출근거(2)'!$R$24</f>
        <v>325327.32320500002</v>
      </c>
      <c r="H179" s="776">
        <f>F179*G179</f>
        <v>553056.44944850006</v>
      </c>
    </row>
    <row r="180" spans="1:8" ht="17.25" customHeight="1">
      <c r="A180" s="497"/>
      <c r="B180" s="500"/>
      <c r="C180" s="498"/>
      <c r="D180" s="773" t="s">
        <v>462</v>
      </c>
      <c r="E180" s="774" t="s">
        <v>461</v>
      </c>
      <c r="F180" s="778">
        <f>'6-3.기본및실시설계투입인원'!T36</f>
        <v>3.4</v>
      </c>
      <c r="G180" s="780">
        <f>+'5-3.산출근거(2)'!$R$25</f>
        <v>238578.78030000001</v>
      </c>
      <c r="H180" s="776">
        <f>F180*G180</f>
        <v>811167.85302000004</v>
      </c>
    </row>
    <row r="181" spans="1:8" ht="17.25" customHeight="1">
      <c r="A181" s="497"/>
      <c r="B181" s="500"/>
      <c r="C181" s="498"/>
      <c r="D181" s="773" t="s">
        <v>463</v>
      </c>
      <c r="E181" s="774" t="s">
        <v>461</v>
      </c>
      <c r="F181" s="778">
        <f>'6-3.기본및실시설계투입인원'!U36</f>
        <v>4.5999999999999996</v>
      </c>
      <c r="G181" s="780">
        <f>+'5-3.산출근거(2)'!$R$26</f>
        <v>199505.89618100002</v>
      </c>
      <c r="H181" s="776">
        <f>F181*G181</f>
        <v>917727.12243260001</v>
      </c>
    </row>
    <row r="182" spans="1:8" ht="17.25" customHeight="1">
      <c r="A182" s="497"/>
      <c r="B182" s="500"/>
      <c r="C182" s="498"/>
      <c r="D182" s="773" t="s">
        <v>464</v>
      </c>
      <c r="E182" s="774" t="s">
        <v>461</v>
      </c>
      <c r="F182" s="778">
        <f>'6-3.기본및실시설계투입인원'!V36</f>
        <v>3.8</v>
      </c>
      <c r="G182" s="780">
        <f>+'5-3.산출근거(2)'!$R$27</f>
        <v>173018.78261300002</v>
      </c>
      <c r="H182" s="776">
        <f>F182*G182</f>
        <v>657471.3739294</v>
      </c>
    </row>
    <row r="183" spans="1:8" ht="17.25" customHeight="1">
      <c r="A183" s="497"/>
      <c r="B183" s="500"/>
      <c r="C183" s="498"/>
      <c r="D183" s="773" t="s">
        <v>465</v>
      </c>
      <c r="E183" s="774" t="s">
        <v>461</v>
      </c>
      <c r="F183" s="778">
        <f>'6-3.기본및실시설계투입인원'!W36</f>
        <v>2.5</v>
      </c>
      <c r="G183" s="780">
        <f>+'5-3.산출근거(2)'!$R$28</f>
        <v>134480.52881399999</v>
      </c>
      <c r="H183" s="776">
        <f>F183*G183</f>
        <v>336201.32203499996</v>
      </c>
    </row>
    <row r="184" spans="1:8" ht="17.25" customHeight="1">
      <c r="A184" s="497"/>
      <c r="B184" s="500"/>
      <c r="C184" s="781" t="str">
        <f>'6-3.기본및실시설계투입인원'!B37</f>
        <v>2. 토질 및 지반조사보고서</v>
      </c>
      <c r="D184" s="773"/>
      <c r="E184" s="774"/>
      <c r="F184" s="778">
        <f>SUM(F185:F189)</f>
        <v>3.4000000000000004</v>
      </c>
      <c r="G184" s="776"/>
      <c r="H184" s="776">
        <f>SUM(H185:H189)</f>
        <v>639692.33810750011</v>
      </c>
    </row>
    <row r="185" spans="1:8" ht="17.25" customHeight="1">
      <c r="A185" s="497"/>
      <c r="B185" s="500"/>
      <c r="C185" s="498"/>
      <c r="D185" s="773" t="s">
        <v>460</v>
      </c>
      <c r="E185" s="774" t="s">
        <v>461</v>
      </c>
      <c r="F185" s="778">
        <f>'6-3.기본및실시설계투입인원'!S37</f>
        <v>0.1</v>
      </c>
      <c r="G185" s="779">
        <f>+'5-3.산출근거(2)'!$R$24</f>
        <v>325327.32320500002</v>
      </c>
      <c r="H185" s="776">
        <f>F185*G185</f>
        <v>32532.732320500003</v>
      </c>
    </row>
    <row r="186" spans="1:8" ht="17.25" customHeight="1">
      <c r="A186" s="497"/>
      <c r="B186" s="500"/>
      <c r="C186" s="498"/>
      <c r="D186" s="773" t="s">
        <v>462</v>
      </c>
      <c r="E186" s="774" t="s">
        <v>461</v>
      </c>
      <c r="F186" s="778">
        <f>'6-3.기본및실시설계투입인원'!T37</f>
        <v>0.6</v>
      </c>
      <c r="G186" s="780">
        <f>+'5-3.산출근거(2)'!$R$25</f>
        <v>238578.78030000001</v>
      </c>
      <c r="H186" s="776">
        <f>F186*G186</f>
        <v>143147.26818000001</v>
      </c>
    </row>
    <row r="187" spans="1:8" ht="17.25" customHeight="1">
      <c r="A187" s="497"/>
      <c r="B187" s="500"/>
      <c r="C187" s="498"/>
      <c r="D187" s="773" t="s">
        <v>463</v>
      </c>
      <c r="E187" s="774" t="s">
        <v>461</v>
      </c>
      <c r="F187" s="778">
        <f>'6-3.기본및실시설계투입인원'!U37</f>
        <v>0.9</v>
      </c>
      <c r="G187" s="780">
        <f>+'5-3.산출근거(2)'!$R$26</f>
        <v>199505.89618100002</v>
      </c>
      <c r="H187" s="776">
        <f>F187*G187</f>
        <v>179555.30656290002</v>
      </c>
    </row>
    <row r="188" spans="1:8" ht="17.25" customHeight="1">
      <c r="A188" s="497"/>
      <c r="B188" s="500"/>
      <c r="C188" s="498"/>
      <c r="D188" s="773" t="s">
        <v>464</v>
      </c>
      <c r="E188" s="774" t="s">
        <v>461</v>
      </c>
      <c r="F188" s="778">
        <f>'6-3.기본및실시설계투입인원'!V37</f>
        <v>1.1000000000000001</v>
      </c>
      <c r="G188" s="780">
        <f>+'5-3.산출근거(2)'!$R$27</f>
        <v>173018.78261300002</v>
      </c>
      <c r="H188" s="776">
        <f>F188*G188</f>
        <v>190320.66087430003</v>
      </c>
    </row>
    <row r="189" spans="1:8" ht="17.25" customHeight="1">
      <c r="A189" s="497"/>
      <c r="B189" s="500"/>
      <c r="C189" s="498"/>
      <c r="D189" s="773" t="s">
        <v>465</v>
      </c>
      <c r="E189" s="774" t="s">
        <v>461</v>
      </c>
      <c r="F189" s="778">
        <f>'6-3.기본및실시설계투입인원'!W37</f>
        <v>0.7</v>
      </c>
      <c r="G189" s="780">
        <f>+'5-3.산출근거(2)'!$R$28</f>
        <v>134480.52881399999</v>
      </c>
      <c r="H189" s="776">
        <f>F189*G189</f>
        <v>94136.370169799993</v>
      </c>
    </row>
    <row r="190" spans="1:8" ht="17.25" customHeight="1">
      <c r="A190" s="497"/>
      <c r="B190" s="500"/>
      <c r="C190" s="781" t="str">
        <f>'6-3.기본및실시설계투입인원'!B38</f>
        <v>3. 구조 및 수리계산서</v>
      </c>
      <c r="D190" s="773"/>
      <c r="E190" s="774"/>
      <c r="F190" s="778">
        <f>SUM(F191:F195)</f>
        <v>3.5</v>
      </c>
      <c r="G190" s="776"/>
      <c r="H190" s="776">
        <f>SUM(H191:H195)</f>
        <v>657853.9210173001</v>
      </c>
    </row>
    <row r="191" spans="1:8" ht="17.25" customHeight="1">
      <c r="A191" s="497"/>
      <c r="B191" s="500"/>
      <c r="C191" s="498"/>
      <c r="D191" s="773" t="s">
        <v>460</v>
      </c>
      <c r="E191" s="774" t="s">
        <v>461</v>
      </c>
      <c r="F191" s="778">
        <f>'6-3.기본및실시설계투입인원'!S38</f>
        <v>0.1</v>
      </c>
      <c r="G191" s="779">
        <f>+'5-3.산출근거(2)'!$R$24</f>
        <v>325327.32320500002</v>
      </c>
      <c r="H191" s="776">
        <f>F191*G191</f>
        <v>32532.732320500003</v>
      </c>
    </row>
    <row r="192" spans="1:8" ht="17.25" customHeight="1">
      <c r="A192" s="497"/>
      <c r="B192" s="500"/>
      <c r="C192" s="498"/>
      <c r="D192" s="773" t="s">
        <v>462</v>
      </c>
      <c r="E192" s="774" t="s">
        <v>461</v>
      </c>
      <c r="F192" s="778">
        <f>'6-3.기본및실시설계투입인원'!T38</f>
        <v>0.4</v>
      </c>
      <c r="G192" s="780">
        <f>+'5-3.산출근거(2)'!$R$25</f>
        <v>238578.78030000001</v>
      </c>
      <c r="H192" s="776">
        <f>F192*G192</f>
        <v>95431.512120000014</v>
      </c>
    </row>
    <row r="193" spans="1:8" ht="17.25" customHeight="1">
      <c r="A193" s="497"/>
      <c r="B193" s="500"/>
      <c r="C193" s="498"/>
      <c r="D193" s="773" t="s">
        <v>463</v>
      </c>
      <c r="E193" s="774" t="s">
        <v>461</v>
      </c>
      <c r="F193" s="778">
        <f>'6-3.기본및실시설계투입인원'!U38</f>
        <v>0.7</v>
      </c>
      <c r="G193" s="780">
        <f>+'5-3.산출근거(2)'!$R$26</f>
        <v>199505.89618100002</v>
      </c>
      <c r="H193" s="776">
        <f>F193*G193</f>
        <v>139654.12732669999</v>
      </c>
    </row>
    <row r="194" spans="1:8" ht="17.25" customHeight="1">
      <c r="A194" s="497"/>
      <c r="B194" s="500"/>
      <c r="C194" s="498"/>
      <c r="D194" s="773" t="s">
        <v>464</v>
      </c>
      <c r="E194" s="774" t="s">
        <v>461</v>
      </c>
      <c r="F194" s="778">
        <f>'6-3.기본및실시설계투입인원'!V38</f>
        <v>2.1</v>
      </c>
      <c r="G194" s="780">
        <f>+'5-3.산출근거(2)'!$R$27</f>
        <v>173018.78261300002</v>
      </c>
      <c r="H194" s="776">
        <f>F194*G194</f>
        <v>363339.44348730007</v>
      </c>
    </row>
    <row r="195" spans="1:8" ht="17.25" customHeight="1">
      <c r="A195" s="497"/>
      <c r="B195" s="500"/>
      <c r="C195" s="498"/>
      <c r="D195" s="773" t="s">
        <v>465</v>
      </c>
      <c r="E195" s="774" t="s">
        <v>461</v>
      </c>
      <c r="F195" s="778">
        <f>'6-3.기본및실시설계투입인원'!W38</f>
        <v>0.2</v>
      </c>
      <c r="G195" s="780">
        <f>+'5-3.산출근거(2)'!$R$28</f>
        <v>134480.52881399999</v>
      </c>
      <c r="H195" s="776">
        <f>F195*G195</f>
        <v>26896.105762799998</v>
      </c>
    </row>
    <row r="196" spans="1:8" ht="17.25" customHeight="1">
      <c r="A196" s="497"/>
      <c r="B196" s="500"/>
      <c r="C196" s="781" t="str">
        <f>'6-3.기본및실시설계투입인원'!B39</f>
        <v>4. 설계예산서</v>
      </c>
      <c r="D196" s="773"/>
      <c r="E196" s="774"/>
      <c r="F196" s="778">
        <f>SUM(F197:F201)</f>
        <v>34.300000000000004</v>
      </c>
      <c r="G196" s="776"/>
      <c r="H196" s="776">
        <f>SUM(H197:H201)</f>
        <v>6750888.8456587009</v>
      </c>
    </row>
    <row r="197" spans="1:8" ht="17.25" customHeight="1">
      <c r="A197" s="497"/>
      <c r="B197" s="500"/>
      <c r="C197" s="498"/>
      <c r="D197" s="773" t="s">
        <v>460</v>
      </c>
      <c r="E197" s="774" t="s">
        <v>461</v>
      </c>
      <c r="F197" s="778">
        <f>'6-3.기본및실시설계투입인원'!S39</f>
        <v>1.3</v>
      </c>
      <c r="G197" s="779">
        <f>+'5-3.산출근거(2)'!$R$24</f>
        <v>325327.32320500002</v>
      </c>
      <c r="H197" s="776">
        <f>F197*G197</f>
        <v>422925.52016650006</v>
      </c>
    </row>
    <row r="198" spans="1:8" ht="17.25" customHeight="1">
      <c r="A198" s="497"/>
      <c r="B198" s="500"/>
      <c r="C198" s="498"/>
      <c r="D198" s="773" t="s">
        <v>462</v>
      </c>
      <c r="E198" s="774" t="s">
        <v>461</v>
      </c>
      <c r="F198" s="778">
        <f>'6-3.기본및실시설계투입인원'!T39</f>
        <v>6.2</v>
      </c>
      <c r="G198" s="780">
        <f>+'5-3.산출근거(2)'!$R$25</f>
        <v>238578.78030000001</v>
      </c>
      <c r="H198" s="776">
        <f>F198*G198</f>
        <v>1479188.4378600002</v>
      </c>
    </row>
    <row r="199" spans="1:8" ht="17.25" customHeight="1">
      <c r="A199" s="497"/>
      <c r="B199" s="500"/>
      <c r="C199" s="498"/>
      <c r="D199" s="773" t="s">
        <v>463</v>
      </c>
      <c r="E199" s="774" t="s">
        <v>461</v>
      </c>
      <c r="F199" s="778">
        <f>'6-3.기본및실시설계투입인원'!U39</f>
        <v>11.2</v>
      </c>
      <c r="G199" s="780">
        <f>+'5-3.산출근거(2)'!$R$26</f>
        <v>199505.89618100002</v>
      </c>
      <c r="H199" s="776">
        <f>F199*G199</f>
        <v>2234466.0372271999</v>
      </c>
    </row>
    <row r="200" spans="1:8" ht="17.25" customHeight="1">
      <c r="A200" s="497"/>
      <c r="B200" s="500"/>
      <c r="C200" s="498"/>
      <c r="D200" s="773" t="s">
        <v>464</v>
      </c>
      <c r="E200" s="774" t="s">
        <v>461</v>
      </c>
      <c r="F200" s="778">
        <f>'6-3.기본및실시설계투입인원'!V39</f>
        <v>13.4</v>
      </c>
      <c r="G200" s="780">
        <f>+'5-3.산출근거(2)'!$R$27</f>
        <v>173018.78261300002</v>
      </c>
      <c r="H200" s="776">
        <f>F200*G200</f>
        <v>2318451.6870142003</v>
      </c>
    </row>
    <row r="201" spans="1:8" ht="17.25" customHeight="1">
      <c r="A201" s="502"/>
      <c r="B201" s="501"/>
      <c r="C201" s="503"/>
      <c r="D201" s="773" t="s">
        <v>465</v>
      </c>
      <c r="E201" s="774" t="s">
        <v>461</v>
      </c>
      <c r="F201" s="778">
        <f>'6-3.기본및실시설계투입인원'!W39</f>
        <v>2.2000000000000002</v>
      </c>
      <c r="G201" s="780">
        <f>+'5-3.산출근거(2)'!$R$28</f>
        <v>134480.52881399999</v>
      </c>
      <c r="H201" s="776">
        <f>F201*G201</f>
        <v>295857.16339080001</v>
      </c>
    </row>
    <row r="202" spans="1:8" ht="17.25" customHeight="1">
      <c r="A202" s="782"/>
      <c r="B202" s="777"/>
      <c r="C202" s="781" t="str">
        <f>'6-3.기본및실시설계투입인원'!B40</f>
        <v>5. 단가산출서</v>
      </c>
      <c r="D202" s="773"/>
      <c r="E202" s="774"/>
      <c r="F202" s="778">
        <f>SUM(F203:F207)</f>
        <v>4</v>
      </c>
      <c r="G202" s="776"/>
      <c r="H202" s="776">
        <f>SUM(H203:H207)</f>
        <v>786533.04257139994</v>
      </c>
    </row>
    <row r="203" spans="1:8" ht="17.25" customHeight="1">
      <c r="A203" s="497"/>
      <c r="B203" s="500"/>
      <c r="C203" s="498"/>
      <c r="D203" s="773" t="s">
        <v>460</v>
      </c>
      <c r="E203" s="774" t="s">
        <v>461</v>
      </c>
      <c r="F203" s="778">
        <f>'6-3.기본및실시설계투입인원'!S40</f>
        <v>0.1</v>
      </c>
      <c r="G203" s="779">
        <f>+'5-3.산출근거(2)'!$R$24</f>
        <v>325327.32320500002</v>
      </c>
      <c r="H203" s="776">
        <f>F203*G203</f>
        <v>32532.732320500003</v>
      </c>
    </row>
    <row r="204" spans="1:8" ht="17.25" customHeight="1">
      <c r="A204" s="497"/>
      <c r="B204" s="500"/>
      <c r="C204" s="498"/>
      <c r="D204" s="773" t="s">
        <v>462</v>
      </c>
      <c r="E204" s="774" t="s">
        <v>461</v>
      </c>
      <c r="F204" s="778">
        <f>'6-3.기본및실시설계투입인원'!T40</f>
        <v>0.9</v>
      </c>
      <c r="G204" s="780">
        <f>+'5-3.산출근거(2)'!$R$25</f>
        <v>238578.78030000001</v>
      </c>
      <c r="H204" s="776">
        <f>F204*G204</f>
        <v>214720.90227000002</v>
      </c>
    </row>
    <row r="205" spans="1:8" ht="17.25" customHeight="1">
      <c r="A205" s="497"/>
      <c r="B205" s="500"/>
      <c r="C205" s="498"/>
      <c r="D205" s="773" t="s">
        <v>463</v>
      </c>
      <c r="E205" s="774" t="s">
        <v>461</v>
      </c>
      <c r="F205" s="778">
        <f>'6-3.기본및실시설계투입인원'!U40</f>
        <v>1.2</v>
      </c>
      <c r="G205" s="780">
        <f>+'5-3.산출근거(2)'!$R$26</f>
        <v>199505.89618100002</v>
      </c>
      <c r="H205" s="776">
        <f>F205*G205</f>
        <v>239407.07541720002</v>
      </c>
    </row>
    <row r="206" spans="1:8" ht="17.25" customHeight="1">
      <c r="A206" s="497"/>
      <c r="B206" s="500"/>
      <c r="C206" s="498"/>
      <c r="D206" s="773" t="s">
        <v>464</v>
      </c>
      <c r="E206" s="774" t="s">
        <v>461</v>
      </c>
      <c r="F206" s="778">
        <f>'6-3.기본및실시설계투입인원'!V40</f>
        <v>1.5</v>
      </c>
      <c r="G206" s="780">
        <f>+'5-3.산출근거(2)'!$R$27</f>
        <v>173018.78261300002</v>
      </c>
      <c r="H206" s="776">
        <f>F206*G206</f>
        <v>259528.17391950003</v>
      </c>
    </row>
    <row r="207" spans="1:8" ht="17.25" customHeight="1">
      <c r="A207" s="497"/>
      <c r="B207" s="500"/>
      <c r="C207" s="498"/>
      <c r="D207" s="773" t="s">
        <v>465</v>
      </c>
      <c r="E207" s="774" t="s">
        <v>461</v>
      </c>
      <c r="F207" s="778">
        <f>'6-3.기본및실시설계투입인원'!W40</f>
        <v>0.3</v>
      </c>
      <c r="G207" s="780">
        <f>+'5-3.산출근거(2)'!$R$28</f>
        <v>134480.52881399999</v>
      </c>
      <c r="H207" s="776">
        <f>F207*G207</f>
        <v>40344.158644199997</v>
      </c>
    </row>
    <row r="208" spans="1:8" ht="17.25" customHeight="1">
      <c r="A208" s="497"/>
      <c r="B208" s="500"/>
      <c r="C208" s="781" t="str">
        <f>'6-3.기본및실시설계투입인원'!B41</f>
        <v>6. 수량산출서</v>
      </c>
      <c r="D208" s="773"/>
      <c r="E208" s="774"/>
      <c r="F208" s="778">
        <f>SUM(F209:F213)</f>
        <v>12.9</v>
      </c>
      <c r="G208" s="776"/>
      <c r="H208" s="776">
        <f>SUM(H209:H213)</f>
        <v>2227131.1956459004</v>
      </c>
    </row>
    <row r="209" spans="1:8" ht="17.25" customHeight="1">
      <c r="A209" s="497"/>
      <c r="B209" s="500"/>
      <c r="C209" s="498"/>
      <c r="D209" s="773" t="s">
        <v>460</v>
      </c>
      <c r="E209" s="774" t="s">
        <v>461</v>
      </c>
      <c r="F209" s="778">
        <f>'6-3.기본및실시설계투입인원'!S41</f>
        <v>0.3</v>
      </c>
      <c r="G209" s="779">
        <f>+'5-3.산출근거(2)'!$R$24</f>
        <v>325327.32320500002</v>
      </c>
      <c r="H209" s="776">
        <f>F209*G209</f>
        <v>97598.196961499998</v>
      </c>
    </row>
    <row r="210" spans="1:8" ht="17.25" customHeight="1">
      <c r="A210" s="497"/>
      <c r="B210" s="500"/>
      <c r="C210" s="498"/>
      <c r="D210" s="773" t="s">
        <v>462</v>
      </c>
      <c r="E210" s="774" t="s">
        <v>461</v>
      </c>
      <c r="F210" s="778">
        <f>'6-3.기본및실시설계투입인원'!T41</f>
        <v>1.1000000000000001</v>
      </c>
      <c r="G210" s="780">
        <f>+'5-3.산출근거(2)'!$R$25</f>
        <v>238578.78030000001</v>
      </c>
      <c r="H210" s="776">
        <f>F210*G210</f>
        <v>262436.65833000006</v>
      </c>
    </row>
    <row r="211" spans="1:8" ht="17.25" customHeight="1">
      <c r="A211" s="497"/>
      <c r="B211" s="500"/>
      <c r="C211" s="498"/>
      <c r="D211" s="773" t="s">
        <v>463</v>
      </c>
      <c r="E211" s="774" t="s">
        <v>461</v>
      </c>
      <c r="F211" s="778">
        <f>'6-3.기본및실시설계투입인원'!U41</f>
        <v>2.5</v>
      </c>
      <c r="G211" s="780">
        <f>+'5-3.산출근거(2)'!$R$26</f>
        <v>199505.89618100002</v>
      </c>
      <c r="H211" s="776">
        <f>F211*G211</f>
        <v>498764.74045250006</v>
      </c>
    </row>
    <row r="212" spans="1:8" ht="17.25" customHeight="1">
      <c r="A212" s="497"/>
      <c r="B212" s="500"/>
      <c r="C212" s="498"/>
      <c r="D212" s="773" t="s">
        <v>464</v>
      </c>
      <c r="E212" s="774" t="s">
        <v>461</v>
      </c>
      <c r="F212" s="778">
        <f>'6-3.기본및실시설계투입인원'!V41</f>
        <v>4.0999999999999996</v>
      </c>
      <c r="G212" s="780">
        <f>+'5-3.산출근거(2)'!$R$27</f>
        <v>173018.78261300002</v>
      </c>
      <c r="H212" s="776">
        <f>F212*G212</f>
        <v>709377.00871329999</v>
      </c>
    </row>
    <row r="213" spans="1:8" ht="17.25" customHeight="1">
      <c r="A213" s="497"/>
      <c r="B213" s="500"/>
      <c r="C213" s="498"/>
      <c r="D213" s="773" t="s">
        <v>465</v>
      </c>
      <c r="E213" s="774" t="s">
        <v>461</v>
      </c>
      <c r="F213" s="778">
        <f>'6-3.기본및실시설계투입인원'!W41</f>
        <v>4.9000000000000004</v>
      </c>
      <c r="G213" s="780">
        <f>+'5-3.산출근거(2)'!$R$28</f>
        <v>134480.52881399999</v>
      </c>
      <c r="H213" s="776">
        <f>F213*G213</f>
        <v>658954.59118860005</v>
      </c>
    </row>
    <row r="214" spans="1:8" ht="17.25" customHeight="1">
      <c r="A214" s="497"/>
      <c r="B214" s="500"/>
      <c r="C214" s="781" t="str">
        <f>'6-3.기본및실시설계투입인원'!B42</f>
        <v xml:space="preserve">7. 기본 및 실시설계도면 </v>
      </c>
      <c r="D214" s="773"/>
      <c r="E214" s="774"/>
      <c r="F214" s="778">
        <f>SUM(F215:F219)</f>
        <v>6.9999999999999991</v>
      </c>
      <c r="G214" s="776"/>
      <c r="H214" s="776">
        <f>SUM(H215:H219)</f>
        <v>1282350.4424455001</v>
      </c>
    </row>
    <row r="215" spans="1:8" ht="17.25" customHeight="1">
      <c r="A215" s="497"/>
      <c r="B215" s="500"/>
      <c r="C215" s="498"/>
      <c r="D215" s="773" t="s">
        <v>460</v>
      </c>
      <c r="E215" s="774" t="s">
        <v>461</v>
      </c>
      <c r="F215" s="778">
        <f>'6-3.기본및실시설계투입인원'!S42</f>
        <v>0.6</v>
      </c>
      <c r="G215" s="779">
        <f>+'5-3.산출근거(2)'!$R$24</f>
        <v>325327.32320500002</v>
      </c>
      <c r="H215" s="776">
        <f>F215*G215</f>
        <v>195196.393923</v>
      </c>
    </row>
    <row r="216" spans="1:8" ht="17.25" customHeight="1">
      <c r="A216" s="497"/>
      <c r="B216" s="500"/>
      <c r="C216" s="498"/>
      <c r="D216" s="773" t="s">
        <v>462</v>
      </c>
      <c r="E216" s="774" t="s">
        <v>461</v>
      </c>
      <c r="F216" s="778">
        <f>'6-3.기본및실시설계투입인원'!T42</f>
        <v>0.6</v>
      </c>
      <c r="G216" s="780">
        <f>+'5-3.산출근거(2)'!$R$25</f>
        <v>238578.78030000001</v>
      </c>
      <c r="H216" s="776">
        <f>F216*G216</f>
        <v>143147.26818000001</v>
      </c>
    </row>
    <row r="217" spans="1:8" ht="17.25" customHeight="1">
      <c r="A217" s="497"/>
      <c r="B217" s="500"/>
      <c r="C217" s="498"/>
      <c r="D217" s="773" t="s">
        <v>463</v>
      </c>
      <c r="E217" s="774" t="s">
        <v>461</v>
      </c>
      <c r="F217" s="778">
        <f>'6-3.기본및실시설계투입인원'!U42</f>
        <v>1.1000000000000001</v>
      </c>
      <c r="G217" s="780">
        <f>+'5-3.산출근거(2)'!$R$26</f>
        <v>199505.89618100002</v>
      </c>
      <c r="H217" s="776">
        <f>F217*G217</f>
        <v>219456.48579910005</v>
      </c>
    </row>
    <row r="218" spans="1:8" ht="17.25" customHeight="1">
      <c r="A218" s="497"/>
      <c r="B218" s="500"/>
      <c r="C218" s="498"/>
      <c r="D218" s="773" t="s">
        <v>464</v>
      </c>
      <c r="E218" s="774" t="s">
        <v>461</v>
      </c>
      <c r="F218" s="778">
        <f>'6-3.기본및실시설계투입인원'!V42</f>
        <v>2.4</v>
      </c>
      <c r="G218" s="780">
        <f>+'5-3.산출근거(2)'!$R$27</f>
        <v>173018.78261300002</v>
      </c>
      <c r="H218" s="776">
        <f>F218*G218</f>
        <v>415245.07827120001</v>
      </c>
    </row>
    <row r="219" spans="1:8" ht="17.25" customHeight="1">
      <c r="A219" s="497"/>
      <c r="B219" s="500"/>
      <c r="C219" s="498"/>
      <c r="D219" s="773" t="s">
        <v>465</v>
      </c>
      <c r="E219" s="774" t="s">
        <v>461</v>
      </c>
      <c r="F219" s="778">
        <f>'6-3.기본및실시설계투입인원'!W42</f>
        <v>2.2999999999999998</v>
      </c>
      <c r="G219" s="780">
        <f>+'5-3.산출근거(2)'!$R$28</f>
        <v>134480.52881399999</v>
      </c>
      <c r="H219" s="776">
        <f>F219*G219</f>
        <v>309305.21627219993</v>
      </c>
    </row>
    <row r="220" spans="1:8" ht="17.25" customHeight="1">
      <c r="A220" s="497"/>
      <c r="B220" s="500"/>
      <c r="C220" s="781" t="str">
        <f>'6-3.기본및실시설계투입인원'!B43</f>
        <v>8. 공사시방서</v>
      </c>
      <c r="D220" s="773"/>
      <c r="E220" s="774"/>
      <c r="F220" s="778">
        <f>SUM(F221:F225)</f>
        <v>20.9</v>
      </c>
      <c r="G220" s="776"/>
      <c r="H220" s="776">
        <f>SUM(H221:H225)</f>
        <v>4100586.868187</v>
      </c>
    </row>
    <row r="221" spans="1:8" ht="17.25" customHeight="1">
      <c r="A221" s="497"/>
      <c r="B221" s="500"/>
      <c r="C221" s="498"/>
      <c r="D221" s="773" t="s">
        <v>460</v>
      </c>
      <c r="E221" s="774" t="s">
        <v>461</v>
      </c>
      <c r="F221" s="778">
        <f>'6-3.기본및실시설계투입인원'!S43</f>
        <v>1.4</v>
      </c>
      <c r="G221" s="779">
        <f>+'5-3.산출근거(2)'!$R$24</f>
        <v>325327.32320500002</v>
      </c>
      <c r="H221" s="776">
        <f>F221*G221</f>
        <v>455458.25248700002</v>
      </c>
    </row>
    <row r="222" spans="1:8" ht="17.25" customHeight="1">
      <c r="A222" s="497"/>
      <c r="B222" s="500"/>
      <c r="C222" s="498"/>
      <c r="D222" s="773" t="s">
        <v>462</v>
      </c>
      <c r="E222" s="774" t="s">
        <v>461</v>
      </c>
      <c r="F222" s="778">
        <f>'6-3.기본및실시설계투입인원'!T43</f>
        <v>4.3</v>
      </c>
      <c r="G222" s="780">
        <f>+'5-3.산출근거(2)'!$R$25</f>
        <v>238578.78030000001</v>
      </c>
      <c r="H222" s="776">
        <f>F222*G222</f>
        <v>1025888.75529</v>
      </c>
    </row>
    <row r="223" spans="1:8" ht="17.25" customHeight="1">
      <c r="A223" s="497"/>
      <c r="B223" s="500"/>
      <c r="C223" s="498"/>
      <c r="D223" s="773" t="s">
        <v>463</v>
      </c>
      <c r="E223" s="774" t="s">
        <v>461</v>
      </c>
      <c r="F223" s="778">
        <f>'6-3.기본및실시설계투입인원'!U43</f>
        <v>6</v>
      </c>
      <c r="G223" s="780">
        <f>+'5-3.산출근거(2)'!$R$26</f>
        <v>199505.89618100002</v>
      </c>
      <c r="H223" s="776">
        <f>F223*G223</f>
        <v>1197035.3770860001</v>
      </c>
    </row>
    <row r="224" spans="1:8" ht="17.25" customHeight="1">
      <c r="A224" s="497"/>
      <c r="B224" s="500"/>
      <c r="C224" s="498"/>
      <c r="D224" s="773" t="s">
        <v>464</v>
      </c>
      <c r="E224" s="774" t="s">
        <v>461</v>
      </c>
      <c r="F224" s="778">
        <f>'6-3.기본및실시설계투입인원'!V43</f>
        <v>4.8</v>
      </c>
      <c r="G224" s="780">
        <f>+'5-3.산출근거(2)'!$R$27</f>
        <v>173018.78261300002</v>
      </c>
      <c r="H224" s="776">
        <f>F224*G224</f>
        <v>830490.15654240001</v>
      </c>
    </row>
    <row r="225" spans="1:8" ht="17.25" customHeight="1">
      <c r="A225" s="502"/>
      <c r="B225" s="501"/>
      <c r="C225" s="503"/>
      <c r="D225" s="773" t="s">
        <v>465</v>
      </c>
      <c r="E225" s="774" t="s">
        <v>461</v>
      </c>
      <c r="F225" s="778">
        <f>'6-3.기본및실시설계투입인원'!W43</f>
        <v>4.4000000000000004</v>
      </c>
      <c r="G225" s="780">
        <f>+'5-3.산출근거(2)'!$R$28</f>
        <v>134480.52881399999</v>
      </c>
      <c r="H225" s="776">
        <f>F225*G225</f>
        <v>591714.32678160002</v>
      </c>
    </row>
  </sheetData>
  <mergeCells count="6">
    <mergeCell ref="B177:C177"/>
    <mergeCell ref="A1:H1"/>
    <mergeCell ref="A4:C4"/>
    <mergeCell ref="B6:C6"/>
    <mergeCell ref="B55:C55"/>
    <mergeCell ref="B122:C122"/>
  </mergeCells>
  <phoneticPr fontId="2" type="noConversion"/>
  <printOptions horizontalCentered="1"/>
  <pageMargins left="0.70866141732283472" right="0.70866141732283472" top="0.74803149606299213" bottom="0.74803149606299213" header="0.31496062992125984" footer="0.31496062992125984"/>
  <pageSetup paperSize="9" scale="75" orientation="portrait" r:id="rId1"/>
  <rowBreaks count="3" manualBreakCount="3">
    <brk id="103" max="16383" man="1"/>
    <brk id="152" max="16383" man="1"/>
    <brk id="20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5"/>
  <sheetViews>
    <sheetView view="pageBreakPreview" topLeftCell="A22" zoomScale="85" zoomScaleNormal="70" zoomScaleSheetLayoutView="85" workbookViewId="0">
      <selection activeCell="I8" sqref="I8:K8"/>
    </sheetView>
  </sheetViews>
  <sheetFormatPr defaultRowHeight="16.5"/>
  <cols>
    <col min="1" max="1" width="4.25" style="454" customWidth="1"/>
    <col min="2" max="2" width="27.75" style="454" bestFit="1" customWidth="1"/>
    <col min="3" max="3" width="12.5" style="454" bestFit="1" customWidth="1"/>
    <col min="4" max="4" width="0.875" style="454" customWidth="1"/>
    <col min="5" max="9" width="7.625" style="454" customWidth="1"/>
    <col min="10" max="10" width="0.875" style="454" customWidth="1"/>
    <col min="11" max="15" width="7.625" style="455" customWidth="1"/>
    <col min="16" max="16" width="1" style="454" customWidth="1"/>
    <col min="17" max="17" width="8.25" style="454" customWidth="1"/>
    <col min="18" max="18" width="0.875" style="454" customWidth="1"/>
    <col min="19" max="23" width="8.25" style="454" customWidth="1"/>
    <col min="24" max="24" width="10.875" style="454" bestFit="1" customWidth="1"/>
    <col min="25" max="25" width="1.25" style="456" customWidth="1"/>
    <col min="26" max="26" width="1.25" style="454" customWidth="1"/>
    <col min="27" max="27" width="27.75" style="454" hidden="1" customWidth="1"/>
    <col min="28" max="28" width="17.125" style="454" hidden="1" customWidth="1"/>
    <col min="29" max="29" width="17.25" style="454" hidden="1" customWidth="1"/>
    <col min="30" max="30" width="14.875" style="454" hidden="1" customWidth="1"/>
    <col min="31" max="31" width="1.625" style="454" customWidth="1"/>
    <col min="32" max="16384" width="9" style="698"/>
  </cols>
  <sheetData>
    <row r="1" spans="1:31" ht="45.75" customHeight="1">
      <c r="A1" s="1545" t="s">
        <v>1034</v>
      </c>
      <c r="B1" s="1548"/>
      <c r="C1" s="1548"/>
      <c r="D1" s="1548"/>
      <c r="E1" s="1548"/>
      <c r="F1" s="1548"/>
      <c r="G1" s="1548"/>
      <c r="H1" s="1548"/>
      <c r="I1" s="1548"/>
      <c r="J1" s="1548"/>
      <c r="K1" s="1548"/>
      <c r="L1" s="1548"/>
      <c r="M1" s="1548"/>
      <c r="N1" s="1548"/>
      <c r="O1" s="1548"/>
      <c r="P1" s="1548"/>
      <c r="Q1" s="1548"/>
      <c r="R1" s="1548"/>
      <c r="S1" s="1548"/>
      <c r="T1" s="1548"/>
      <c r="U1" s="1548"/>
      <c r="V1" s="1548"/>
      <c r="W1" s="1548"/>
      <c r="X1" s="1548"/>
    </row>
    <row r="2" spans="1:31" ht="15.75" customHeight="1" thickBot="1"/>
    <row r="3" spans="1:31" s="458" customFormat="1">
      <c r="A3" s="1669" t="s">
        <v>700</v>
      </c>
      <c r="B3" s="1671" t="s">
        <v>1035</v>
      </c>
      <c r="C3" s="1672"/>
      <c r="D3" s="457"/>
      <c r="E3" s="1673" t="s">
        <v>433</v>
      </c>
      <c r="F3" s="1674"/>
      <c r="G3" s="1674"/>
      <c r="H3" s="1674"/>
      <c r="I3" s="1675"/>
      <c r="J3" s="457"/>
      <c r="K3" s="1676" t="s">
        <v>434</v>
      </c>
      <c r="L3" s="1677"/>
      <c r="M3" s="1677"/>
      <c r="N3" s="1677"/>
      <c r="O3" s="1678"/>
      <c r="P3" s="783"/>
      <c r="Q3" s="1679" t="s">
        <v>1036</v>
      </c>
      <c r="R3" s="457"/>
      <c r="S3" s="1681" t="s">
        <v>1037</v>
      </c>
      <c r="T3" s="1682"/>
      <c r="U3" s="1682"/>
      <c r="V3" s="1682"/>
      <c r="W3" s="1682"/>
      <c r="X3" s="1683"/>
      <c r="Y3" s="783"/>
      <c r="Z3" s="457"/>
      <c r="AA3" s="1662" t="s">
        <v>1038</v>
      </c>
      <c r="AB3" s="1663"/>
      <c r="AC3" s="1663"/>
      <c r="AD3" s="1664"/>
      <c r="AE3" s="457"/>
    </row>
    <row r="4" spans="1:31" s="458" customFormat="1" ht="17.25" thickBot="1">
      <c r="A4" s="1670"/>
      <c r="B4" s="784" t="s">
        <v>435</v>
      </c>
      <c r="C4" s="785" t="s">
        <v>1039</v>
      </c>
      <c r="D4" s="457"/>
      <c r="E4" s="786" t="s">
        <v>1040</v>
      </c>
      <c r="F4" s="787" t="s">
        <v>1041</v>
      </c>
      <c r="G4" s="788" t="s">
        <v>1042</v>
      </c>
      <c r="H4" s="788" t="s">
        <v>1043</v>
      </c>
      <c r="I4" s="789" t="s">
        <v>1044</v>
      </c>
      <c r="J4" s="457"/>
      <c r="K4" s="790" t="s">
        <v>1045</v>
      </c>
      <c r="L4" s="791" t="s">
        <v>1046</v>
      </c>
      <c r="M4" s="791" t="s">
        <v>1047</v>
      </c>
      <c r="N4" s="791" t="s">
        <v>1048</v>
      </c>
      <c r="O4" s="792" t="s">
        <v>1049</v>
      </c>
      <c r="P4" s="783"/>
      <c r="Q4" s="1680"/>
      <c r="R4" s="457"/>
      <c r="S4" s="793" t="s">
        <v>1040</v>
      </c>
      <c r="T4" s="794" t="s">
        <v>1041</v>
      </c>
      <c r="U4" s="794" t="s">
        <v>1042</v>
      </c>
      <c r="V4" s="794" t="s">
        <v>1043</v>
      </c>
      <c r="W4" s="794" t="s">
        <v>1044</v>
      </c>
      <c r="X4" s="795" t="s">
        <v>1050</v>
      </c>
      <c r="Y4" s="783"/>
      <c r="Z4" s="457"/>
      <c r="AA4" s="796" t="s">
        <v>1051</v>
      </c>
      <c r="AB4" s="797" t="s">
        <v>1052</v>
      </c>
      <c r="AC4" s="797" t="s">
        <v>1053</v>
      </c>
      <c r="AD4" s="798" t="s">
        <v>1054</v>
      </c>
      <c r="AE4" s="457"/>
    </row>
    <row r="5" spans="1:31" s="458" customFormat="1" ht="17.25" thickTop="1">
      <c r="A5" s="1665" t="s">
        <v>1055</v>
      </c>
      <c r="B5" s="799" t="s">
        <v>430</v>
      </c>
      <c r="C5" s="800" t="s">
        <v>1056</v>
      </c>
      <c r="D5" s="457"/>
      <c r="E5" s="459">
        <v>1.8</v>
      </c>
      <c r="F5" s="460">
        <v>4.5999999999999996</v>
      </c>
      <c r="G5" s="460">
        <v>5.2</v>
      </c>
      <c r="H5" s="460">
        <v>4.0999999999999996</v>
      </c>
      <c r="I5" s="461">
        <v>2.2999999999999998</v>
      </c>
      <c r="J5" s="462"/>
      <c r="K5" s="463"/>
      <c r="L5" s="464"/>
      <c r="M5" s="464"/>
      <c r="N5" s="464"/>
      <c r="O5" s="465">
        <f>IF(COUNT(K5:N5)=0,1,PRODUCT(K5:N5))</f>
        <v>1</v>
      </c>
      <c r="P5" s="466"/>
      <c r="Q5" s="467">
        <f>'6-5.(기본및실시)적용수량 산출근거'!$C$16</f>
        <v>1</v>
      </c>
      <c r="R5" s="457"/>
      <c r="S5" s="468">
        <f t="shared" ref="S5:W11" si="0">ROUNDDOWN(E5*$O5*$Q5,1)</f>
        <v>1.8</v>
      </c>
      <c r="T5" s="469">
        <f t="shared" si="0"/>
        <v>4.5999999999999996</v>
      </c>
      <c r="U5" s="469">
        <f t="shared" si="0"/>
        <v>5.2</v>
      </c>
      <c r="V5" s="469">
        <f t="shared" si="0"/>
        <v>4.0999999999999996</v>
      </c>
      <c r="W5" s="469">
        <f t="shared" si="0"/>
        <v>2.2999999999999998</v>
      </c>
      <c r="X5" s="470">
        <f>SUM(S5:W5)</f>
        <v>18</v>
      </c>
      <c r="Y5" s="471"/>
      <c r="Z5" s="457"/>
      <c r="AA5" s="801" t="str">
        <f>B5</f>
        <v>1. 과업착수준비</v>
      </c>
      <c r="AB5" s="802">
        <f>S5*'6-1.기초DATA 입력'!$A$47+T5*'6-1.기초DATA 입력'!$C$47+U5*'6-1.기초DATA 입력'!$E$47+V5*'6-1.기초DATA 입력'!$G$47+W5*'6-1.기초DATA 입력'!$I$47</f>
        <v>3739164.4562757001</v>
      </c>
      <c r="AC5" s="802">
        <f>(AB5+AB5*1.1)*1.2</f>
        <v>9422694.4298147634</v>
      </c>
      <c r="AD5" s="803">
        <f t="shared" ref="AD5:AD16" si="1">AC5/$AC$45</f>
        <v>2.7389483271244672E-2</v>
      </c>
      <c r="AE5" s="457"/>
    </row>
    <row r="6" spans="1:31" s="458" customFormat="1">
      <c r="A6" s="1666"/>
      <c r="B6" s="804" t="s">
        <v>1057</v>
      </c>
      <c r="C6" s="805" t="s">
        <v>1058</v>
      </c>
      <c r="D6" s="457"/>
      <c r="E6" s="806">
        <v>4.5</v>
      </c>
      <c r="F6" s="807">
        <v>6.2</v>
      </c>
      <c r="G6" s="807">
        <v>6.2</v>
      </c>
      <c r="H6" s="807">
        <v>4</v>
      </c>
      <c r="I6" s="808">
        <v>0</v>
      </c>
      <c r="J6" s="462"/>
      <c r="K6" s="472"/>
      <c r="L6" s="473">
        <f>지역보정</f>
        <v>1.1000000000000001</v>
      </c>
      <c r="M6" s="464"/>
      <c r="N6" s="464"/>
      <c r="O6" s="465">
        <f t="shared" ref="O6:O41" si="2">IF(COUNT(K6:N6)=0,1,PRODUCT(K6:N6))</f>
        <v>1.1000000000000001</v>
      </c>
      <c r="P6" s="466"/>
      <c r="Q6" s="809">
        <f>'6-5.(기본및실시)적용수량 산출근거'!$C$7</f>
        <v>0.21110000000000001</v>
      </c>
      <c r="R6" s="457"/>
      <c r="S6" s="810">
        <f t="shared" si="0"/>
        <v>1</v>
      </c>
      <c r="T6" s="811">
        <f t="shared" si="0"/>
        <v>1.4</v>
      </c>
      <c r="U6" s="811">
        <f t="shared" si="0"/>
        <v>1.4</v>
      </c>
      <c r="V6" s="811">
        <f t="shared" si="0"/>
        <v>0.9</v>
      </c>
      <c r="W6" s="811">
        <f t="shared" si="0"/>
        <v>0</v>
      </c>
      <c r="X6" s="812">
        <f t="shared" ref="X6:X45" si="3">SUM(S6:W6)</f>
        <v>4.7</v>
      </c>
      <c r="Y6" s="471"/>
      <c r="Z6" s="457"/>
      <c r="AA6" s="801" t="str">
        <f t="shared" ref="AA6:AA12" si="4">B6</f>
        <v>2. 관련계획 조사 및 검토</v>
      </c>
      <c r="AB6" s="802">
        <f>S6*'6-1.기초DATA 입력'!$A$47+T6*'6-1.기초DATA 입력'!$C$47+U6*'6-1.기초DATA 입력'!$E$47+V6*'6-1.기초DATA 입력'!$G$47+W6*'6-1.기초DATA 입력'!$I$47</f>
        <v>1094362.7746301002</v>
      </c>
      <c r="AC6" s="802">
        <f t="shared" ref="AC6:AC12" si="5">(AB6+AB6*1.1)*1.2</f>
        <v>2757794.1920678527</v>
      </c>
      <c r="AD6" s="803">
        <f t="shared" si="1"/>
        <v>8.0162376538685087E-3</v>
      </c>
      <c r="AE6" s="457"/>
    </row>
    <row r="7" spans="1:31" s="458" customFormat="1">
      <c r="A7" s="1666"/>
      <c r="B7" s="804" t="s">
        <v>437</v>
      </c>
      <c r="C7" s="805" t="s">
        <v>436</v>
      </c>
      <c r="D7" s="457"/>
      <c r="E7" s="806">
        <v>4.0999999999999996</v>
      </c>
      <c r="F7" s="807">
        <v>6.5</v>
      </c>
      <c r="G7" s="807">
        <v>9.4</v>
      </c>
      <c r="H7" s="807">
        <v>2.4</v>
      </c>
      <c r="I7" s="808">
        <v>0</v>
      </c>
      <c r="J7" s="462"/>
      <c r="K7" s="472"/>
      <c r="L7" s="473">
        <f>지역보정</f>
        <v>1.1000000000000001</v>
      </c>
      <c r="M7" s="464"/>
      <c r="N7" s="473">
        <f>지구보정</f>
        <v>1</v>
      </c>
      <c r="O7" s="465">
        <f t="shared" si="2"/>
        <v>1.1000000000000001</v>
      </c>
      <c r="P7" s="466"/>
      <c r="Q7" s="809">
        <f>'6-5.(기본및실시)적용수량 산출근거'!$C$7</f>
        <v>0.21110000000000001</v>
      </c>
      <c r="R7" s="457"/>
      <c r="S7" s="810">
        <f t="shared" si="0"/>
        <v>0.9</v>
      </c>
      <c r="T7" s="811">
        <f t="shared" si="0"/>
        <v>1.5</v>
      </c>
      <c r="U7" s="811">
        <f t="shared" si="0"/>
        <v>2.1</v>
      </c>
      <c r="V7" s="811">
        <f t="shared" si="0"/>
        <v>0.5</v>
      </c>
      <c r="W7" s="811">
        <f t="shared" si="0"/>
        <v>0</v>
      </c>
      <c r="X7" s="812">
        <f t="shared" si="3"/>
        <v>5</v>
      </c>
      <c r="Y7" s="471"/>
      <c r="Z7" s="457"/>
      <c r="AA7" s="801" t="str">
        <f t="shared" si="4"/>
        <v>3. 현지조사 및 답사</v>
      </c>
      <c r="AB7" s="802">
        <f>S7*'6-1.기초DATA 입력'!$A$47+T7*'6-1.기초DATA 입력'!$C$47+U7*'6-1.기초DATA 입력'!$E$47+V7*'6-1.기초DATA 입력'!$G$47+W7*'6-1.기초DATA 입력'!$I$47</f>
        <v>1156134.5346210999</v>
      </c>
      <c r="AC7" s="802">
        <f t="shared" si="5"/>
        <v>2913459.0272451718</v>
      </c>
      <c r="AD7" s="803">
        <f t="shared" si="1"/>
        <v>8.4687175077752287E-3</v>
      </c>
      <c r="AE7" s="457"/>
    </row>
    <row r="8" spans="1:31" s="458" customFormat="1">
      <c r="A8" s="1666"/>
      <c r="B8" s="804" t="s">
        <v>1059</v>
      </c>
      <c r="C8" s="805" t="s">
        <v>431</v>
      </c>
      <c r="D8" s="457"/>
      <c r="E8" s="806">
        <v>1.7</v>
      </c>
      <c r="F8" s="807">
        <v>7.4</v>
      </c>
      <c r="G8" s="807">
        <v>11.3</v>
      </c>
      <c r="H8" s="807">
        <v>13.1</v>
      </c>
      <c r="I8" s="808">
        <v>8.6</v>
      </c>
      <c r="J8" s="462"/>
      <c r="K8" s="472"/>
      <c r="L8" s="473">
        <f>지역보정</f>
        <v>1.1000000000000001</v>
      </c>
      <c r="M8" s="473">
        <f>지형보정</f>
        <v>0.9</v>
      </c>
      <c r="N8" s="464"/>
      <c r="O8" s="465">
        <f t="shared" si="2"/>
        <v>0.9900000000000001</v>
      </c>
      <c r="P8" s="466"/>
      <c r="Q8" s="809">
        <f>'6-5.(기본및실시)적용수량 산출근거'!$C$7</f>
        <v>0.21110000000000001</v>
      </c>
      <c r="R8" s="457"/>
      <c r="S8" s="810">
        <f t="shared" si="0"/>
        <v>0.3</v>
      </c>
      <c r="T8" s="811">
        <f t="shared" si="0"/>
        <v>1.5</v>
      </c>
      <c r="U8" s="811">
        <f t="shared" si="0"/>
        <v>2.2999999999999998</v>
      </c>
      <c r="V8" s="811">
        <f t="shared" si="0"/>
        <v>2.7</v>
      </c>
      <c r="W8" s="811">
        <f t="shared" si="0"/>
        <v>1.7</v>
      </c>
      <c r="X8" s="812">
        <f t="shared" si="3"/>
        <v>8.5</v>
      </c>
      <c r="Y8" s="471"/>
      <c r="Z8" s="457"/>
      <c r="AA8" s="801" t="str">
        <f t="shared" si="4"/>
        <v>4. 수리·수문조사</v>
      </c>
      <c r="AB8" s="802">
        <f>S8*'6-1.기초DATA 입력'!$A$47+T8*'6-1.기초DATA 입력'!$C$47+U8*'6-1.기초DATA 입력'!$E$47+V8*'6-1.기초DATA 입력'!$G$47+W8*'6-1.기초DATA 입력'!$I$47</f>
        <v>1610097.5406666999</v>
      </c>
      <c r="AC8" s="802">
        <f t="shared" si="5"/>
        <v>4057445.8024800839</v>
      </c>
      <c r="AD8" s="803">
        <f t="shared" si="1"/>
        <v>1.1794009108411134E-2</v>
      </c>
      <c r="AE8" s="457"/>
    </row>
    <row r="9" spans="1:31" s="458" customFormat="1">
      <c r="A9" s="1666"/>
      <c r="B9" s="804" t="s">
        <v>438</v>
      </c>
      <c r="C9" s="805" t="s">
        <v>431</v>
      </c>
      <c r="D9" s="457"/>
      <c r="E9" s="806">
        <v>0.6</v>
      </c>
      <c r="F9" s="807">
        <v>2.2999999999999998</v>
      </c>
      <c r="G9" s="807">
        <v>4.2</v>
      </c>
      <c r="H9" s="807">
        <v>3.6</v>
      </c>
      <c r="I9" s="808">
        <v>2.6</v>
      </c>
      <c r="J9" s="462"/>
      <c r="K9" s="472"/>
      <c r="L9" s="473">
        <f>지역보정</f>
        <v>1.1000000000000001</v>
      </c>
      <c r="M9" s="473">
        <f>지형보정</f>
        <v>0.9</v>
      </c>
      <c r="N9" s="464"/>
      <c r="O9" s="465">
        <f t="shared" si="2"/>
        <v>0.9900000000000001</v>
      </c>
      <c r="P9" s="466"/>
      <c r="Q9" s="809">
        <f>'6-5.(기본및실시)적용수량 산출근거'!$C$7</f>
        <v>0.21110000000000001</v>
      </c>
      <c r="R9" s="457"/>
      <c r="S9" s="810">
        <f t="shared" si="0"/>
        <v>0.1</v>
      </c>
      <c r="T9" s="811">
        <f t="shared" si="0"/>
        <v>0.4</v>
      </c>
      <c r="U9" s="811">
        <f t="shared" si="0"/>
        <v>0.8</v>
      </c>
      <c r="V9" s="811">
        <f t="shared" si="0"/>
        <v>0.7</v>
      </c>
      <c r="W9" s="811">
        <f t="shared" si="0"/>
        <v>0.5</v>
      </c>
      <c r="X9" s="812">
        <f t="shared" si="3"/>
        <v>2.5</v>
      </c>
      <c r="Y9" s="471"/>
      <c r="Z9" s="457"/>
      <c r="AA9" s="801" t="str">
        <f t="shared" si="4"/>
        <v>5. 측량 성과검토</v>
      </c>
      <c r="AB9" s="802">
        <f>S9*'6-1.기초DATA 입력'!$A$47+T9*'6-1.기초DATA 입력'!$C$47+U9*'6-1.기초DATA 입력'!$E$47+V9*'6-1.기초DATA 입력'!$G$47+W9*'6-1.기초DATA 입력'!$I$47</f>
        <v>475922.37362140004</v>
      </c>
      <c r="AC9" s="802">
        <f t="shared" si="5"/>
        <v>1199324.3815259279</v>
      </c>
      <c r="AD9" s="803">
        <f t="shared" si="1"/>
        <v>3.4861445767212498E-3</v>
      </c>
      <c r="AE9" s="457"/>
    </row>
    <row r="10" spans="1:31" s="458" customFormat="1">
      <c r="A10" s="1666"/>
      <c r="B10" s="804" t="s">
        <v>439</v>
      </c>
      <c r="C10" s="805" t="s">
        <v>431</v>
      </c>
      <c r="D10" s="457"/>
      <c r="E10" s="806">
        <v>1</v>
      </c>
      <c r="F10" s="807">
        <v>2.5</v>
      </c>
      <c r="G10" s="807">
        <v>3.5</v>
      </c>
      <c r="H10" s="807">
        <v>3.5</v>
      </c>
      <c r="I10" s="808">
        <v>1.5</v>
      </c>
      <c r="J10" s="462"/>
      <c r="K10" s="472"/>
      <c r="L10" s="464"/>
      <c r="M10" s="473">
        <f>지형보정</f>
        <v>0.9</v>
      </c>
      <c r="N10" s="464"/>
      <c r="O10" s="465">
        <f t="shared" si="2"/>
        <v>0.9</v>
      </c>
      <c r="P10" s="466"/>
      <c r="Q10" s="809">
        <f>'6-5.(기본및실시)적용수량 산출근거'!$C$7</f>
        <v>0.21110000000000001</v>
      </c>
      <c r="R10" s="457"/>
      <c r="S10" s="810">
        <f t="shared" si="0"/>
        <v>0.1</v>
      </c>
      <c r="T10" s="811">
        <f t="shared" si="0"/>
        <v>0.4</v>
      </c>
      <c r="U10" s="811">
        <f t="shared" si="0"/>
        <v>0.6</v>
      </c>
      <c r="V10" s="811">
        <f t="shared" si="0"/>
        <v>0.6</v>
      </c>
      <c r="W10" s="811">
        <f t="shared" si="0"/>
        <v>0.2</v>
      </c>
      <c r="X10" s="812">
        <f t="shared" si="3"/>
        <v>1.9000000000000001</v>
      </c>
      <c r="Y10" s="471"/>
      <c r="Z10" s="457"/>
      <c r="AA10" s="801" t="str">
        <f t="shared" si="4"/>
        <v>6. 토질 및 지반조사 성과검토</v>
      </c>
      <c r="AB10" s="802">
        <f>S10*'6-1.기초DATA 입력'!$A$47+T10*'6-1.기초DATA 입력'!$C$47+U10*'6-1.기초DATA 입력'!$E$47+V10*'6-1.기초DATA 입력'!$G$47+W10*'6-1.기초DATA 입력'!$I$47</f>
        <v>378375.15747970005</v>
      </c>
      <c r="AC10" s="802">
        <f t="shared" si="5"/>
        <v>953505.39684884402</v>
      </c>
      <c r="AD10" s="803">
        <f t="shared" si="1"/>
        <v>2.7716085150122321E-3</v>
      </c>
      <c r="AE10" s="457"/>
    </row>
    <row r="11" spans="1:31" s="458" customFormat="1">
      <c r="A11" s="1666"/>
      <c r="B11" s="804" t="s">
        <v>1060</v>
      </c>
      <c r="C11" s="805" t="s">
        <v>431</v>
      </c>
      <c r="D11" s="457"/>
      <c r="E11" s="806">
        <v>0</v>
      </c>
      <c r="F11" s="807">
        <v>6</v>
      </c>
      <c r="G11" s="807">
        <v>6</v>
      </c>
      <c r="H11" s="807">
        <v>3.1</v>
      </c>
      <c r="I11" s="808">
        <v>0</v>
      </c>
      <c r="J11" s="462"/>
      <c r="K11" s="472"/>
      <c r="L11" s="473">
        <f>지역보정</f>
        <v>1.1000000000000001</v>
      </c>
      <c r="M11" s="464"/>
      <c r="N11" s="473">
        <f>지구보정</f>
        <v>1</v>
      </c>
      <c r="O11" s="465">
        <f t="shared" si="2"/>
        <v>1.1000000000000001</v>
      </c>
      <c r="P11" s="466"/>
      <c r="Q11" s="809">
        <f>'6-5.(기본및실시)적용수량 산출근거'!$C$7</f>
        <v>0.21110000000000001</v>
      </c>
      <c r="R11" s="457"/>
      <c r="S11" s="810">
        <f t="shared" si="0"/>
        <v>0</v>
      </c>
      <c r="T11" s="811">
        <f t="shared" si="0"/>
        <v>1.3</v>
      </c>
      <c r="U11" s="811">
        <f t="shared" si="0"/>
        <v>1.3</v>
      </c>
      <c r="V11" s="811">
        <f t="shared" si="0"/>
        <v>0.7</v>
      </c>
      <c r="W11" s="811">
        <f t="shared" si="0"/>
        <v>0</v>
      </c>
      <c r="X11" s="812">
        <f t="shared" si="3"/>
        <v>3.3</v>
      </c>
      <c r="Y11" s="471"/>
      <c r="Z11" s="457"/>
      <c r="AA11" s="801" t="str">
        <f t="shared" si="4"/>
        <v>7. 지장물 및 구조물조사</v>
      </c>
      <c r="AB11" s="802">
        <f>S11*'6-1.기초DATA 입력'!$A$47+T11*'6-1.기초DATA 입력'!$C$47+U11*'6-1.기초DATA 입력'!$E$47+V11*'6-1.기초DATA 입력'!$G$47+W11*'6-1.기초DATA 입력'!$I$47</f>
        <v>690623.22725440015</v>
      </c>
      <c r="AC11" s="802">
        <f t="shared" si="5"/>
        <v>1740370.5326810884</v>
      </c>
      <c r="AD11" s="803">
        <f t="shared" si="1"/>
        <v>5.0588342799070193E-3</v>
      </c>
      <c r="AE11" s="457"/>
    </row>
    <row r="12" spans="1:31" s="458" customFormat="1">
      <c r="A12" s="1667"/>
      <c r="B12" s="804" t="s">
        <v>440</v>
      </c>
      <c r="C12" s="805" t="s">
        <v>436</v>
      </c>
      <c r="D12" s="457"/>
      <c r="E12" s="806">
        <v>0.3</v>
      </c>
      <c r="F12" s="807">
        <v>1</v>
      </c>
      <c r="G12" s="807">
        <v>1.3</v>
      </c>
      <c r="H12" s="807">
        <v>1.3</v>
      </c>
      <c r="I12" s="808">
        <v>1.8</v>
      </c>
      <c r="J12" s="462"/>
      <c r="K12" s="472"/>
      <c r="L12" s="464"/>
      <c r="M12" s="473">
        <f>지형보정</f>
        <v>0.9</v>
      </c>
      <c r="N12" s="464"/>
      <c r="O12" s="465">
        <f t="shared" si="2"/>
        <v>0.9</v>
      </c>
      <c r="P12" s="466"/>
      <c r="Q12" s="809">
        <f>'6-5.(기본및실시)적용수량 산출근거'!$C$7</f>
        <v>0.21110000000000001</v>
      </c>
      <c r="R12" s="457"/>
      <c r="S12" s="810">
        <f>ROUNDDOWN(E12*$O12*$Q12,1)</f>
        <v>0</v>
      </c>
      <c r="T12" s="811">
        <f>ROUNDDOWN(F12*$O12*$Q12,1)</f>
        <v>0.1</v>
      </c>
      <c r="U12" s="811">
        <f>ROUNDDOWN(G12*$O12*$Q12,1)</f>
        <v>0.2</v>
      </c>
      <c r="V12" s="811">
        <f>ROUNDDOWN(H12*$O12*$Q12,1)</f>
        <v>0.2</v>
      </c>
      <c r="W12" s="811">
        <f>ROUNDDOWN(I12*$O12*$Q12,1)</f>
        <v>0.3</v>
      </c>
      <c r="X12" s="812">
        <f t="shared" si="3"/>
        <v>0.8</v>
      </c>
      <c r="Y12" s="471"/>
      <c r="Z12" s="457"/>
      <c r="AA12" s="801" t="str">
        <f t="shared" si="4"/>
        <v>8. 토취장, 골재원, 사토장 조사</v>
      </c>
      <c r="AB12" s="802">
        <f>S12*'6-1.기초DATA 입력'!$A$47+T12*'6-1.기초DATA 입력'!$C$47+U12*'6-1.기초DATA 입력'!$E$47+V12*'6-1.기초DATA 입력'!$G$47+W12*'6-1.기초DATA 입력'!$I$47</f>
        <v>138706.97243299999</v>
      </c>
      <c r="AC12" s="802">
        <f t="shared" si="5"/>
        <v>349541.57053115999</v>
      </c>
      <c r="AD12" s="803">
        <f t="shared" si="1"/>
        <v>1.0160324172643262E-3</v>
      </c>
      <c r="AE12" s="457"/>
    </row>
    <row r="13" spans="1:31" s="458" customFormat="1">
      <c r="A13" s="813"/>
      <c r="B13" s="814"/>
      <c r="C13" s="815"/>
      <c r="D13" s="457"/>
      <c r="E13" s="816">
        <f>SUM(E5:E12)</f>
        <v>13.999999999999998</v>
      </c>
      <c r="F13" s="817">
        <f>SUM(F5:F12)</f>
        <v>36.5</v>
      </c>
      <c r="G13" s="817">
        <f>SUM(G5:G12)</f>
        <v>47.1</v>
      </c>
      <c r="H13" s="817">
        <f>SUM(H5:H12)</f>
        <v>35.1</v>
      </c>
      <c r="I13" s="818">
        <f>SUM(I5:I12)</f>
        <v>16.799999999999997</v>
      </c>
      <c r="J13" s="462"/>
      <c r="K13" s="819"/>
      <c r="L13" s="820"/>
      <c r="M13" s="820"/>
      <c r="N13" s="820"/>
      <c r="O13" s="821"/>
      <c r="P13" s="466"/>
      <c r="Q13" s="822"/>
      <c r="R13" s="457"/>
      <c r="S13" s="823">
        <f>SUM(S5:S12)</f>
        <v>4.1999999999999993</v>
      </c>
      <c r="T13" s="824">
        <f>SUM(T5:T12)</f>
        <v>11.200000000000001</v>
      </c>
      <c r="U13" s="824">
        <f>SUM(U5:U12)</f>
        <v>13.9</v>
      </c>
      <c r="V13" s="824">
        <f>SUM(V5:V12)</f>
        <v>10.399999999999997</v>
      </c>
      <c r="W13" s="824">
        <f>SUM(W5:W12)</f>
        <v>5</v>
      </c>
      <c r="X13" s="825">
        <f t="shared" si="3"/>
        <v>44.699999999999996</v>
      </c>
      <c r="Y13" s="471"/>
      <c r="Z13" s="457"/>
      <c r="AA13" s="826"/>
      <c r="AB13" s="827">
        <f>SUM(AB5:AB12)</f>
        <v>9283387.0369821005</v>
      </c>
      <c r="AC13" s="827">
        <f>SUM(AC5:AC12)</f>
        <v>23394135.333194889</v>
      </c>
      <c r="AD13" s="828">
        <f t="shared" si="1"/>
        <v>6.8001067330204362E-2</v>
      </c>
      <c r="AE13" s="457"/>
    </row>
    <row r="14" spans="1:31" s="458" customFormat="1" ht="17.25" customHeight="1">
      <c r="A14" s="1668" t="s">
        <v>441</v>
      </c>
      <c r="B14" s="829" t="s">
        <v>432</v>
      </c>
      <c r="C14" s="830" t="s">
        <v>442</v>
      </c>
      <c r="D14" s="457"/>
      <c r="E14" s="806">
        <v>2.9</v>
      </c>
      <c r="F14" s="807">
        <v>4.8</v>
      </c>
      <c r="G14" s="807">
        <v>20.3</v>
      </c>
      <c r="H14" s="807">
        <v>6.1</v>
      </c>
      <c r="I14" s="808">
        <v>3</v>
      </c>
      <c r="J14" s="462"/>
      <c r="K14" s="463">
        <f>단지유형</f>
        <v>0.8</v>
      </c>
      <c r="L14" s="464"/>
      <c r="M14" s="464"/>
      <c r="N14" s="473">
        <f>지구보정</f>
        <v>1</v>
      </c>
      <c r="O14" s="465">
        <f t="shared" si="2"/>
        <v>0.8</v>
      </c>
      <c r="P14" s="466"/>
      <c r="Q14" s="809">
        <f>'6-5.(기본및실시)적용수량 산출근거'!$E$7</f>
        <v>0.21110000000000001</v>
      </c>
      <c r="R14" s="457"/>
      <c r="S14" s="810">
        <f>ROUNDDOWN(E14*$O14*$Q14,1)</f>
        <v>0.4</v>
      </c>
      <c r="T14" s="811">
        <f t="shared" ref="T14:W24" si="6">ROUNDDOWN(F14*$O14*$Q14,1)</f>
        <v>0.8</v>
      </c>
      <c r="U14" s="811">
        <f t="shared" si="6"/>
        <v>3.4</v>
      </c>
      <c r="V14" s="811">
        <f t="shared" si="6"/>
        <v>1</v>
      </c>
      <c r="W14" s="811">
        <f t="shared" si="6"/>
        <v>0.5</v>
      </c>
      <c r="X14" s="812">
        <f t="shared" si="3"/>
        <v>6.1</v>
      </c>
      <c r="Y14" s="471"/>
      <c r="Z14" s="457"/>
      <c r="AA14" s="801" t="str">
        <f>B14</f>
        <v>1. 전 단계 성과검토</v>
      </c>
      <c r="AB14" s="802">
        <f>S14*'6-1.기초DATA 입력'!$A$47+T14*'6-1.기초DATA 입력'!$C$47+U14*'6-1.기초DATA 입력'!$E$47+V14*'6-1.기초DATA 입력'!$G$47+W14*'6-1.기초DATA 입력'!$I$47</f>
        <v>1239573.0475574001</v>
      </c>
      <c r="AC14" s="802">
        <f>(AB14+AB14*1.1)*1.2</f>
        <v>3123724.079844648</v>
      </c>
      <c r="AD14" s="803">
        <f t="shared" si="1"/>
        <v>9.0799069274892195E-3</v>
      </c>
      <c r="AE14" s="457"/>
    </row>
    <row r="15" spans="1:31" s="458" customFormat="1">
      <c r="A15" s="1666"/>
      <c r="B15" s="829" t="s">
        <v>443</v>
      </c>
      <c r="C15" s="830" t="s">
        <v>442</v>
      </c>
      <c r="D15" s="457"/>
      <c r="E15" s="806">
        <v>5</v>
      </c>
      <c r="F15" s="807">
        <v>18.5</v>
      </c>
      <c r="G15" s="807">
        <v>23.7</v>
      </c>
      <c r="H15" s="807">
        <v>5</v>
      </c>
      <c r="I15" s="808">
        <v>2.2000000000000002</v>
      </c>
      <c r="J15" s="462"/>
      <c r="K15" s="463">
        <f>단지유형</f>
        <v>0.8</v>
      </c>
      <c r="L15" s="473">
        <f t="shared" ref="L15:L21" si="7">지역보정</f>
        <v>1.1000000000000001</v>
      </c>
      <c r="M15" s="464"/>
      <c r="N15" s="473"/>
      <c r="O15" s="465">
        <f t="shared" si="2"/>
        <v>0.88000000000000012</v>
      </c>
      <c r="P15" s="466"/>
      <c r="Q15" s="809">
        <f>'6-5.(기본및실시)적용수량 산출근거'!$E$7</f>
        <v>0.21110000000000001</v>
      </c>
      <c r="R15" s="457"/>
      <c r="S15" s="810">
        <f t="shared" ref="S15:S24" si="8">ROUNDDOWN(E15*$O15*$Q15,1)</f>
        <v>0.9</v>
      </c>
      <c r="T15" s="811">
        <f t="shared" si="6"/>
        <v>3.4</v>
      </c>
      <c r="U15" s="811">
        <f t="shared" si="6"/>
        <v>4.4000000000000004</v>
      </c>
      <c r="V15" s="811">
        <f t="shared" si="6"/>
        <v>0.9</v>
      </c>
      <c r="W15" s="811">
        <f t="shared" si="6"/>
        <v>0.4</v>
      </c>
      <c r="X15" s="812">
        <f t="shared" si="3"/>
        <v>10</v>
      </c>
      <c r="Y15" s="471"/>
      <c r="Z15" s="457"/>
      <c r="AA15" s="801" t="str">
        <f t="shared" ref="AA15:AA24" si="9">B15</f>
        <v>2. 제영향평가 성과검토</v>
      </c>
      <c r="AB15" s="802">
        <f>S15*'6-1.기초DATA 입력'!$A$47+T15*'6-1.기초DATA 입력'!$C$47+U15*'6-1.기초DATA 입력'!$E$47+V15*'6-1.기초DATA 입력'!$G$47+W15*'6-1.기초DATA 입력'!$I$47</f>
        <v>2191297.5029782001</v>
      </c>
      <c r="AC15" s="802">
        <f t="shared" ref="AC15:AC43" si="10">(AB15+AB15*1.1)*1.2</f>
        <v>5522069.7075050641</v>
      </c>
      <c r="AD15" s="803">
        <f t="shared" si="1"/>
        <v>1.6051314940001744E-2</v>
      </c>
      <c r="AE15" s="457"/>
    </row>
    <row r="16" spans="1:31" s="458" customFormat="1">
      <c r="A16" s="1666"/>
      <c r="B16" s="831" t="s">
        <v>444</v>
      </c>
      <c r="C16" s="830" t="s">
        <v>442</v>
      </c>
      <c r="D16" s="457"/>
      <c r="E16" s="806">
        <v>17.100000000000001</v>
      </c>
      <c r="F16" s="807">
        <v>26.7</v>
      </c>
      <c r="G16" s="807">
        <v>32.700000000000003</v>
      </c>
      <c r="H16" s="807">
        <v>24.5</v>
      </c>
      <c r="I16" s="808">
        <v>14.6</v>
      </c>
      <c r="J16" s="462"/>
      <c r="K16" s="463">
        <f>단지유형</f>
        <v>0.8</v>
      </c>
      <c r="L16" s="473">
        <f t="shared" si="7"/>
        <v>1.1000000000000001</v>
      </c>
      <c r="M16" s="474"/>
      <c r="N16" s="473">
        <f>지구보정</f>
        <v>1</v>
      </c>
      <c r="O16" s="465">
        <f t="shared" si="2"/>
        <v>0.88000000000000012</v>
      </c>
      <c r="P16" s="466"/>
      <c r="Q16" s="809">
        <f>'6-5.(기본및실시)적용수량 산출근거'!$E$7</f>
        <v>0.21110000000000001</v>
      </c>
      <c r="R16" s="457"/>
      <c r="S16" s="810">
        <f t="shared" si="8"/>
        <v>3.1</v>
      </c>
      <c r="T16" s="811">
        <f t="shared" si="6"/>
        <v>4.9000000000000004</v>
      </c>
      <c r="U16" s="811">
        <f t="shared" si="6"/>
        <v>6</v>
      </c>
      <c r="V16" s="811">
        <f t="shared" si="6"/>
        <v>4.5</v>
      </c>
      <c r="W16" s="811">
        <f t="shared" si="6"/>
        <v>2.7</v>
      </c>
      <c r="X16" s="812">
        <f t="shared" si="3"/>
        <v>21.2</v>
      </c>
      <c r="Y16" s="471"/>
      <c r="Z16" s="457"/>
      <c r="AA16" s="801" t="str">
        <f t="shared" si="9"/>
        <v>3. 단지토공 계획</v>
      </c>
      <c r="AB16" s="802">
        <f>S16*'6-1.기초DATA 입력'!$A$47+T16*'6-1.기초DATA 입력'!$C$47+U16*'6-1.기초DATA 입력'!$E$47+V16*'6-1.기초DATA 입력'!$G$47+W16*'6-1.기초DATA 입력'!$I$47</f>
        <v>4516268.0520478003</v>
      </c>
      <c r="AC16" s="802">
        <f t="shared" si="10"/>
        <v>11380995.491160458</v>
      </c>
      <c r="AD16" s="803">
        <f t="shared" si="1"/>
        <v>3.3081788647302914E-2</v>
      </c>
      <c r="AE16" s="457"/>
    </row>
    <row r="17" spans="1:31" s="458" customFormat="1">
      <c r="A17" s="1666"/>
      <c r="B17" s="831" t="s">
        <v>1061</v>
      </c>
      <c r="C17" s="830" t="s">
        <v>445</v>
      </c>
      <c r="D17" s="475"/>
      <c r="E17" s="832">
        <v>2.4</v>
      </c>
      <c r="F17" s="833">
        <v>3.7</v>
      </c>
      <c r="G17" s="833">
        <v>4.5999999999999996</v>
      </c>
      <c r="H17" s="833">
        <v>3.4</v>
      </c>
      <c r="I17" s="834">
        <v>2.1</v>
      </c>
      <c r="J17" s="476"/>
      <c r="K17" s="463">
        <f>단지유형</f>
        <v>0.8</v>
      </c>
      <c r="L17" s="473">
        <f t="shared" si="7"/>
        <v>1.1000000000000001</v>
      </c>
      <c r="M17" s="474"/>
      <c r="N17" s="473">
        <f>지구보정</f>
        <v>1</v>
      </c>
      <c r="O17" s="465">
        <f t="shared" si="2"/>
        <v>0.88000000000000012</v>
      </c>
      <c r="P17" s="466"/>
      <c r="Q17" s="809">
        <f>'6-5.(기본및실시)적용수량 산출근거'!$G$21</f>
        <v>1.0221414197500001</v>
      </c>
      <c r="R17" s="457"/>
      <c r="S17" s="810">
        <f t="shared" si="8"/>
        <v>2.1</v>
      </c>
      <c r="T17" s="811">
        <f t="shared" si="6"/>
        <v>3.3</v>
      </c>
      <c r="U17" s="811">
        <f t="shared" si="6"/>
        <v>4.0999999999999996</v>
      </c>
      <c r="V17" s="811">
        <f t="shared" si="6"/>
        <v>3</v>
      </c>
      <c r="W17" s="811">
        <f t="shared" si="6"/>
        <v>1.8</v>
      </c>
      <c r="X17" s="812">
        <f>SUM(S17:W17)</f>
        <v>14.3</v>
      </c>
      <c r="Y17" s="471"/>
      <c r="Z17" s="457"/>
      <c r="AA17" s="801" t="str">
        <f t="shared" si="9"/>
        <v>4. 연약지반처리 계획</v>
      </c>
      <c r="AB17" s="802">
        <f>S17*'6-1.기초DATA 입력'!$A$47+T17*'6-1.기초DATA 입력'!$C$47+U17*'6-1.기초DATA 입력'!$E$47+V17*'6-1.기초DATA 입력'!$G$47+W17*'6-1.기초DATA 입력'!$I$47</f>
        <v>3049592.8277668003</v>
      </c>
      <c r="AC17" s="802">
        <f t="shared" si="10"/>
        <v>7684973.925972336</v>
      </c>
      <c r="AD17" s="803">
        <f>AC17/$AC$45</f>
        <v>2.2338351981292963E-2</v>
      </c>
      <c r="AE17" s="457"/>
    </row>
    <row r="18" spans="1:31" s="458" customFormat="1">
      <c r="A18" s="1666"/>
      <c r="B18" s="829" t="s">
        <v>446</v>
      </c>
      <c r="C18" s="830" t="s">
        <v>442</v>
      </c>
      <c r="D18" s="457"/>
      <c r="E18" s="806">
        <v>7.9</v>
      </c>
      <c r="F18" s="807">
        <v>9.9</v>
      </c>
      <c r="G18" s="807">
        <v>9.5</v>
      </c>
      <c r="H18" s="807">
        <v>8.9</v>
      </c>
      <c r="I18" s="808">
        <v>6.8</v>
      </c>
      <c r="J18" s="462"/>
      <c r="K18" s="463"/>
      <c r="L18" s="473">
        <f t="shared" si="7"/>
        <v>1.1000000000000001</v>
      </c>
      <c r="M18" s="473">
        <f>지형보정</f>
        <v>0.9</v>
      </c>
      <c r="N18" s="473"/>
      <c r="O18" s="465">
        <f t="shared" si="2"/>
        <v>0.9900000000000001</v>
      </c>
      <c r="P18" s="466"/>
      <c r="Q18" s="809">
        <f>'6-5.(기본및실시)적용수량 산출근거'!$E$7</f>
        <v>0.21110000000000001</v>
      </c>
      <c r="R18" s="457"/>
      <c r="S18" s="810">
        <f t="shared" si="8"/>
        <v>1.6</v>
      </c>
      <c r="T18" s="811">
        <f t="shared" si="6"/>
        <v>2</v>
      </c>
      <c r="U18" s="811">
        <f t="shared" si="6"/>
        <v>1.9</v>
      </c>
      <c r="V18" s="811">
        <f t="shared" si="6"/>
        <v>1.8</v>
      </c>
      <c r="W18" s="811">
        <f t="shared" si="6"/>
        <v>1.4</v>
      </c>
      <c r="X18" s="812">
        <f t="shared" si="3"/>
        <v>8.6999999999999993</v>
      </c>
      <c r="Y18" s="471"/>
      <c r="Z18" s="457"/>
      <c r="AA18" s="801" t="str">
        <f t="shared" si="9"/>
        <v>5. 우수배제 계획</v>
      </c>
      <c r="AB18" s="802">
        <f>S18*'6-1.기초DATA 입력'!$A$47+T18*'6-1.기초DATA 입력'!$C$47+U18*'6-1.기초DATA 입력'!$E$47+V18*'6-1.기초DATA 입력'!$G$47+W18*'6-1.기초DATA 입력'!$I$47</f>
        <v>1876449.0295149002</v>
      </c>
      <c r="AC18" s="802">
        <f t="shared" si="10"/>
        <v>4728651.5543775484</v>
      </c>
      <c r="AD18" s="803">
        <f t="shared" ref="AD18:AD44" si="11">AC18/$AC$45</f>
        <v>1.3745041146019108E-2</v>
      </c>
      <c r="AE18" s="457"/>
    </row>
    <row r="19" spans="1:31" s="458" customFormat="1">
      <c r="A19" s="1666"/>
      <c r="B19" s="831" t="s">
        <v>1062</v>
      </c>
      <c r="C19" s="830" t="s">
        <v>442</v>
      </c>
      <c r="D19" s="457"/>
      <c r="E19" s="806">
        <v>5</v>
      </c>
      <c r="F19" s="807">
        <v>9</v>
      </c>
      <c r="G19" s="807">
        <v>7.9</v>
      </c>
      <c r="H19" s="807">
        <v>5.9</v>
      </c>
      <c r="I19" s="808">
        <v>4.2</v>
      </c>
      <c r="J19" s="462"/>
      <c r="K19" s="477"/>
      <c r="L19" s="473">
        <f t="shared" si="7"/>
        <v>1.1000000000000001</v>
      </c>
      <c r="M19" s="473">
        <f>지형보정</f>
        <v>0.9</v>
      </c>
      <c r="N19" s="474"/>
      <c r="O19" s="465">
        <f t="shared" si="2"/>
        <v>0.9900000000000001</v>
      </c>
      <c r="P19" s="466"/>
      <c r="Q19" s="809">
        <f>'6-5.(기본및실시)적용수량 산출근거'!$E$7</f>
        <v>0.21110000000000001</v>
      </c>
      <c r="R19" s="457"/>
      <c r="S19" s="810">
        <f t="shared" si="8"/>
        <v>1</v>
      </c>
      <c r="T19" s="811">
        <f t="shared" si="6"/>
        <v>1.8</v>
      </c>
      <c r="U19" s="811">
        <f t="shared" si="6"/>
        <v>1.6</v>
      </c>
      <c r="V19" s="811">
        <f t="shared" si="6"/>
        <v>1.2</v>
      </c>
      <c r="W19" s="811">
        <f t="shared" si="6"/>
        <v>0.8</v>
      </c>
      <c r="X19" s="812">
        <f t="shared" si="3"/>
        <v>6.4</v>
      </c>
      <c r="Y19" s="471"/>
      <c r="Z19" s="457"/>
      <c r="AA19" s="801" t="str">
        <f t="shared" si="9"/>
        <v>6. 오수처리 계획</v>
      </c>
      <c r="AB19" s="802">
        <f>S19*'6-1.기초DATA 입력'!$A$47+T19*'6-1.기초DATA 입력'!$C$47+U19*'6-1.기초DATA 입력'!$E$47+V19*'6-1.기초DATA 입력'!$G$47+W19*'6-1.기초DATA 입력'!$I$47</f>
        <v>1389185.5238214</v>
      </c>
      <c r="AC19" s="802">
        <f t="shared" si="10"/>
        <v>3500747.5200299285</v>
      </c>
      <c r="AD19" s="803">
        <f t="shared" si="11"/>
        <v>1.0175822462556067E-2</v>
      </c>
      <c r="AE19" s="457"/>
    </row>
    <row r="20" spans="1:31" s="458" customFormat="1">
      <c r="A20" s="1666"/>
      <c r="B20" s="831" t="s">
        <v>1063</v>
      </c>
      <c r="C20" s="830" t="s">
        <v>442</v>
      </c>
      <c r="D20" s="457"/>
      <c r="E20" s="806">
        <v>3.6</v>
      </c>
      <c r="F20" s="807">
        <v>5.4</v>
      </c>
      <c r="G20" s="807">
        <v>4.4000000000000004</v>
      </c>
      <c r="H20" s="807">
        <v>4.0999999999999996</v>
      </c>
      <c r="I20" s="808">
        <v>3.6</v>
      </c>
      <c r="J20" s="462"/>
      <c r="K20" s="477"/>
      <c r="L20" s="473">
        <f t="shared" si="7"/>
        <v>1.1000000000000001</v>
      </c>
      <c r="M20" s="474"/>
      <c r="N20" s="474"/>
      <c r="O20" s="465">
        <f t="shared" si="2"/>
        <v>1.1000000000000001</v>
      </c>
      <c r="P20" s="466"/>
      <c r="Q20" s="809">
        <f>'6-5.(기본및실시)적용수량 산출근거'!$E$7</f>
        <v>0.21110000000000001</v>
      </c>
      <c r="R20" s="457"/>
      <c r="S20" s="810">
        <f t="shared" si="8"/>
        <v>0.8</v>
      </c>
      <c r="T20" s="811">
        <f t="shared" si="6"/>
        <v>1.2</v>
      </c>
      <c r="U20" s="811">
        <f t="shared" si="6"/>
        <v>1</v>
      </c>
      <c r="V20" s="811">
        <f t="shared" si="6"/>
        <v>0.9</v>
      </c>
      <c r="W20" s="811">
        <f t="shared" si="6"/>
        <v>0.8</v>
      </c>
      <c r="X20" s="812">
        <f t="shared" si="3"/>
        <v>4.7</v>
      </c>
      <c r="Y20" s="471"/>
      <c r="Z20" s="457"/>
      <c r="AA20" s="801" t="str">
        <f t="shared" si="9"/>
        <v>7. 상수공급 계획</v>
      </c>
      <c r="AB20" s="802">
        <f>S20*'6-1.기초DATA 입력'!$A$47+T20*'6-1.기초DATA 입력'!$C$47+U20*'6-1.기초DATA 입력'!$E$47+V20*'6-1.기초DATA 입력'!$G$47+W20*'6-1.기초DATA 입력'!$I$47</f>
        <v>1009363.6185079</v>
      </c>
      <c r="AC20" s="802">
        <f t="shared" si="10"/>
        <v>2543596.3186399085</v>
      </c>
      <c r="AD20" s="803">
        <f t="shared" si="11"/>
        <v>7.3936164795653757E-3</v>
      </c>
      <c r="AE20" s="457"/>
    </row>
    <row r="21" spans="1:31" s="458" customFormat="1">
      <c r="A21" s="1666"/>
      <c r="B21" s="831" t="s">
        <v>447</v>
      </c>
      <c r="C21" s="830" t="s">
        <v>448</v>
      </c>
      <c r="D21" s="457"/>
      <c r="E21" s="806">
        <v>1.5</v>
      </c>
      <c r="F21" s="807">
        <v>2</v>
      </c>
      <c r="G21" s="807">
        <v>5.2</v>
      </c>
      <c r="H21" s="807">
        <v>6.6</v>
      </c>
      <c r="I21" s="808">
        <v>3.9</v>
      </c>
      <c r="J21" s="462"/>
      <c r="K21" s="477"/>
      <c r="L21" s="473">
        <f t="shared" si="7"/>
        <v>1.1000000000000001</v>
      </c>
      <c r="M21" s="473">
        <f>지형보정</f>
        <v>0.9</v>
      </c>
      <c r="N21" s="473"/>
      <c r="O21" s="465">
        <f t="shared" si="2"/>
        <v>0.9900000000000001</v>
      </c>
      <c r="P21" s="466"/>
      <c r="Q21" s="809">
        <f>'6-5.(기본및실시)적용수량 산출근거'!$C$39</f>
        <v>1</v>
      </c>
      <c r="R21" s="457"/>
      <c r="S21" s="810">
        <f t="shared" si="8"/>
        <v>1.4</v>
      </c>
      <c r="T21" s="811">
        <f t="shared" si="6"/>
        <v>1.9</v>
      </c>
      <c r="U21" s="811">
        <f t="shared" si="6"/>
        <v>5.0999999999999996</v>
      </c>
      <c r="V21" s="811">
        <f t="shared" si="6"/>
        <v>6.5</v>
      </c>
      <c r="W21" s="811">
        <f t="shared" si="6"/>
        <v>3.8</v>
      </c>
      <c r="X21" s="812">
        <f t="shared" si="3"/>
        <v>18.7</v>
      </c>
      <c r="Y21" s="471"/>
      <c r="Z21" s="457"/>
      <c r="AA21" s="801" t="str">
        <f t="shared" si="9"/>
        <v>8. 도시시설물 계획</v>
      </c>
      <c r="AB21" s="802">
        <f>S21*'6-1.기초DATA 입력'!$A$47+T21*'6-1.기초DATA 입력'!$C$47+U21*'6-1.기초DATA 입력'!$E$47+V21*'6-1.기초DATA 입력'!$G$47+W21*'6-1.기초DATA 입력'!$I$47</f>
        <v>3561886.1020578002</v>
      </c>
      <c r="AC21" s="802">
        <f t="shared" si="10"/>
        <v>8975952.9771856554</v>
      </c>
      <c r="AD21" s="803">
        <f t="shared" si="11"/>
        <v>2.6090914413419892E-2</v>
      </c>
      <c r="AE21" s="457"/>
    </row>
    <row r="22" spans="1:31" s="458" customFormat="1">
      <c r="A22" s="1666"/>
      <c r="B22" s="835" t="s">
        <v>449</v>
      </c>
      <c r="C22" s="836" t="s">
        <v>1064</v>
      </c>
      <c r="D22" s="457"/>
      <c r="E22" s="806">
        <v>5.7</v>
      </c>
      <c r="F22" s="807">
        <v>8.3000000000000007</v>
      </c>
      <c r="G22" s="807">
        <v>9.1</v>
      </c>
      <c r="H22" s="807">
        <v>7.8</v>
      </c>
      <c r="I22" s="808">
        <v>2.2000000000000002</v>
      </c>
      <c r="J22" s="462"/>
      <c r="K22" s="472"/>
      <c r="L22" s="464"/>
      <c r="M22" s="473">
        <f>지형보정</f>
        <v>0.9</v>
      </c>
      <c r="N22" s="473">
        <f>지구보정</f>
        <v>1</v>
      </c>
      <c r="O22" s="465">
        <f t="shared" si="2"/>
        <v>0.9</v>
      </c>
      <c r="P22" s="466"/>
      <c r="Q22" s="809">
        <f>'6-5.(기본및실시)적용수량 산출근거'!$C$16</f>
        <v>1</v>
      </c>
      <c r="R22" s="457"/>
      <c r="S22" s="810">
        <f t="shared" si="8"/>
        <v>5.0999999999999996</v>
      </c>
      <c r="T22" s="811">
        <f t="shared" si="6"/>
        <v>7.4</v>
      </c>
      <c r="U22" s="811">
        <f t="shared" si="6"/>
        <v>8.1</v>
      </c>
      <c r="V22" s="811">
        <f t="shared" si="6"/>
        <v>7</v>
      </c>
      <c r="W22" s="811">
        <f t="shared" si="6"/>
        <v>1.9</v>
      </c>
      <c r="X22" s="812">
        <f t="shared" si="3"/>
        <v>29.5</v>
      </c>
      <c r="Y22" s="471"/>
      <c r="Z22" s="457"/>
      <c r="AA22" s="801" t="str">
        <f t="shared" si="9"/>
        <v>9. 설계기준 작성</v>
      </c>
      <c r="AB22" s="802">
        <f>S22*'6-1.기초DATA 입력'!$A$47+T22*'6-1.기초DATA 입력'!$C$47+U22*'6-1.기초DATA 입력'!$E$47+V22*'6-1.기초DATA 입력'!$G$47+W22*'6-1.기초DATA 입력'!$I$47</f>
        <v>6507294.5646692002</v>
      </c>
      <c r="AC22" s="802">
        <f t="shared" si="10"/>
        <v>16398382.302966384</v>
      </c>
      <c r="AD22" s="803">
        <f t="shared" si="11"/>
        <v>4.7666113032533305E-2</v>
      </c>
      <c r="AE22" s="457"/>
    </row>
    <row r="23" spans="1:31" s="458" customFormat="1">
      <c r="A23" s="1666"/>
      <c r="B23" s="831" t="s">
        <v>450</v>
      </c>
      <c r="C23" s="830" t="s">
        <v>442</v>
      </c>
      <c r="D23" s="457"/>
      <c r="E23" s="806">
        <v>9.9</v>
      </c>
      <c r="F23" s="807">
        <v>16.2</v>
      </c>
      <c r="G23" s="807">
        <v>16.2</v>
      </c>
      <c r="H23" s="807">
        <v>9.9</v>
      </c>
      <c r="I23" s="808">
        <v>9.9</v>
      </c>
      <c r="J23" s="462"/>
      <c r="K23" s="463">
        <f>단지유형</f>
        <v>0.8</v>
      </c>
      <c r="L23" s="473">
        <f>지역보정</f>
        <v>1.1000000000000001</v>
      </c>
      <c r="M23" s="464"/>
      <c r="N23" s="473">
        <f>지구보정</f>
        <v>1</v>
      </c>
      <c r="O23" s="465">
        <f t="shared" si="2"/>
        <v>0.88000000000000012</v>
      </c>
      <c r="P23" s="466"/>
      <c r="Q23" s="809">
        <f>'6-5.(기본및실시)적용수량 산출근거'!$E$7</f>
        <v>0.21110000000000001</v>
      </c>
      <c r="R23" s="457"/>
      <c r="S23" s="810">
        <f t="shared" si="8"/>
        <v>1.8</v>
      </c>
      <c r="T23" s="811">
        <f t="shared" si="6"/>
        <v>3</v>
      </c>
      <c r="U23" s="811">
        <f t="shared" si="6"/>
        <v>3</v>
      </c>
      <c r="V23" s="811">
        <f t="shared" si="6"/>
        <v>1.8</v>
      </c>
      <c r="W23" s="811">
        <f t="shared" si="6"/>
        <v>1.8</v>
      </c>
      <c r="X23" s="812">
        <f t="shared" si="3"/>
        <v>11.4</v>
      </c>
      <c r="Y23" s="471"/>
      <c r="Z23" s="457"/>
      <c r="AA23" s="801" t="str">
        <f t="shared" si="9"/>
        <v>10. 관계기관 협의 및 민원검토</v>
      </c>
      <c r="AB23" s="802">
        <f>S23*'6-1.기초DATA 입력'!$A$47+T23*'6-1.기초DATA 입력'!$C$47+U23*'6-1.기초DATA 입력'!$E$47+V23*'6-1.기초DATA 입력'!$G$47+W23*'6-1.기초DATA 입력'!$I$47</f>
        <v>2453341.9717806</v>
      </c>
      <c r="AC23" s="802">
        <f t="shared" si="10"/>
        <v>6182421.7688871119</v>
      </c>
      <c r="AD23" s="803">
        <f t="shared" si="11"/>
        <v>1.7970797936407379E-2</v>
      </c>
      <c r="AE23" s="457"/>
    </row>
    <row r="24" spans="1:31" s="458" customFormat="1">
      <c r="A24" s="1667"/>
      <c r="B24" s="829" t="s">
        <v>1065</v>
      </c>
      <c r="C24" s="836" t="s">
        <v>1066</v>
      </c>
      <c r="D24" s="457"/>
      <c r="E24" s="806">
        <v>11.5</v>
      </c>
      <c r="F24" s="807">
        <v>12.5</v>
      </c>
      <c r="G24" s="807">
        <v>14.1</v>
      </c>
      <c r="H24" s="807">
        <v>12</v>
      </c>
      <c r="I24" s="808">
        <v>6.2</v>
      </c>
      <c r="J24" s="462"/>
      <c r="K24" s="463">
        <f>단지유형</f>
        <v>0.8</v>
      </c>
      <c r="L24" s="464"/>
      <c r="M24" s="464"/>
      <c r="N24" s="473"/>
      <c r="O24" s="465">
        <f t="shared" si="2"/>
        <v>0.8</v>
      </c>
      <c r="P24" s="466"/>
      <c r="Q24" s="809">
        <f>'6-1.기초DATA 입력'!$F$14</f>
        <v>5</v>
      </c>
      <c r="R24" s="457"/>
      <c r="S24" s="810">
        <f t="shared" si="8"/>
        <v>46</v>
      </c>
      <c r="T24" s="811">
        <f t="shared" si="6"/>
        <v>50</v>
      </c>
      <c r="U24" s="811">
        <f t="shared" si="6"/>
        <v>56.4</v>
      </c>
      <c r="V24" s="811">
        <f t="shared" si="6"/>
        <v>48</v>
      </c>
      <c r="W24" s="811">
        <f t="shared" si="6"/>
        <v>24.8</v>
      </c>
      <c r="X24" s="812">
        <f t="shared" si="3"/>
        <v>225.20000000000002</v>
      </c>
      <c r="Y24" s="471"/>
      <c r="Z24" s="457"/>
      <c r="AA24" s="801" t="str">
        <f t="shared" si="9"/>
        <v>11. 단계별 자문 및 방침자료작성</v>
      </c>
      <c r="AB24" s="802">
        <f>S24*'6-1.기초DATA 입력'!$A$47+T24*'6-1.기초DATA 입력'!$C$47+U24*'6-1.기초DATA 입력'!$E$47+V24*'6-1.기초DATA 입력'!$G$47+W24*'6-1.기초DATA 입력'!$I$47</f>
        <v>49786147.107049607</v>
      </c>
      <c r="AC24" s="802">
        <f t="shared" si="10"/>
        <v>125461090.70976502</v>
      </c>
      <c r="AD24" s="803">
        <f t="shared" si="11"/>
        <v>0.36468490735667125</v>
      </c>
      <c r="AE24" s="457"/>
    </row>
    <row r="25" spans="1:31" s="458" customFormat="1">
      <c r="A25" s="813"/>
      <c r="B25" s="814"/>
      <c r="C25" s="815"/>
      <c r="D25" s="457"/>
      <c r="E25" s="816">
        <f>SUM(E14:E24)</f>
        <v>72.5</v>
      </c>
      <c r="F25" s="817">
        <f>SUM(F14:F24)</f>
        <v>117</v>
      </c>
      <c r="G25" s="817">
        <f>SUM(G14:G24)</f>
        <v>147.69999999999999</v>
      </c>
      <c r="H25" s="817">
        <f>SUM(H14:H24)</f>
        <v>94.2</v>
      </c>
      <c r="I25" s="818">
        <f>SUM(I14:I24)</f>
        <v>58.70000000000001</v>
      </c>
      <c r="J25" s="462"/>
      <c r="K25" s="819"/>
      <c r="L25" s="820"/>
      <c r="M25" s="820"/>
      <c r="N25" s="820"/>
      <c r="O25" s="821"/>
      <c r="P25" s="466"/>
      <c r="Q25" s="822"/>
      <c r="R25" s="457"/>
      <c r="S25" s="823">
        <f>SUM(S14:S24)</f>
        <v>64.2</v>
      </c>
      <c r="T25" s="824">
        <f>SUM(T14:T24)</f>
        <v>79.7</v>
      </c>
      <c r="U25" s="824">
        <f>SUM(U14:U24)</f>
        <v>95</v>
      </c>
      <c r="V25" s="824">
        <f>SUM(V14:V24)</f>
        <v>76.599999999999994</v>
      </c>
      <c r="W25" s="824">
        <f>SUM(W14:W24)</f>
        <v>40.700000000000003</v>
      </c>
      <c r="X25" s="825">
        <f t="shared" si="3"/>
        <v>356.2</v>
      </c>
      <c r="Y25" s="471"/>
      <c r="Z25" s="457"/>
      <c r="AA25" s="826"/>
      <c r="AB25" s="827">
        <f>SUM(AB14:AB24)</f>
        <v>77580399.347751617</v>
      </c>
      <c r="AC25" s="827">
        <f>SUM(AC14:AC24)</f>
        <v>195502606.35633409</v>
      </c>
      <c r="AD25" s="828">
        <f t="shared" si="11"/>
        <v>0.56827857532325932</v>
      </c>
      <c r="AE25" s="457"/>
    </row>
    <row r="26" spans="1:31" s="458" customFormat="1">
      <c r="A26" s="1666" t="s">
        <v>451</v>
      </c>
      <c r="B26" s="837" t="s">
        <v>452</v>
      </c>
      <c r="C26" s="830" t="s">
        <v>442</v>
      </c>
      <c r="D26" s="457"/>
      <c r="E26" s="806">
        <v>17.7</v>
      </c>
      <c r="F26" s="807">
        <v>33.4</v>
      </c>
      <c r="G26" s="807">
        <v>43.1</v>
      </c>
      <c r="H26" s="807">
        <v>46.9</v>
      </c>
      <c r="I26" s="808">
        <v>27.1</v>
      </c>
      <c r="J26" s="462"/>
      <c r="K26" s="463">
        <f t="shared" ref="K26:K31" si="12">단지유형</f>
        <v>0.8</v>
      </c>
      <c r="L26" s="474"/>
      <c r="M26" s="473">
        <f>지형보정</f>
        <v>0.9</v>
      </c>
      <c r="N26" s="473">
        <f t="shared" ref="N26:N34" si="13">지구보정</f>
        <v>1</v>
      </c>
      <c r="O26" s="465">
        <f t="shared" si="2"/>
        <v>0.72000000000000008</v>
      </c>
      <c r="P26" s="466"/>
      <c r="Q26" s="809">
        <f>'6-5.(기본및실시)적용수량 산출근거'!$G$12</f>
        <v>0.21110000000000001</v>
      </c>
      <c r="R26" s="457"/>
      <c r="S26" s="810">
        <f>ROUNDDOWN(E26*$O26*$Q26,1)</f>
        <v>2.6</v>
      </c>
      <c r="T26" s="811">
        <f t="shared" ref="T26:W34" si="14">ROUNDDOWN(F26*$O26*$Q26,1)</f>
        <v>5</v>
      </c>
      <c r="U26" s="811">
        <f t="shared" si="14"/>
        <v>6.5</v>
      </c>
      <c r="V26" s="811">
        <f t="shared" si="14"/>
        <v>7.1</v>
      </c>
      <c r="W26" s="811">
        <f t="shared" si="14"/>
        <v>4.0999999999999996</v>
      </c>
      <c r="X26" s="812">
        <f t="shared" si="3"/>
        <v>25.299999999999997</v>
      </c>
      <c r="Y26" s="471"/>
      <c r="Z26" s="457"/>
      <c r="AA26" s="838" t="str">
        <f>B26</f>
        <v>1. 단지정지 및 토공 설계</v>
      </c>
      <c r="AB26" s="802">
        <f>S26*'6-1.기초DATA 입력'!$A$47+T26*'6-1.기초DATA 입력'!$C$47+U26*'6-1.기초DATA 입력'!$E$47+V26*'6-1.기초DATA 입력'!$G$47+W26*'6-1.기초DATA 입력'!$I$47</f>
        <v>5115336.7916992009</v>
      </c>
      <c r="AC26" s="802">
        <f t="shared" si="10"/>
        <v>12890648.715081984</v>
      </c>
      <c r="AD26" s="803">
        <f t="shared" si="11"/>
        <v>3.7469983768132278E-2</v>
      </c>
      <c r="AE26" s="457"/>
    </row>
    <row r="27" spans="1:31" s="458" customFormat="1">
      <c r="A27" s="1666"/>
      <c r="B27" s="837" t="s">
        <v>1067</v>
      </c>
      <c r="C27" s="830" t="s">
        <v>445</v>
      </c>
      <c r="D27" s="475"/>
      <c r="E27" s="832">
        <v>2.2000000000000002</v>
      </c>
      <c r="F27" s="833">
        <v>4.3</v>
      </c>
      <c r="G27" s="833">
        <v>4.3</v>
      </c>
      <c r="H27" s="833">
        <v>3.8</v>
      </c>
      <c r="I27" s="834">
        <v>1</v>
      </c>
      <c r="J27" s="462"/>
      <c r="K27" s="463">
        <f t="shared" si="12"/>
        <v>0.8</v>
      </c>
      <c r="L27" s="464"/>
      <c r="M27" s="464"/>
      <c r="N27" s="473">
        <f t="shared" si="13"/>
        <v>1</v>
      </c>
      <c r="O27" s="465">
        <f t="shared" si="2"/>
        <v>0.8</v>
      </c>
      <c r="P27" s="466"/>
      <c r="Q27" s="809">
        <f>'6-5.(기본및실시)적용수량 산출근거'!$G$21</f>
        <v>1.0221414197500001</v>
      </c>
      <c r="R27" s="457"/>
      <c r="S27" s="810">
        <f t="shared" ref="S27:W43" si="15">ROUNDDOWN(E27*$O27*$Q27,1)</f>
        <v>1.7</v>
      </c>
      <c r="T27" s="811">
        <f t="shared" si="14"/>
        <v>3.5</v>
      </c>
      <c r="U27" s="811">
        <f t="shared" si="14"/>
        <v>3.5</v>
      </c>
      <c r="V27" s="811">
        <f t="shared" si="14"/>
        <v>3.1</v>
      </c>
      <c r="W27" s="811">
        <f t="shared" si="14"/>
        <v>0.8</v>
      </c>
      <c r="X27" s="812">
        <f t="shared" si="3"/>
        <v>12.6</v>
      </c>
      <c r="Y27" s="471"/>
      <c r="Z27" s="457"/>
      <c r="AA27" s="838" t="str">
        <f t="shared" ref="AA27:AA34" si="16">B27</f>
        <v>2. 연약지반처리 설계</v>
      </c>
      <c r="AB27" s="802">
        <f>S27*'6-1.기초DATA 입력'!$A$47+T27*'6-1.기초DATA 입력'!$C$47+U27*'6-1.기초DATA 입력'!$E$47+V27*'6-1.기초DATA 입력'!$G$47+W27*'6-1.기초DATA 입력'!$I$47</f>
        <v>2730295.4662835002</v>
      </c>
      <c r="AC27" s="802">
        <f t="shared" si="10"/>
        <v>6880344.5750344209</v>
      </c>
      <c r="AD27" s="803">
        <f t="shared" si="11"/>
        <v>1.999948995926518E-2</v>
      </c>
      <c r="AE27" s="457"/>
    </row>
    <row r="28" spans="1:31" s="458" customFormat="1">
      <c r="A28" s="1666"/>
      <c r="B28" s="837" t="s">
        <v>453</v>
      </c>
      <c r="C28" s="830" t="s">
        <v>454</v>
      </c>
      <c r="D28" s="457"/>
      <c r="E28" s="839">
        <v>7.4</v>
      </c>
      <c r="F28" s="840">
        <v>7.4</v>
      </c>
      <c r="G28" s="840">
        <v>11</v>
      </c>
      <c r="H28" s="840">
        <v>9.6</v>
      </c>
      <c r="I28" s="841">
        <v>3.6</v>
      </c>
      <c r="J28" s="462"/>
      <c r="K28" s="463">
        <f t="shared" si="12"/>
        <v>0.8</v>
      </c>
      <c r="L28" s="474"/>
      <c r="M28" s="473">
        <f>지형보정</f>
        <v>0.9</v>
      </c>
      <c r="N28" s="473">
        <f t="shared" si="13"/>
        <v>1</v>
      </c>
      <c r="O28" s="465">
        <f t="shared" si="2"/>
        <v>0.72000000000000008</v>
      </c>
      <c r="P28" s="466"/>
      <c r="Q28" s="809">
        <f>'6-5.(기본및실시)적용수량 산출근거'!$G$26</f>
        <v>0.85</v>
      </c>
      <c r="R28" s="457"/>
      <c r="S28" s="810">
        <f t="shared" si="15"/>
        <v>4.5</v>
      </c>
      <c r="T28" s="811">
        <f t="shared" si="14"/>
        <v>4.5</v>
      </c>
      <c r="U28" s="811">
        <f t="shared" si="14"/>
        <v>6.7</v>
      </c>
      <c r="V28" s="811">
        <f t="shared" si="14"/>
        <v>5.8</v>
      </c>
      <c r="W28" s="811">
        <f t="shared" si="14"/>
        <v>2.2000000000000002</v>
      </c>
      <c r="X28" s="812">
        <f t="shared" si="3"/>
        <v>23.7</v>
      </c>
      <c r="Y28" s="471"/>
      <c r="Z28" s="457"/>
      <c r="AA28" s="838" t="str">
        <f t="shared" si="16"/>
        <v>3. 도로 및 포장공 설계</v>
      </c>
      <c r="AB28" s="802">
        <f>S28*'6-1.기초DATA 입력'!$A$47+T28*'6-1.기초DATA 입력'!$C$47+U28*'6-1.기초DATA 입력'!$E$47+V28*'6-1.기초DATA 입력'!$G$47+W28*'6-1.기초DATA 입력'!$I$47</f>
        <v>5173633.0727314008</v>
      </c>
      <c r="AC28" s="802">
        <f t="shared" si="10"/>
        <v>13037555.34328313</v>
      </c>
      <c r="AD28" s="803">
        <f t="shared" si="11"/>
        <v>3.7897005642344682E-2</v>
      </c>
      <c r="AE28" s="457"/>
    </row>
    <row r="29" spans="1:31" s="458" customFormat="1">
      <c r="A29" s="1666"/>
      <c r="B29" s="837" t="s">
        <v>1068</v>
      </c>
      <c r="C29" s="830" t="s">
        <v>454</v>
      </c>
      <c r="D29" s="457"/>
      <c r="E29" s="806">
        <v>5.4</v>
      </c>
      <c r="F29" s="807">
        <v>8.9</v>
      </c>
      <c r="G29" s="807">
        <v>12.9</v>
      </c>
      <c r="H29" s="807">
        <v>11.3</v>
      </c>
      <c r="I29" s="808">
        <v>6.1</v>
      </c>
      <c r="J29" s="462"/>
      <c r="K29" s="463">
        <f t="shared" si="12"/>
        <v>0.8</v>
      </c>
      <c r="L29" s="474"/>
      <c r="M29" s="473">
        <f>지형보정</f>
        <v>0.9</v>
      </c>
      <c r="N29" s="473">
        <f t="shared" si="13"/>
        <v>1</v>
      </c>
      <c r="O29" s="465">
        <f t="shared" si="2"/>
        <v>0.72000000000000008</v>
      </c>
      <c r="P29" s="466"/>
      <c r="Q29" s="809">
        <f>'6-5.(기본및실시)적용수량 산출근거'!$G$26</f>
        <v>0.85</v>
      </c>
      <c r="R29" s="457"/>
      <c r="S29" s="810">
        <f t="shared" si="15"/>
        <v>3.3</v>
      </c>
      <c r="T29" s="811">
        <f t="shared" si="14"/>
        <v>5.4</v>
      </c>
      <c r="U29" s="811">
        <f t="shared" si="14"/>
        <v>7.8</v>
      </c>
      <c r="V29" s="811">
        <f t="shared" si="14"/>
        <v>6.9</v>
      </c>
      <c r="W29" s="811">
        <f t="shared" si="14"/>
        <v>3.7</v>
      </c>
      <c r="X29" s="812">
        <f t="shared" si="3"/>
        <v>27.099999999999998</v>
      </c>
      <c r="Y29" s="471"/>
      <c r="Z29" s="457"/>
      <c r="AA29" s="838" t="str">
        <f t="shared" si="16"/>
        <v>4. 우수공 설계</v>
      </c>
      <c r="AB29" s="802">
        <f>S29*'6-1.기초DATA 입력'!$A$47+T29*'6-1.기초DATA 입력'!$C$47+U29*'6-1.기초DATA 입력'!$E$47+V29*'6-1.기초DATA 입력'!$G$47+W29*'6-1.기초DATA 입력'!$I$47</f>
        <v>5609459.1270498009</v>
      </c>
      <c r="AC29" s="802">
        <f t="shared" si="10"/>
        <v>14135837.000165498</v>
      </c>
      <c r="AD29" s="803">
        <f t="shared" si="11"/>
        <v>4.108944356892253E-2</v>
      </c>
      <c r="AE29" s="457"/>
    </row>
    <row r="30" spans="1:31" s="458" customFormat="1">
      <c r="A30" s="1666"/>
      <c r="B30" s="837" t="s">
        <v>1069</v>
      </c>
      <c r="C30" s="830" t="s">
        <v>454</v>
      </c>
      <c r="D30" s="457"/>
      <c r="E30" s="806">
        <v>3.8</v>
      </c>
      <c r="F30" s="807">
        <v>6.2</v>
      </c>
      <c r="G30" s="807">
        <v>8.6</v>
      </c>
      <c r="H30" s="807">
        <v>7.7</v>
      </c>
      <c r="I30" s="808">
        <v>4</v>
      </c>
      <c r="J30" s="462"/>
      <c r="K30" s="463">
        <f t="shared" si="12"/>
        <v>0.8</v>
      </c>
      <c r="L30" s="474"/>
      <c r="M30" s="473">
        <f>지형보정</f>
        <v>0.9</v>
      </c>
      <c r="N30" s="473">
        <f t="shared" si="13"/>
        <v>1</v>
      </c>
      <c r="O30" s="465">
        <f t="shared" si="2"/>
        <v>0.72000000000000008</v>
      </c>
      <c r="P30" s="466"/>
      <c r="Q30" s="809">
        <f>'6-5.(기본및실시)적용수량 산출근거'!$G$26</f>
        <v>0.85</v>
      </c>
      <c r="R30" s="457"/>
      <c r="S30" s="810">
        <f t="shared" si="15"/>
        <v>2.2999999999999998</v>
      </c>
      <c r="T30" s="811">
        <f t="shared" si="14"/>
        <v>3.7</v>
      </c>
      <c r="U30" s="811">
        <f t="shared" si="14"/>
        <v>5.2</v>
      </c>
      <c r="V30" s="811">
        <f t="shared" si="14"/>
        <v>4.7</v>
      </c>
      <c r="W30" s="811">
        <f t="shared" si="14"/>
        <v>2.4</v>
      </c>
      <c r="X30" s="812">
        <f t="shared" si="3"/>
        <v>18.299999999999997</v>
      </c>
      <c r="Y30" s="471"/>
      <c r="Z30" s="457"/>
      <c r="AA30" s="838" t="str">
        <f t="shared" si="16"/>
        <v>5. 오수공 설계</v>
      </c>
      <c r="AB30" s="802">
        <f>S30*'6-1.기초DATA 입력'!$A$47+T30*'6-1.기초DATA 입력'!$C$47+U30*'6-1.기초DATA 입력'!$E$47+V30*'6-1.기초DATA 입력'!$G$47+W30*'6-1.기초DATA 입력'!$I$47</f>
        <v>3804366.5380574004</v>
      </c>
      <c r="AC30" s="802">
        <f t="shared" si="10"/>
        <v>9587003.6759046484</v>
      </c>
      <c r="AD30" s="803">
        <f t="shared" si="11"/>
        <v>2.7867090327337883E-2</v>
      </c>
      <c r="AE30" s="457"/>
    </row>
    <row r="31" spans="1:31" s="458" customFormat="1">
      <c r="A31" s="1666"/>
      <c r="B31" s="837" t="s">
        <v>455</v>
      </c>
      <c r="C31" s="830" t="s">
        <v>454</v>
      </c>
      <c r="D31" s="457"/>
      <c r="E31" s="806">
        <v>3</v>
      </c>
      <c r="F31" s="807">
        <v>5.2</v>
      </c>
      <c r="G31" s="807">
        <v>5.9</v>
      </c>
      <c r="H31" s="807">
        <v>5.5</v>
      </c>
      <c r="I31" s="808">
        <v>2.7</v>
      </c>
      <c r="J31" s="462"/>
      <c r="K31" s="463">
        <f t="shared" si="12"/>
        <v>0.8</v>
      </c>
      <c r="L31" s="464"/>
      <c r="M31" s="464"/>
      <c r="N31" s="473">
        <f t="shared" si="13"/>
        <v>1</v>
      </c>
      <c r="O31" s="465">
        <f t="shared" si="2"/>
        <v>0.8</v>
      </c>
      <c r="P31" s="466"/>
      <c r="Q31" s="809">
        <f>'6-5.(기본및실시)적용수량 산출근거'!$G$26</f>
        <v>0.85</v>
      </c>
      <c r="R31" s="457"/>
      <c r="S31" s="810">
        <f t="shared" si="15"/>
        <v>2</v>
      </c>
      <c r="T31" s="811">
        <f t="shared" si="14"/>
        <v>3.5</v>
      </c>
      <c r="U31" s="811">
        <f t="shared" si="14"/>
        <v>4</v>
      </c>
      <c r="V31" s="811">
        <f t="shared" si="14"/>
        <v>3.7</v>
      </c>
      <c r="W31" s="811">
        <f t="shared" si="14"/>
        <v>1.8</v>
      </c>
      <c r="X31" s="812">
        <f t="shared" si="3"/>
        <v>15</v>
      </c>
      <c r="Y31" s="471"/>
      <c r="Z31" s="457"/>
      <c r="AA31" s="838" t="str">
        <f t="shared" si="16"/>
        <v>6. 상수공 설계</v>
      </c>
      <c r="AB31" s="802">
        <f>S31*'6-1.기초DATA 입력'!$A$47+T31*'6-1.기초DATA 입력'!$C$47+U31*'6-1.기초DATA 입력'!$E$47+V31*'6-1.기초DATA 입력'!$G$47+W31*'6-1.기초DATA 입력'!$I$47</f>
        <v>3165938.4097173004</v>
      </c>
      <c r="AC31" s="802">
        <f t="shared" si="10"/>
        <v>7978164.7924875962</v>
      </c>
      <c r="AD31" s="803">
        <f t="shared" si="11"/>
        <v>2.3190586593538509E-2</v>
      </c>
      <c r="AE31" s="457"/>
    </row>
    <row r="32" spans="1:31" s="458" customFormat="1">
      <c r="A32" s="1666"/>
      <c r="B32" s="837" t="s">
        <v>456</v>
      </c>
      <c r="C32" s="830" t="s">
        <v>1070</v>
      </c>
      <c r="D32" s="457"/>
      <c r="E32" s="839">
        <v>2.1</v>
      </c>
      <c r="F32" s="840">
        <v>3.9</v>
      </c>
      <c r="G32" s="840">
        <v>5.3</v>
      </c>
      <c r="H32" s="840">
        <v>5.3</v>
      </c>
      <c r="I32" s="841">
        <v>4.5</v>
      </c>
      <c r="J32" s="462"/>
      <c r="K32" s="477"/>
      <c r="L32" s="474"/>
      <c r="M32" s="473">
        <f>지형보정</f>
        <v>0.9</v>
      </c>
      <c r="N32" s="473">
        <f t="shared" si="13"/>
        <v>1</v>
      </c>
      <c r="O32" s="465">
        <f t="shared" si="2"/>
        <v>0.9</v>
      </c>
      <c r="P32" s="466"/>
      <c r="Q32" s="809">
        <f>'6-5.(기본및실시)적용수량 산출근거'!$G$30</f>
        <v>0.54358249999999997</v>
      </c>
      <c r="R32" s="457"/>
      <c r="S32" s="810">
        <f t="shared" si="15"/>
        <v>1</v>
      </c>
      <c r="T32" s="811">
        <f t="shared" si="14"/>
        <v>1.9</v>
      </c>
      <c r="U32" s="811">
        <f t="shared" si="14"/>
        <v>2.5</v>
      </c>
      <c r="V32" s="811">
        <f t="shared" si="14"/>
        <v>2.5</v>
      </c>
      <c r="W32" s="811">
        <f t="shared" si="14"/>
        <v>2.2000000000000002</v>
      </c>
      <c r="X32" s="812">
        <f t="shared" si="3"/>
        <v>10.100000000000001</v>
      </c>
      <c r="Y32" s="471"/>
      <c r="Z32" s="457"/>
      <c r="AA32" s="838" t="str">
        <f t="shared" si="16"/>
        <v>7. 기타 구조물 설계</v>
      </c>
      <c r="AB32" s="802">
        <f>S32*'6-1.기초DATA 입력'!$A$47+T32*'6-1.기초DATA 입력'!$C$47+U32*'6-1.기초DATA 입력'!$E$47+V32*'6-1.기초DATA 입력'!$G$47+W32*'6-1.기초DATA 입력'!$I$47</f>
        <v>2005795.8661508001</v>
      </c>
      <c r="AC32" s="802">
        <f t="shared" si="10"/>
        <v>5054605.582700016</v>
      </c>
      <c r="AD32" s="803">
        <f t="shared" si="11"/>
        <v>1.4692510309158312E-2</v>
      </c>
      <c r="AE32" s="457"/>
    </row>
    <row r="33" spans="1:31" s="458" customFormat="1">
      <c r="A33" s="1666"/>
      <c r="B33" s="837" t="s">
        <v>1071</v>
      </c>
      <c r="C33" s="830" t="s">
        <v>431</v>
      </c>
      <c r="D33" s="457"/>
      <c r="E33" s="839">
        <v>5.3</v>
      </c>
      <c r="F33" s="840">
        <v>10.8</v>
      </c>
      <c r="G33" s="840">
        <v>17.7</v>
      </c>
      <c r="H33" s="840">
        <v>18.2</v>
      </c>
      <c r="I33" s="841">
        <v>14.3</v>
      </c>
      <c r="J33" s="462"/>
      <c r="K33" s="463">
        <f>단지유형</f>
        <v>0.8</v>
      </c>
      <c r="L33" s="473">
        <f>지역보정</f>
        <v>1.1000000000000001</v>
      </c>
      <c r="M33" s="464"/>
      <c r="N33" s="473">
        <f t="shared" si="13"/>
        <v>1</v>
      </c>
      <c r="O33" s="465">
        <f t="shared" si="2"/>
        <v>0.88000000000000012</v>
      </c>
      <c r="P33" s="466"/>
      <c r="Q33" s="809">
        <f>'6-5.(기본및실시)적용수량 산출근거'!$G$12</f>
        <v>0.21110000000000001</v>
      </c>
      <c r="R33" s="457"/>
      <c r="S33" s="810">
        <f t="shared" si="15"/>
        <v>0.9</v>
      </c>
      <c r="T33" s="811">
        <f t="shared" si="14"/>
        <v>2</v>
      </c>
      <c r="U33" s="811">
        <f t="shared" si="14"/>
        <v>3.2</v>
      </c>
      <c r="V33" s="811">
        <f t="shared" si="14"/>
        <v>3.3</v>
      </c>
      <c r="W33" s="811">
        <f t="shared" si="14"/>
        <v>2.6</v>
      </c>
      <c r="X33" s="812">
        <f t="shared" si="3"/>
        <v>11.999999999999998</v>
      </c>
      <c r="Y33" s="471"/>
      <c r="Z33" s="457"/>
      <c r="AA33" s="838" t="str">
        <f t="shared" si="16"/>
        <v xml:space="preserve">8. 부대시설 설계 </v>
      </c>
      <c r="AB33" s="802">
        <f>S33*'6-1.기초DATA 입력'!$A$47+T33*'6-1.기초DATA 입력'!$C$47+U33*'6-1.기초DATA 입력'!$E$47+V33*'6-1.기초DATA 입력'!$G$47+W33*'6-1.기초DATA 입력'!$I$47</f>
        <v>2328982.376803</v>
      </c>
      <c r="AC33" s="802">
        <f t="shared" si="10"/>
        <v>5869035.5895435596</v>
      </c>
      <c r="AD33" s="803">
        <f t="shared" si="11"/>
        <v>1.7059860456634064E-2</v>
      </c>
      <c r="AE33" s="457"/>
    </row>
    <row r="34" spans="1:31" s="458" customFormat="1">
      <c r="A34" s="1666"/>
      <c r="B34" s="837" t="s">
        <v>457</v>
      </c>
      <c r="C34" s="830" t="s">
        <v>1072</v>
      </c>
      <c r="D34" s="457"/>
      <c r="E34" s="806">
        <v>21.2</v>
      </c>
      <c r="F34" s="807">
        <v>34.700000000000003</v>
      </c>
      <c r="G34" s="807">
        <v>40</v>
      </c>
      <c r="H34" s="807">
        <v>42</v>
      </c>
      <c r="I34" s="808">
        <v>33.9</v>
      </c>
      <c r="J34" s="462"/>
      <c r="K34" s="477"/>
      <c r="L34" s="474"/>
      <c r="M34" s="473">
        <f>지형보정</f>
        <v>0.9</v>
      </c>
      <c r="N34" s="473">
        <f t="shared" si="13"/>
        <v>1</v>
      </c>
      <c r="O34" s="465">
        <f t="shared" si="2"/>
        <v>0.9</v>
      </c>
      <c r="P34" s="466"/>
      <c r="Q34" s="809">
        <f>'6-5.(기본및실시)적용수량 산출근거'!$G$35</f>
        <v>0</v>
      </c>
      <c r="R34" s="457"/>
      <c r="S34" s="810">
        <f t="shared" si="15"/>
        <v>0</v>
      </c>
      <c r="T34" s="811">
        <f t="shared" si="14"/>
        <v>0</v>
      </c>
      <c r="U34" s="811">
        <f t="shared" si="14"/>
        <v>0</v>
      </c>
      <c r="V34" s="811">
        <f t="shared" si="14"/>
        <v>0</v>
      </c>
      <c r="W34" s="811">
        <f t="shared" si="14"/>
        <v>0</v>
      </c>
      <c r="X34" s="812">
        <f t="shared" si="3"/>
        <v>0</v>
      </c>
      <c r="Y34" s="471"/>
      <c r="Z34" s="457"/>
      <c r="AA34" s="838" t="str">
        <f t="shared" si="16"/>
        <v>9. 하천설계</v>
      </c>
      <c r="AB34" s="802">
        <f>S34*'6-1.기초DATA 입력'!$A$47+T34*'6-1.기초DATA 입력'!$C$47+U34*'6-1.기초DATA 입력'!$E$47+V34*'6-1.기초DATA 입력'!$G$47+W34*'6-1.기초DATA 입력'!$I$47</f>
        <v>0</v>
      </c>
      <c r="AC34" s="802">
        <f t="shared" si="10"/>
        <v>0</v>
      </c>
      <c r="AD34" s="803">
        <f t="shared" si="11"/>
        <v>0</v>
      </c>
      <c r="AE34" s="457"/>
    </row>
    <row r="35" spans="1:31" s="458" customFormat="1" ht="16.5" customHeight="1">
      <c r="A35" s="813"/>
      <c r="B35" s="814"/>
      <c r="C35" s="815"/>
      <c r="D35" s="457"/>
      <c r="E35" s="816">
        <f>SUM(E26:E34)</f>
        <v>68.099999999999994</v>
      </c>
      <c r="F35" s="817">
        <f>SUM(F26:F34)</f>
        <v>114.8</v>
      </c>
      <c r="G35" s="817">
        <f t="shared" ref="G35:H35" si="17">SUM(G26:G34)</f>
        <v>148.80000000000001</v>
      </c>
      <c r="H35" s="817">
        <f t="shared" si="17"/>
        <v>150.30000000000001</v>
      </c>
      <c r="I35" s="818">
        <f>SUM(I26:I34)</f>
        <v>97.200000000000017</v>
      </c>
      <c r="J35" s="462"/>
      <c r="K35" s="819"/>
      <c r="L35" s="820"/>
      <c r="M35" s="820"/>
      <c r="N35" s="820"/>
      <c r="O35" s="821"/>
      <c r="P35" s="466"/>
      <c r="Q35" s="822"/>
      <c r="R35" s="457"/>
      <c r="S35" s="823">
        <f>SUM(S26:S34)</f>
        <v>18.3</v>
      </c>
      <c r="T35" s="824">
        <f>SUM(T26:T34)</f>
        <v>29.499999999999996</v>
      </c>
      <c r="U35" s="824">
        <f>SUM(U26:U34)</f>
        <v>39.400000000000006</v>
      </c>
      <c r="V35" s="824">
        <f>SUM(V26:V34)</f>
        <v>37.099999999999994</v>
      </c>
      <c r="W35" s="824">
        <f>SUM(W26:W34)</f>
        <v>19.800000000000004</v>
      </c>
      <c r="X35" s="825">
        <f t="shared" si="3"/>
        <v>144.1</v>
      </c>
      <c r="Y35" s="471"/>
      <c r="Z35" s="457"/>
      <c r="AA35" s="826"/>
      <c r="AB35" s="827">
        <f>SUM(AB26:AB34)</f>
        <v>29933807.648492403</v>
      </c>
      <c r="AC35" s="827">
        <f>SUM(AC26:AC34)</f>
        <v>75433195.274200872</v>
      </c>
      <c r="AD35" s="828">
        <f t="shared" si="11"/>
        <v>0.21926597062533351</v>
      </c>
      <c r="AE35" s="457"/>
    </row>
    <row r="36" spans="1:31" s="458" customFormat="1">
      <c r="A36" s="1668" t="s">
        <v>1073</v>
      </c>
      <c r="B36" s="831" t="s">
        <v>1074</v>
      </c>
      <c r="C36" s="830" t="s">
        <v>1075</v>
      </c>
      <c r="D36" s="457"/>
      <c r="E36" s="806">
        <v>9.4</v>
      </c>
      <c r="F36" s="807">
        <v>18.399999999999999</v>
      </c>
      <c r="G36" s="807">
        <v>25</v>
      </c>
      <c r="H36" s="807">
        <v>20.8</v>
      </c>
      <c r="I36" s="808">
        <v>13.5</v>
      </c>
      <c r="J36" s="462"/>
      <c r="K36" s="463">
        <f>단지유형</f>
        <v>0.8</v>
      </c>
      <c r="L36" s="473">
        <f>지역보정</f>
        <v>1.1000000000000001</v>
      </c>
      <c r="M36" s="464"/>
      <c r="N36" s="473">
        <f>지구보정</f>
        <v>1</v>
      </c>
      <c r="O36" s="465">
        <f t="shared" si="2"/>
        <v>0.88000000000000012</v>
      </c>
      <c r="P36" s="466"/>
      <c r="Q36" s="809">
        <f>'6-5.(기본및실시)적용수량 산출근거'!$I$12</f>
        <v>0.21110000000000001</v>
      </c>
      <c r="R36" s="457"/>
      <c r="S36" s="810">
        <f t="shared" si="15"/>
        <v>1.7</v>
      </c>
      <c r="T36" s="811">
        <f t="shared" si="15"/>
        <v>3.4</v>
      </c>
      <c r="U36" s="811">
        <f t="shared" si="15"/>
        <v>4.5999999999999996</v>
      </c>
      <c r="V36" s="811">
        <f t="shared" si="15"/>
        <v>3.8</v>
      </c>
      <c r="W36" s="811">
        <f t="shared" si="15"/>
        <v>2.5</v>
      </c>
      <c r="X36" s="812">
        <f t="shared" si="3"/>
        <v>16</v>
      </c>
      <c r="Y36" s="471"/>
      <c r="Z36" s="457"/>
      <c r="AA36" s="842" t="str">
        <f>B36</f>
        <v>1. 기본 및 실시설계보고서</v>
      </c>
      <c r="AB36" s="802">
        <f>S36*'6-1.기초DATA 입력'!$A$47+T36*'6-1.기초DATA 입력'!$C$47+U36*'6-1.기초DATA 입력'!$E$47+V36*'6-1.기초DATA 입력'!$G$47+W36*'6-1.기초DATA 입력'!$I$47</f>
        <v>3275624.1208654996</v>
      </c>
      <c r="AC36" s="802">
        <f t="shared" si="10"/>
        <v>8254572.7845810587</v>
      </c>
      <c r="AD36" s="803">
        <f t="shared" si="11"/>
        <v>2.3994037467582299E-2</v>
      </c>
      <c r="AE36" s="457"/>
    </row>
    <row r="37" spans="1:31" s="458" customFormat="1">
      <c r="A37" s="1666"/>
      <c r="B37" s="831" t="s">
        <v>1076</v>
      </c>
      <c r="C37" s="830" t="s">
        <v>1075</v>
      </c>
      <c r="D37" s="457"/>
      <c r="E37" s="806">
        <v>0.9</v>
      </c>
      <c r="F37" s="807">
        <v>3.6</v>
      </c>
      <c r="G37" s="807">
        <v>4.9000000000000004</v>
      </c>
      <c r="H37" s="807">
        <v>5.8</v>
      </c>
      <c r="I37" s="808">
        <v>3.7</v>
      </c>
      <c r="J37" s="462"/>
      <c r="K37" s="472"/>
      <c r="L37" s="464"/>
      <c r="M37" s="473">
        <f>지형보정</f>
        <v>0.9</v>
      </c>
      <c r="N37" s="473">
        <f>지구보정</f>
        <v>1</v>
      </c>
      <c r="O37" s="465">
        <f t="shared" si="2"/>
        <v>0.9</v>
      </c>
      <c r="P37" s="466"/>
      <c r="Q37" s="809">
        <f>'6-5.(기본및실시)적용수량 산출근거'!$I$12</f>
        <v>0.21110000000000001</v>
      </c>
      <c r="R37" s="457"/>
      <c r="S37" s="810">
        <f t="shared" si="15"/>
        <v>0.1</v>
      </c>
      <c r="T37" s="811">
        <f t="shared" si="15"/>
        <v>0.6</v>
      </c>
      <c r="U37" s="811">
        <f t="shared" si="15"/>
        <v>0.9</v>
      </c>
      <c r="V37" s="811">
        <f t="shared" si="15"/>
        <v>1.1000000000000001</v>
      </c>
      <c r="W37" s="811">
        <f t="shared" si="15"/>
        <v>0.7</v>
      </c>
      <c r="X37" s="812">
        <f t="shared" si="3"/>
        <v>3.4000000000000004</v>
      </c>
      <c r="Y37" s="471"/>
      <c r="Z37" s="457"/>
      <c r="AA37" s="842" t="str">
        <f t="shared" ref="AA37:AA43" si="18">B37</f>
        <v>2. 토질 및 지반조사보고서</v>
      </c>
      <c r="AB37" s="802">
        <f>S37*'6-1.기초DATA 입력'!$A$47+T37*'6-1.기초DATA 입력'!$C$47+U37*'6-1.기초DATA 입력'!$E$47+V37*'6-1.기초DATA 입력'!$G$47+W37*'6-1.기초DATA 입력'!$I$47</f>
        <v>639692.33810750011</v>
      </c>
      <c r="AC37" s="802">
        <f t="shared" si="10"/>
        <v>1612024.6920309004</v>
      </c>
      <c r="AD37" s="803">
        <f t="shared" si="11"/>
        <v>4.6857641053825059E-3</v>
      </c>
      <c r="AE37" s="457"/>
    </row>
    <row r="38" spans="1:31" s="458" customFormat="1">
      <c r="A38" s="1666"/>
      <c r="B38" s="831" t="s">
        <v>1077</v>
      </c>
      <c r="C38" s="830" t="s">
        <v>1075</v>
      </c>
      <c r="D38" s="457"/>
      <c r="E38" s="806">
        <v>0.6</v>
      </c>
      <c r="F38" s="807">
        <v>2</v>
      </c>
      <c r="G38" s="807">
        <v>3.7</v>
      </c>
      <c r="H38" s="807">
        <v>10.1</v>
      </c>
      <c r="I38" s="808">
        <v>1.3</v>
      </c>
      <c r="J38" s="462"/>
      <c r="K38" s="472"/>
      <c r="L38" s="464"/>
      <c r="M38" s="464"/>
      <c r="N38" s="473">
        <f>지구보정</f>
        <v>1</v>
      </c>
      <c r="O38" s="465">
        <f t="shared" si="2"/>
        <v>1</v>
      </c>
      <c r="P38" s="466"/>
      <c r="Q38" s="809">
        <f>'6-5.(기본및실시)적용수량 산출근거'!$I$12</f>
        <v>0.21110000000000001</v>
      </c>
      <c r="R38" s="457"/>
      <c r="S38" s="810">
        <f t="shared" si="15"/>
        <v>0.1</v>
      </c>
      <c r="T38" s="811">
        <f t="shared" si="15"/>
        <v>0.4</v>
      </c>
      <c r="U38" s="811">
        <f t="shared" si="15"/>
        <v>0.7</v>
      </c>
      <c r="V38" s="811">
        <f t="shared" si="15"/>
        <v>2.1</v>
      </c>
      <c r="W38" s="811">
        <f t="shared" si="15"/>
        <v>0.2</v>
      </c>
      <c r="X38" s="812">
        <f t="shared" si="3"/>
        <v>3.5</v>
      </c>
      <c r="Y38" s="471"/>
      <c r="Z38" s="457"/>
      <c r="AA38" s="842" t="str">
        <f t="shared" si="18"/>
        <v>3. 구조 및 수리계산서</v>
      </c>
      <c r="AB38" s="802">
        <f>S38*'6-1.기초DATA 입력'!$A$47+T38*'6-1.기초DATA 입력'!$C$47+U38*'6-1.기초DATA 입력'!$E$47+V38*'6-1.기초DATA 입력'!$G$47+W38*'6-1.기초DATA 입력'!$I$47</f>
        <v>657853.9210173001</v>
      </c>
      <c r="AC38" s="802">
        <f t="shared" si="10"/>
        <v>1657791.8809635965</v>
      </c>
      <c r="AD38" s="803">
        <f t="shared" si="11"/>
        <v>4.8187982035357464E-3</v>
      </c>
      <c r="AE38" s="457"/>
    </row>
    <row r="39" spans="1:31" s="458" customFormat="1">
      <c r="A39" s="1666"/>
      <c r="B39" s="831" t="s">
        <v>1078</v>
      </c>
      <c r="C39" s="830" t="s">
        <v>1056</v>
      </c>
      <c r="D39" s="457"/>
      <c r="E39" s="806">
        <v>1.7</v>
      </c>
      <c r="F39" s="807">
        <v>7.8</v>
      </c>
      <c r="G39" s="807">
        <v>14</v>
      </c>
      <c r="H39" s="807">
        <v>16.8</v>
      </c>
      <c r="I39" s="808">
        <v>2.8</v>
      </c>
      <c r="J39" s="462"/>
      <c r="K39" s="463">
        <f>단지유형</f>
        <v>0.8</v>
      </c>
      <c r="L39" s="464"/>
      <c r="M39" s="464"/>
      <c r="N39" s="464"/>
      <c r="O39" s="465">
        <f t="shared" si="2"/>
        <v>0.8</v>
      </c>
      <c r="P39" s="466"/>
      <c r="Q39" s="809">
        <f>'6-5.(기본및실시)적용수량 산출근거'!$C$16</f>
        <v>1</v>
      </c>
      <c r="R39" s="457"/>
      <c r="S39" s="810">
        <f t="shared" si="15"/>
        <v>1.3</v>
      </c>
      <c r="T39" s="811">
        <f t="shared" si="15"/>
        <v>6.2</v>
      </c>
      <c r="U39" s="811">
        <f t="shared" si="15"/>
        <v>11.2</v>
      </c>
      <c r="V39" s="811">
        <f t="shared" si="15"/>
        <v>13.4</v>
      </c>
      <c r="W39" s="811">
        <f t="shared" si="15"/>
        <v>2.2000000000000002</v>
      </c>
      <c r="X39" s="812">
        <f t="shared" si="3"/>
        <v>34.300000000000004</v>
      </c>
      <c r="Y39" s="471"/>
      <c r="Z39" s="457"/>
      <c r="AA39" s="842" t="str">
        <f t="shared" si="18"/>
        <v>4. 설계예산서</v>
      </c>
      <c r="AB39" s="802">
        <f>S39*'6-1.기초DATA 입력'!$A$47+T39*'6-1.기초DATA 입력'!$C$47+U39*'6-1.기초DATA 입력'!$E$47+V39*'6-1.기초DATA 입력'!$G$47+W39*'6-1.기초DATA 입력'!$I$47</f>
        <v>6750888.8456587009</v>
      </c>
      <c r="AC39" s="802">
        <f t="shared" si="10"/>
        <v>17012239.891059928</v>
      </c>
      <c r="AD39" s="803">
        <f t="shared" si="11"/>
        <v>4.9450447891871967E-2</v>
      </c>
      <c r="AE39" s="457"/>
    </row>
    <row r="40" spans="1:31" s="458" customFormat="1">
      <c r="A40" s="1666"/>
      <c r="B40" s="831" t="s">
        <v>1079</v>
      </c>
      <c r="C40" s="830" t="s">
        <v>1075</v>
      </c>
      <c r="D40" s="457"/>
      <c r="E40" s="806">
        <v>0.7</v>
      </c>
      <c r="F40" s="807">
        <v>5.9</v>
      </c>
      <c r="G40" s="807">
        <v>7.6</v>
      </c>
      <c r="H40" s="807">
        <v>9.4</v>
      </c>
      <c r="I40" s="808">
        <v>2</v>
      </c>
      <c r="J40" s="462"/>
      <c r="K40" s="463">
        <f>단지유형</f>
        <v>0.8</v>
      </c>
      <c r="L40" s="464"/>
      <c r="M40" s="464"/>
      <c r="N40" s="473">
        <f>지구보정</f>
        <v>1</v>
      </c>
      <c r="O40" s="465">
        <f t="shared" si="2"/>
        <v>0.8</v>
      </c>
      <c r="P40" s="466"/>
      <c r="Q40" s="809">
        <f>'6-5.(기본및실시)적용수량 산출근거'!$I$12</f>
        <v>0.21110000000000001</v>
      </c>
      <c r="R40" s="457"/>
      <c r="S40" s="810">
        <f t="shared" si="15"/>
        <v>0.1</v>
      </c>
      <c r="T40" s="811">
        <f t="shared" si="15"/>
        <v>0.9</v>
      </c>
      <c r="U40" s="811">
        <f t="shared" si="15"/>
        <v>1.2</v>
      </c>
      <c r="V40" s="811">
        <f t="shared" si="15"/>
        <v>1.5</v>
      </c>
      <c r="W40" s="811">
        <f t="shared" si="15"/>
        <v>0.3</v>
      </c>
      <c r="X40" s="812">
        <f t="shared" si="3"/>
        <v>4</v>
      </c>
      <c r="Y40" s="471"/>
      <c r="Z40" s="457"/>
      <c r="AA40" s="842" t="str">
        <f t="shared" si="18"/>
        <v>5. 단가산출서</v>
      </c>
      <c r="AB40" s="802">
        <f>S40*'6-1.기초DATA 입력'!$A$47+T40*'6-1.기초DATA 입력'!$C$47+U40*'6-1.기초DATA 입력'!$E$47+V40*'6-1.기초DATA 입력'!$G$47+W40*'6-1.기초DATA 입력'!$I$47</f>
        <v>786533.04257139994</v>
      </c>
      <c r="AC40" s="802">
        <f t="shared" si="10"/>
        <v>1982063.2672799279</v>
      </c>
      <c r="AD40" s="803">
        <f t="shared" si="11"/>
        <v>5.7613763351953839E-3</v>
      </c>
      <c r="AE40" s="457"/>
    </row>
    <row r="41" spans="1:31" s="458" customFormat="1">
      <c r="A41" s="1666"/>
      <c r="B41" s="831" t="s">
        <v>1080</v>
      </c>
      <c r="C41" s="830" t="s">
        <v>1075</v>
      </c>
      <c r="D41" s="457"/>
      <c r="E41" s="806">
        <v>1.9</v>
      </c>
      <c r="F41" s="807">
        <v>7</v>
      </c>
      <c r="G41" s="807">
        <v>15.1</v>
      </c>
      <c r="H41" s="807">
        <v>24.7</v>
      </c>
      <c r="I41" s="808">
        <v>29.1</v>
      </c>
      <c r="J41" s="462"/>
      <c r="K41" s="463">
        <f>단지유형</f>
        <v>0.8</v>
      </c>
      <c r="L41" s="464"/>
      <c r="M41" s="464"/>
      <c r="N41" s="473">
        <f>지구보정</f>
        <v>1</v>
      </c>
      <c r="O41" s="465">
        <f t="shared" si="2"/>
        <v>0.8</v>
      </c>
      <c r="P41" s="466"/>
      <c r="Q41" s="809">
        <f>'6-5.(기본및실시)적용수량 산출근거'!$I$12</f>
        <v>0.21110000000000001</v>
      </c>
      <c r="R41" s="457"/>
      <c r="S41" s="810">
        <f t="shared" si="15"/>
        <v>0.3</v>
      </c>
      <c r="T41" s="811">
        <f t="shared" si="15"/>
        <v>1.1000000000000001</v>
      </c>
      <c r="U41" s="811">
        <f t="shared" si="15"/>
        <v>2.5</v>
      </c>
      <c r="V41" s="811">
        <f t="shared" si="15"/>
        <v>4.0999999999999996</v>
      </c>
      <c r="W41" s="811">
        <f t="shared" si="15"/>
        <v>4.9000000000000004</v>
      </c>
      <c r="X41" s="812">
        <f t="shared" si="3"/>
        <v>12.9</v>
      </c>
      <c r="Y41" s="471"/>
      <c r="Z41" s="457"/>
      <c r="AA41" s="842" t="str">
        <f t="shared" si="18"/>
        <v>6. 수량산출서</v>
      </c>
      <c r="AB41" s="802">
        <f>S41*'6-1.기초DATA 입력'!$A$47+T41*'6-1.기초DATA 입력'!$C$47+U41*'6-1.기초DATA 입력'!$E$47+V41*'6-1.기초DATA 입력'!$G$47+W41*'6-1.기초DATA 입력'!$I$47</f>
        <v>2227131.1956459004</v>
      </c>
      <c r="AC41" s="802">
        <f t="shared" si="10"/>
        <v>5612370.6130276686</v>
      </c>
      <c r="AD41" s="803">
        <f t="shared" si="11"/>
        <v>1.6313797731905062E-2</v>
      </c>
      <c r="AE41" s="457"/>
    </row>
    <row r="42" spans="1:31" s="458" customFormat="1">
      <c r="A42" s="1666"/>
      <c r="B42" s="831" t="s">
        <v>1081</v>
      </c>
      <c r="C42" s="830" t="s">
        <v>1075</v>
      </c>
      <c r="D42" s="457"/>
      <c r="E42" s="806">
        <v>4</v>
      </c>
      <c r="F42" s="807">
        <v>4.5</v>
      </c>
      <c r="G42" s="807">
        <v>7.4</v>
      </c>
      <c r="H42" s="807">
        <v>16</v>
      </c>
      <c r="I42" s="808">
        <v>15.5</v>
      </c>
      <c r="J42" s="462"/>
      <c r="K42" s="463">
        <f>단지유형</f>
        <v>0.8</v>
      </c>
      <c r="L42" s="464"/>
      <c r="M42" s="473">
        <f>지형보정</f>
        <v>0.9</v>
      </c>
      <c r="N42" s="473">
        <f>지구보정</f>
        <v>1</v>
      </c>
      <c r="O42" s="465">
        <f>IF(COUNT(K42:N42)=0,1,PRODUCT(K42:N42))</f>
        <v>0.72000000000000008</v>
      </c>
      <c r="P42" s="466"/>
      <c r="Q42" s="809">
        <f>'6-5.(기본및실시)적용수량 산출근거'!$I$12</f>
        <v>0.21110000000000001</v>
      </c>
      <c r="R42" s="457"/>
      <c r="S42" s="810">
        <f>ROUNDDOWN(E42*$O42*$Q42,1)</f>
        <v>0.6</v>
      </c>
      <c r="T42" s="811">
        <f>ROUNDDOWN(F42*$O42*$Q42,1)</f>
        <v>0.6</v>
      </c>
      <c r="U42" s="811">
        <f>ROUNDDOWN(G42*$O42*$Q42,1)</f>
        <v>1.1000000000000001</v>
      </c>
      <c r="V42" s="811">
        <f>ROUNDDOWN(H42*$O42*$Q42,1)</f>
        <v>2.4</v>
      </c>
      <c r="W42" s="811">
        <f>ROUNDDOWN(I42*$O42*$Q42,1)</f>
        <v>2.2999999999999998</v>
      </c>
      <c r="X42" s="812">
        <f>SUM(S42:W42)</f>
        <v>6.9999999999999991</v>
      </c>
      <c r="Y42" s="471"/>
      <c r="Z42" s="457"/>
      <c r="AA42" s="842" t="str">
        <f t="shared" si="18"/>
        <v xml:space="preserve">7. 기본 및 실시설계도면 </v>
      </c>
      <c r="AB42" s="802">
        <f>S42*'6-1.기초DATA 입력'!$A$47+T42*'6-1.기초DATA 입력'!$C$47+U42*'6-1.기초DATA 입력'!$E$47+V42*'6-1.기초DATA 입력'!$G$47+W42*'6-1.기초DATA 입력'!$I$47</f>
        <v>1282350.4424455001</v>
      </c>
      <c r="AC42" s="802">
        <f>(AB42+AB42*1.1)*1.2</f>
        <v>3231523.1149626602</v>
      </c>
      <c r="AD42" s="803">
        <f t="shared" si="11"/>
        <v>9.3932525305981118E-3</v>
      </c>
      <c r="AE42" s="457"/>
    </row>
    <row r="43" spans="1:31">
      <c r="A43" s="1667"/>
      <c r="B43" s="835" t="s">
        <v>1082</v>
      </c>
      <c r="C43" s="836" t="s">
        <v>1027</v>
      </c>
      <c r="D43" s="457"/>
      <c r="E43" s="843">
        <v>1.8</v>
      </c>
      <c r="F43" s="844">
        <v>5.4</v>
      </c>
      <c r="G43" s="844">
        <v>7.5</v>
      </c>
      <c r="H43" s="844">
        <v>6</v>
      </c>
      <c r="I43" s="845">
        <v>5.6</v>
      </c>
      <c r="J43" s="462"/>
      <c r="K43" s="846">
        <f>단지유형</f>
        <v>0.8</v>
      </c>
      <c r="L43" s="847"/>
      <c r="M43" s="848"/>
      <c r="N43" s="848"/>
      <c r="O43" s="478">
        <f>IF(COUNT(K43:N43)=0,1,PRODUCT(K43:N43))</f>
        <v>0.8</v>
      </c>
      <c r="P43" s="466"/>
      <c r="Q43" s="849">
        <f>'6-5.(기본및실시)적용수량 산출근거'!$C$16</f>
        <v>1</v>
      </c>
      <c r="R43" s="457"/>
      <c r="S43" s="810">
        <f t="shared" si="15"/>
        <v>1.4</v>
      </c>
      <c r="T43" s="811">
        <f t="shared" si="15"/>
        <v>4.3</v>
      </c>
      <c r="U43" s="811">
        <f t="shared" si="15"/>
        <v>6</v>
      </c>
      <c r="V43" s="811">
        <f t="shared" si="15"/>
        <v>4.8</v>
      </c>
      <c r="W43" s="811">
        <f t="shared" si="15"/>
        <v>4.4000000000000004</v>
      </c>
      <c r="X43" s="812">
        <f t="shared" si="3"/>
        <v>20.9</v>
      </c>
      <c r="Y43" s="479"/>
      <c r="Z43" s="457"/>
      <c r="AA43" s="842" t="str">
        <f t="shared" si="18"/>
        <v>8. 공사시방서</v>
      </c>
      <c r="AB43" s="802">
        <f>S43*'6-1.기초DATA 입력'!$A$47+T43*'6-1.기초DATA 입력'!$C$47+U43*'6-1.기초DATA 입력'!$E$47+V43*'6-1.기초DATA 입력'!$G$47+W43*'6-1.기초DATA 입력'!$I$47</f>
        <v>4100586.868187</v>
      </c>
      <c r="AC43" s="802">
        <f t="shared" si="10"/>
        <v>10333478.90783124</v>
      </c>
      <c r="AD43" s="803">
        <f t="shared" si="11"/>
        <v>3.003691245513173E-2</v>
      </c>
    </row>
    <row r="44" spans="1:31" ht="17.25" thickBot="1">
      <c r="A44" s="850"/>
      <c r="B44" s="851"/>
      <c r="C44" s="852"/>
      <c r="D44" s="457"/>
      <c r="E44" s="853">
        <f>SUM(E36:E43)</f>
        <v>21</v>
      </c>
      <c r="F44" s="854">
        <f>SUM(F36:F43)</f>
        <v>54.6</v>
      </c>
      <c r="G44" s="854">
        <f>SUM(G36:G43)</f>
        <v>85.2</v>
      </c>
      <c r="H44" s="854">
        <f>SUM(H36:H43)</f>
        <v>109.6</v>
      </c>
      <c r="I44" s="855">
        <f>SUM(I36:I43)</f>
        <v>73.5</v>
      </c>
      <c r="J44" s="480"/>
      <c r="K44" s="481"/>
      <c r="L44" s="856"/>
      <c r="M44" s="856"/>
      <c r="N44" s="856"/>
      <c r="O44" s="857"/>
      <c r="P44" s="482"/>
      <c r="Q44" s="483"/>
      <c r="R44" s="457"/>
      <c r="S44" s="858">
        <f>SUM(S36:S43)</f>
        <v>5.6</v>
      </c>
      <c r="T44" s="859">
        <f>SUM(T36:T43)</f>
        <v>17.5</v>
      </c>
      <c r="U44" s="859">
        <f>SUM(U36:U43)</f>
        <v>28.2</v>
      </c>
      <c r="V44" s="859">
        <f>SUM(V36:V43)</f>
        <v>33.199999999999996</v>
      </c>
      <c r="W44" s="859">
        <f>SUM(W36:W43)</f>
        <v>17.5</v>
      </c>
      <c r="X44" s="860">
        <f t="shared" si="3"/>
        <v>102</v>
      </c>
      <c r="Y44" s="484"/>
      <c r="AA44" s="826"/>
      <c r="AB44" s="827">
        <f>SUM(AB36:AB43)</f>
        <v>19720660.774498802</v>
      </c>
      <c r="AC44" s="827">
        <f>SUM(AC36:AC43)</f>
        <v>49696065.151736975</v>
      </c>
      <c r="AD44" s="828">
        <f t="shared" si="11"/>
        <v>0.14445438672120278</v>
      </c>
    </row>
    <row r="45" spans="1:31" ht="17.25" thickBot="1">
      <c r="A45" s="485"/>
      <c r="B45" s="485"/>
      <c r="C45" s="485"/>
      <c r="E45" s="486">
        <f>E13+E25+E35+E44</f>
        <v>175.6</v>
      </c>
      <c r="F45" s="487">
        <f>F13+F25+F35+F44</f>
        <v>322.90000000000003</v>
      </c>
      <c r="G45" s="487">
        <f>G13+G25+G35+G44</f>
        <v>428.8</v>
      </c>
      <c r="H45" s="487">
        <f>H13+H25+H35+H44</f>
        <v>389.20000000000005</v>
      </c>
      <c r="I45" s="488">
        <f>I13+I25+I35+I44</f>
        <v>246.20000000000002</v>
      </c>
      <c r="J45" s="489"/>
      <c r="K45" s="490"/>
      <c r="L45" s="490"/>
      <c r="M45" s="490"/>
      <c r="N45" s="490"/>
      <c r="O45" s="490"/>
      <c r="P45" s="491"/>
      <c r="Q45" s="490"/>
      <c r="R45" s="485"/>
      <c r="S45" s="492">
        <f>S13+S25+S35+S44</f>
        <v>92.3</v>
      </c>
      <c r="T45" s="493">
        <f>T13+T25+T35+T44</f>
        <v>137.9</v>
      </c>
      <c r="U45" s="493">
        <f>U13+U25+U35+U44</f>
        <v>176.5</v>
      </c>
      <c r="V45" s="493">
        <f>V13+V25+V35+V44</f>
        <v>157.29999999999998</v>
      </c>
      <c r="W45" s="493">
        <f>W13+W25+W35+W44</f>
        <v>83</v>
      </c>
      <c r="X45" s="494">
        <f t="shared" si="3"/>
        <v>647</v>
      </c>
      <c r="AA45" s="495"/>
      <c r="AB45" s="861">
        <f>SUM(AB44,AB35,AB25,AB13)</f>
        <v>136518254.80772492</v>
      </c>
      <c r="AC45" s="861">
        <f>SUM(AC44,AC35,AC25,AC13)</f>
        <v>344026002.11546683</v>
      </c>
      <c r="AD45" s="862"/>
    </row>
    <row r="47" spans="1:31">
      <c r="E47" s="496"/>
      <c r="F47" s="496"/>
      <c r="G47" s="496"/>
      <c r="H47" s="496"/>
      <c r="I47" s="496"/>
    </row>
    <row r="48" spans="1:31">
      <c r="K48" s="456"/>
      <c r="L48" s="454"/>
      <c r="M48" s="454"/>
      <c r="N48" s="454"/>
      <c r="O48" s="454"/>
      <c r="Y48" s="698"/>
      <c r="Z48" s="698"/>
      <c r="AA48" s="698"/>
      <c r="AB48" s="698"/>
      <c r="AC48" s="698"/>
      <c r="AD48" s="698"/>
      <c r="AE48" s="698"/>
    </row>
    <row r="49" spans="11:31">
      <c r="K49" s="456"/>
      <c r="L49" s="454"/>
      <c r="M49" s="454"/>
      <c r="N49" s="454"/>
      <c r="O49" s="454"/>
      <c r="Y49" s="698"/>
      <c r="Z49" s="698"/>
      <c r="AA49" s="698"/>
      <c r="AB49" s="698"/>
      <c r="AC49" s="698"/>
      <c r="AD49" s="698"/>
      <c r="AE49" s="698"/>
    </row>
    <row r="50" spans="11:31">
      <c r="K50" s="456"/>
      <c r="L50" s="454"/>
      <c r="M50" s="454"/>
      <c r="N50" s="454"/>
      <c r="O50" s="454"/>
      <c r="Y50" s="698"/>
      <c r="Z50" s="698"/>
      <c r="AA50" s="698"/>
      <c r="AB50" s="698"/>
      <c r="AC50" s="698"/>
      <c r="AD50" s="698"/>
      <c r="AE50" s="698"/>
    </row>
    <row r="51" spans="11:31">
      <c r="K51" s="456"/>
      <c r="L51" s="454"/>
      <c r="M51" s="454"/>
      <c r="N51" s="454"/>
      <c r="O51" s="454"/>
      <c r="Y51" s="698"/>
      <c r="Z51" s="698"/>
      <c r="AA51" s="698"/>
      <c r="AB51" s="698"/>
      <c r="AC51" s="698"/>
      <c r="AD51" s="698"/>
      <c r="AE51" s="698"/>
    </row>
    <row r="52" spans="11:31">
      <c r="K52" s="456"/>
      <c r="L52" s="454"/>
      <c r="M52" s="454"/>
      <c r="N52" s="454"/>
      <c r="O52" s="454"/>
      <c r="Y52" s="698"/>
      <c r="Z52" s="698"/>
      <c r="AA52" s="698"/>
      <c r="AB52" s="698"/>
      <c r="AC52" s="698"/>
      <c r="AD52" s="698"/>
      <c r="AE52" s="698"/>
    </row>
    <row r="53" spans="11:31">
      <c r="K53" s="456"/>
      <c r="L53" s="454"/>
      <c r="M53" s="454"/>
      <c r="N53" s="454"/>
      <c r="O53" s="454"/>
      <c r="Y53" s="698"/>
      <c r="Z53" s="698"/>
      <c r="AA53" s="698"/>
      <c r="AB53" s="698"/>
      <c r="AC53" s="698"/>
      <c r="AD53" s="698"/>
      <c r="AE53" s="698"/>
    </row>
    <row r="54" spans="11:31">
      <c r="K54" s="456"/>
      <c r="L54" s="454"/>
      <c r="M54" s="454"/>
      <c r="N54" s="454"/>
      <c r="O54" s="454"/>
      <c r="Y54" s="698"/>
      <c r="Z54" s="698"/>
      <c r="AA54" s="698"/>
      <c r="AB54" s="698"/>
      <c r="AC54" s="698"/>
      <c r="AD54" s="698"/>
      <c r="AE54" s="698"/>
    </row>
    <row r="55" spans="11:31">
      <c r="K55" s="456"/>
      <c r="L55" s="454"/>
      <c r="M55" s="454"/>
      <c r="N55" s="454"/>
      <c r="O55" s="454"/>
      <c r="Y55" s="698"/>
      <c r="Z55" s="698"/>
      <c r="AA55" s="698"/>
      <c r="AB55" s="698"/>
      <c r="AC55" s="698"/>
      <c r="AD55" s="698"/>
      <c r="AE55" s="698"/>
    </row>
    <row r="56" spans="11:31">
      <c r="K56" s="456"/>
      <c r="L56" s="454"/>
      <c r="M56" s="454"/>
      <c r="N56" s="454"/>
      <c r="O56" s="454"/>
      <c r="Y56" s="698"/>
      <c r="Z56" s="698"/>
      <c r="AA56" s="698"/>
      <c r="AB56" s="698"/>
      <c r="AC56" s="698"/>
      <c r="AD56" s="698"/>
      <c r="AE56" s="698"/>
    </row>
    <row r="57" spans="11:31">
      <c r="K57" s="456"/>
      <c r="L57" s="454"/>
      <c r="M57" s="454"/>
      <c r="N57" s="454"/>
      <c r="O57" s="454"/>
      <c r="Y57" s="698"/>
      <c r="Z57" s="698"/>
      <c r="AA57" s="698"/>
      <c r="AB57" s="698"/>
      <c r="AC57" s="698"/>
      <c r="AD57" s="698"/>
      <c r="AE57" s="698"/>
    </row>
    <row r="58" spans="11:31">
      <c r="K58" s="456"/>
      <c r="L58" s="454"/>
      <c r="M58" s="454"/>
      <c r="N58" s="454"/>
      <c r="O58" s="454"/>
      <c r="Y58" s="698"/>
      <c r="Z58" s="698"/>
      <c r="AA58" s="698"/>
      <c r="AB58" s="698"/>
      <c r="AC58" s="698"/>
      <c r="AD58" s="698"/>
      <c r="AE58" s="698"/>
    </row>
    <row r="59" spans="11:31">
      <c r="K59" s="456"/>
      <c r="L59" s="454"/>
      <c r="M59" s="454"/>
      <c r="N59" s="454"/>
      <c r="O59" s="454"/>
      <c r="Y59" s="698"/>
      <c r="Z59" s="698"/>
      <c r="AA59" s="698"/>
      <c r="AB59" s="698"/>
      <c r="AC59" s="698"/>
      <c r="AD59" s="698"/>
      <c r="AE59" s="698"/>
    </row>
    <row r="60" spans="11:31">
      <c r="K60" s="456"/>
      <c r="L60" s="454"/>
      <c r="M60" s="454"/>
      <c r="N60" s="454"/>
      <c r="O60" s="454"/>
      <c r="Y60" s="698"/>
      <c r="Z60" s="698"/>
      <c r="AA60" s="698"/>
      <c r="AB60" s="698"/>
      <c r="AC60" s="698"/>
      <c r="AD60" s="698"/>
      <c r="AE60" s="698"/>
    </row>
    <row r="61" spans="11:31">
      <c r="K61" s="456"/>
      <c r="L61" s="454"/>
      <c r="M61" s="454"/>
      <c r="N61" s="454"/>
      <c r="O61" s="454"/>
      <c r="Y61" s="698"/>
      <c r="Z61" s="698"/>
      <c r="AA61" s="698"/>
      <c r="AB61" s="698"/>
      <c r="AC61" s="698"/>
      <c r="AD61" s="698"/>
      <c r="AE61" s="698"/>
    </row>
    <row r="62" spans="11:31">
      <c r="K62" s="456"/>
      <c r="L62" s="454"/>
      <c r="M62" s="454"/>
      <c r="N62" s="454"/>
      <c r="O62" s="454"/>
      <c r="Y62" s="698"/>
      <c r="Z62" s="698"/>
      <c r="AA62" s="698"/>
      <c r="AB62" s="698"/>
      <c r="AC62" s="698"/>
      <c r="AD62" s="698"/>
      <c r="AE62" s="698"/>
    </row>
    <row r="63" spans="11:31">
      <c r="K63" s="456"/>
      <c r="L63" s="454"/>
      <c r="M63" s="454"/>
      <c r="N63" s="454"/>
      <c r="O63" s="454"/>
      <c r="Y63" s="698"/>
      <c r="Z63" s="698"/>
      <c r="AA63" s="698"/>
      <c r="AB63" s="698"/>
      <c r="AC63" s="698"/>
      <c r="AD63" s="698"/>
      <c r="AE63" s="698"/>
    </row>
    <row r="64" spans="11:31">
      <c r="K64" s="456"/>
      <c r="L64" s="454"/>
      <c r="M64" s="454"/>
      <c r="N64" s="454"/>
      <c r="O64" s="454"/>
      <c r="Y64" s="698"/>
      <c r="Z64" s="698"/>
      <c r="AA64" s="698"/>
      <c r="AB64" s="698"/>
      <c r="AC64" s="698"/>
      <c r="AD64" s="698"/>
      <c r="AE64" s="698"/>
    </row>
    <row r="65" spans="11:31">
      <c r="K65" s="456"/>
      <c r="L65" s="454"/>
      <c r="M65" s="454"/>
      <c r="N65" s="454"/>
      <c r="O65" s="454"/>
      <c r="Y65" s="698"/>
      <c r="Z65" s="698"/>
      <c r="AA65" s="698"/>
      <c r="AB65" s="698"/>
      <c r="AC65" s="698"/>
      <c r="AD65" s="698"/>
      <c r="AE65" s="698"/>
    </row>
    <row r="66" spans="11:31">
      <c r="K66" s="456"/>
      <c r="L66" s="454"/>
      <c r="M66" s="454"/>
      <c r="N66" s="454"/>
      <c r="O66" s="454"/>
      <c r="Y66" s="698"/>
      <c r="Z66" s="698"/>
      <c r="AA66" s="698"/>
      <c r="AB66" s="698"/>
      <c r="AC66" s="698"/>
      <c r="AD66" s="698"/>
      <c r="AE66" s="698"/>
    </row>
    <row r="67" spans="11:31">
      <c r="K67" s="456"/>
      <c r="L67" s="454"/>
      <c r="M67" s="454"/>
      <c r="N67" s="454"/>
      <c r="O67" s="454"/>
      <c r="Y67" s="698"/>
      <c r="Z67" s="698"/>
      <c r="AA67" s="698"/>
      <c r="AB67" s="698"/>
      <c r="AC67" s="698"/>
      <c r="AD67" s="698"/>
      <c r="AE67" s="698"/>
    </row>
    <row r="68" spans="11:31">
      <c r="K68" s="456"/>
      <c r="L68" s="454"/>
      <c r="M68" s="454"/>
      <c r="N68" s="454"/>
      <c r="O68" s="454"/>
      <c r="Y68" s="698"/>
      <c r="Z68" s="698"/>
      <c r="AA68" s="698"/>
      <c r="AB68" s="698"/>
      <c r="AC68" s="698"/>
      <c r="AD68" s="698"/>
      <c r="AE68" s="698"/>
    </row>
    <row r="69" spans="11:31">
      <c r="K69" s="456"/>
      <c r="L69" s="454"/>
      <c r="M69" s="454"/>
      <c r="N69" s="454"/>
      <c r="O69" s="454"/>
      <c r="Y69" s="698"/>
      <c r="Z69" s="698"/>
      <c r="AA69" s="698"/>
      <c r="AB69" s="698"/>
      <c r="AC69" s="698"/>
      <c r="AD69" s="698"/>
      <c r="AE69" s="698"/>
    </row>
    <row r="70" spans="11:31">
      <c r="K70" s="456"/>
      <c r="L70" s="454"/>
      <c r="M70" s="454"/>
      <c r="N70" s="454"/>
      <c r="O70" s="454"/>
      <c r="Y70" s="698"/>
      <c r="Z70" s="698"/>
      <c r="AA70" s="698"/>
      <c r="AB70" s="698"/>
      <c r="AC70" s="698"/>
      <c r="AD70" s="698"/>
      <c r="AE70" s="698"/>
    </row>
    <row r="71" spans="11:31">
      <c r="K71" s="456"/>
      <c r="L71" s="454"/>
      <c r="M71" s="454"/>
      <c r="N71" s="454"/>
      <c r="O71" s="454"/>
      <c r="Y71" s="698"/>
      <c r="Z71" s="698"/>
      <c r="AA71" s="698"/>
      <c r="AB71" s="698"/>
      <c r="AC71" s="698"/>
      <c r="AD71" s="698"/>
      <c r="AE71" s="698"/>
    </row>
    <row r="72" spans="11:31">
      <c r="K72" s="456"/>
      <c r="L72" s="454"/>
      <c r="M72" s="454"/>
      <c r="N72" s="454"/>
      <c r="O72" s="454"/>
      <c r="Y72" s="698"/>
      <c r="Z72" s="698"/>
      <c r="AA72" s="698"/>
      <c r="AB72" s="698"/>
      <c r="AC72" s="698"/>
      <c r="AD72" s="698"/>
      <c r="AE72" s="698"/>
    </row>
    <row r="73" spans="11:31">
      <c r="K73" s="456"/>
      <c r="L73" s="454"/>
      <c r="M73" s="454"/>
      <c r="N73" s="454"/>
      <c r="O73" s="454"/>
      <c r="Y73" s="698"/>
      <c r="Z73" s="698"/>
      <c r="AA73" s="698"/>
      <c r="AB73" s="698"/>
      <c r="AC73" s="698"/>
      <c r="AD73" s="698"/>
      <c r="AE73" s="698"/>
    </row>
    <row r="74" spans="11:31">
      <c r="K74" s="456"/>
      <c r="L74" s="454"/>
      <c r="M74" s="454"/>
      <c r="N74" s="454"/>
      <c r="O74" s="454"/>
      <c r="Y74" s="698"/>
      <c r="Z74" s="698"/>
      <c r="AA74" s="698"/>
      <c r="AB74" s="698"/>
      <c r="AC74" s="698"/>
      <c r="AD74" s="698"/>
      <c r="AE74" s="698"/>
    </row>
    <row r="75" spans="11:31">
      <c r="K75" s="456"/>
      <c r="L75" s="454"/>
      <c r="M75" s="454"/>
      <c r="N75" s="454"/>
      <c r="O75" s="454"/>
      <c r="Y75" s="698"/>
      <c r="Z75" s="698"/>
      <c r="AA75" s="698"/>
      <c r="AB75" s="698"/>
      <c r="AC75" s="698"/>
      <c r="AD75" s="698"/>
      <c r="AE75" s="698"/>
    </row>
    <row r="76" spans="11:31">
      <c r="K76" s="456"/>
      <c r="L76" s="454"/>
      <c r="M76" s="454"/>
      <c r="N76" s="454"/>
      <c r="O76" s="454"/>
      <c r="Y76" s="698"/>
      <c r="Z76" s="698"/>
      <c r="AA76" s="698"/>
      <c r="AB76" s="698"/>
      <c r="AC76" s="698"/>
      <c r="AD76" s="698"/>
      <c r="AE76" s="698"/>
    </row>
    <row r="77" spans="11:31">
      <c r="K77" s="456"/>
      <c r="L77" s="454"/>
      <c r="M77" s="454"/>
      <c r="N77" s="454"/>
      <c r="O77" s="454"/>
      <c r="Y77" s="698"/>
      <c r="Z77" s="698"/>
      <c r="AA77" s="698"/>
      <c r="AB77" s="698"/>
      <c r="AC77" s="698"/>
      <c r="AD77" s="698"/>
      <c r="AE77" s="698"/>
    </row>
    <row r="78" spans="11:31">
      <c r="K78" s="456"/>
      <c r="L78" s="454"/>
      <c r="M78" s="454"/>
      <c r="N78" s="454"/>
      <c r="O78" s="454"/>
      <c r="Y78" s="698"/>
      <c r="Z78" s="698"/>
      <c r="AA78" s="698"/>
      <c r="AB78" s="698"/>
      <c r="AC78" s="698"/>
      <c r="AD78" s="698"/>
      <c r="AE78" s="698"/>
    </row>
    <row r="79" spans="11:31">
      <c r="K79" s="456"/>
      <c r="L79" s="454"/>
      <c r="M79" s="454"/>
      <c r="N79" s="454"/>
      <c r="O79" s="454"/>
      <c r="Y79" s="698"/>
      <c r="Z79" s="698"/>
      <c r="AA79" s="698"/>
      <c r="AB79" s="698"/>
      <c r="AC79" s="698"/>
      <c r="AD79" s="698"/>
      <c r="AE79" s="698"/>
    </row>
    <row r="80" spans="11:31">
      <c r="K80" s="456"/>
      <c r="L80" s="454"/>
      <c r="M80" s="454"/>
      <c r="N80" s="454"/>
      <c r="O80" s="454"/>
      <c r="Y80" s="698"/>
      <c r="Z80" s="698"/>
      <c r="AA80" s="698"/>
      <c r="AB80" s="698"/>
      <c r="AC80" s="698"/>
      <c r="AD80" s="698"/>
      <c r="AE80" s="698"/>
    </row>
    <row r="81" spans="11:31">
      <c r="K81" s="456"/>
      <c r="L81" s="454"/>
      <c r="M81" s="454"/>
      <c r="N81" s="454"/>
      <c r="O81" s="454"/>
      <c r="Y81" s="698"/>
      <c r="Z81" s="698"/>
      <c r="AA81" s="698"/>
      <c r="AB81" s="698"/>
      <c r="AC81" s="698"/>
      <c r="AD81" s="698"/>
      <c r="AE81" s="698"/>
    </row>
    <row r="82" spans="11:31">
      <c r="K82" s="456"/>
      <c r="L82" s="454"/>
      <c r="M82" s="454"/>
      <c r="N82" s="454"/>
      <c r="O82" s="454"/>
      <c r="Y82" s="698"/>
      <c r="Z82" s="698"/>
      <c r="AA82" s="698"/>
      <c r="AB82" s="698"/>
      <c r="AC82" s="698"/>
      <c r="AD82" s="698"/>
      <c r="AE82" s="698"/>
    </row>
    <row r="83" spans="11:31">
      <c r="K83" s="456"/>
      <c r="L83" s="454"/>
      <c r="M83" s="454"/>
      <c r="N83" s="454"/>
      <c r="O83" s="454"/>
      <c r="Y83" s="698"/>
      <c r="Z83" s="698"/>
      <c r="AA83" s="698"/>
      <c r="AB83" s="698"/>
      <c r="AC83" s="698"/>
      <c r="AD83" s="698"/>
      <c r="AE83" s="698"/>
    </row>
    <row r="84" spans="11:31">
      <c r="K84" s="456"/>
      <c r="L84" s="454"/>
      <c r="M84" s="454"/>
      <c r="N84" s="454"/>
      <c r="O84" s="454"/>
      <c r="Y84" s="698"/>
      <c r="Z84" s="698"/>
      <c r="AA84" s="698"/>
      <c r="AB84" s="698"/>
      <c r="AC84" s="698"/>
      <c r="AD84" s="698"/>
      <c r="AE84" s="698"/>
    </row>
    <row r="85" spans="11:31">
      <c r="K85" s="456"/>
      <c r="L85" s="454"/>
      <c r="M85" s="454"/>
      <c r="N85" s="454"/>
      <c r="O85" s="454"/>
      <c r="Y85" s="698"/>
      <c r="Z85" s="698"/>
      <c r="AA85" s="698"/>
      <c r="AB85" s="698"/>
      <c r="AC85" s="698"/>
      <c r="AD85" s="698"/>
      <c r="AE85" s="698"/>
    </row>
    <row r="86" spans="11:31">
      <c r="K86" s="456"/>
      <c r="L86" s="454"/>
      <c r="M86" s="454"/>
      <c r="N86" s="454"/>
      <c r="O86" s="454"/>
      <c r="Y86" s="698"/>
      <c r="Z86" s="698"/>
      <c r="AA86" s="698"/>
      <c r="AB86" s="698"/>
      <c r="AC86" s="698"/>
      <c r="AD86" s="698"/>
      <c r="AE86" s="698"/>
    </row>
    <row r="87" spans="11:31">
      <c r="K87" s="456"/>
      <c r="L87" s="454"/>
      <c r="M87" s="454"/>
      <c r="N87" s="454"/>
      <c r="O87" s="454"/>
      <c r="Y87" s="698"/>
      <c r="Z87" s="698"/>
      <c r="AA87" s="698"/>
      <c r="AB87" s="698"/>
      <c r="AC87" s="698"/>
      <c r="AD87" s="698"/>
      <c r="AE87" s="698"/>
    </row>
    <row r="88" spans="11:31">
      <c r="K88" s="456"/>
      <c r="L88" s="454"/>
      <c r="M88" s="454"/>
      <c r="N88" s="454"/>
      <c r="O88" s="454"/>
      <c r="Y88" s="698"/>
      <c r="Z88" s="698"/>
      <c r="AA88" s="698"/>
      <c r="AB88" s="698"/>
      <c r="AC88" s="698"/>
      <c r="AD88" s="698"/>
      <c r="AE88" s="698"/>
    </row>
    <row r="89" spans="11:31">
      <c r="K89" s="456"/>
      <c r="L89" s="454"/>
      <c r="M89" s="454"/>
      <c r="N89" s="454"/>
      <c r="O89" s="454"/>
      <c r="Y89" s="698"/>
      <c r="Z89" s="698"/>
      <c r="AA89" s="698"/>
      <c r="AB89" s="698"/>
      <c r="AC89" s="698"/>
      <c r="AD89" s="698"/>
      <c r="AE89" s="698"/>
    </row>
    <row r="90" spans="11:31">
      <c r="K90" s="456"/>
      <c r="L90" s="454"/>
      <c r="M90" s="454"/>
      <c r="N90" s="454"/>
      <c r="O90" s="454"/>
      <c r="Y90" s="698"/>
      <c r="Z90" s="698"/>
      <c r="AA90" s="698"/>
      <c r="AB90" s="698"/>
      <c r="AC90" s="698"/>
      <c r="AD90" s="698"/>
      <c r="AE90" s="698"/>
    </row>
    <row r="91" spans="11:31">
      <c r="K91" s="456"/>
      <c r="L91" s="454"/>
      <c r="M91" s="454"/>
      <c r="N91" s="454"/>
      <c r="O91" s="454"/>
      <c r="Y91" s="698"/>
      <c r="Z91" s="698"/>
      <c r="AA91" s="698"/>
      <c r="AB91" s="698"/>
      <c r="AC91" s="698"/>
      <c r="AD91" s="698"/>
      <c r="AE91" s="698"/>
    </row>
    <row r="92" spans="11:31">
      <c r="K92" s="456"/>
      <c r="L92" s="454"/>
      <c r="M92" s="454"/>
      <c r="N92" s="454"/>
      <c r="O92" s="454"/>
      <c r="Y92" s="698"/>
      <c r="Z92" s="698"/>
      <c r="AA92" s="698"/>
      <c r="AB92" s="698"/>
      <c r="AC92" s="698"/>
      <c r="AD92" s="698"/>
      <c r="AE92" s="698"/>
    </row>
    <row r="93" spans="11:31">
      <c r="K93" s="456"/>
      <c r="L93" s="454"/>
      <c r="M93" s="454"/>
      <c r="N93" s="454"/>
      <c r="O93" s="454"/>
      <c r="Y93" s="698"/>
      <c r="Z93" s="698"/>
      <c r="AA93" s="698"/>
      <c r="AB93" s="698"/>
      <c r="AC93" s="698"/>
      <c r="AD93" s="698"/>
      <c r="AE93" s="698"/>
    </row>
    <row r="94" spans="11:31">
      <c r="K94" s="456"/>
      <c r="L94" s="454"/>
      <c r="M94" s="454"/>
      <c r="N94" s="454"/>
      <c r="O94" s="454"/>
      <c r="Y94" s="698"/>
      <c r="Z94" s="698"/>
      <c r="AA94" s="698"/>
      <c r="AB94" s="698"/>
      <c r="AC94" s="698"/>
      <c r="AD94" s="698"/>
      <c r="AE94" s="698"/>
    </row>
    <row r="95" spans="11:31">
      <c r="K95" s="456"/>
      <c r="L95" s="454"/>
      <c r="M95" s="454"/>
      <c r="N95" s="454"/>
      <c r="O95" s="454"/>
      <c r="Y95" s="698"/>
      <c r="Z95" s="698"/>
      <c r="AA95" s="698"/>
      <c r="AB95" s="698"/>
      <c r="AC95" s="698"/>
      <c r="AD95" s="698"/>
      <c r="AE95" s="698"/>
    </row>
  </sheetData>
  <mergeCells count="12">
    <mergeCell ref="A1:X1"/>
    <mergeCell ref="A3:A4"/>
    <mergeCell ref="B3:C3"/>
    <mergeCell ref="E3:I3"/>
    <mergeCell ref="K3:O3"/>
    <mergeCell ref="Q3:Q4"/>
    <mergeCell ref="S3:X3"/>
    <mergeCell ref="AA3:AD3"/>
    <mergeCell ref="A5:A12"/>
    <mergeCell ref="A14:A24"/>
    <mergeCell ref="A26:A34"/>
    <mergeCell ref="A36:A43"/>
  </mergeCells>
  <phoneticPr fontId="2" type="noConversion"/>
  <pageMargins left="0.55000000000000004" right="0.47244094488188981" top="0.46" bottom="0.44" header="0.31496062992125984" footer="0.31496062992125984"/>
  <pageSetup paperSize="9" scale="67" orientation="landscape" r:id="rId1"/>
  <colBreaks count="1" manualBreakCount="1">
    <brk id="2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60"/>
  <sheetViews>
    <sheetView view="pageBreakPreview" topLeftCell="A16" zoomScale="85" zoomScaleSheetLayoutView="85" workbookViewId="0">
      <selection activeCell="C8" sqref="C8:K8"/>
    </sheetView>
  </sheetViews>
  <sheetFormatPr defaultRowHeight="16.5"/>
  <cols>
    <col min="1" max="1" width="9.625" style="771" customWidth="1"/>
    <col min="2" max="10" width="9.625" style="698" customWidth="1"/>
    <col min="11" max="11" width="2.125" style="698" customWidth="1"/>
    <col min="12" max="12" width="1.75" style="698" customWidth="1"/>
    <col min="13" max="13" width="18.25" style="863" customWidth="1"/>
    <col min="14" max="14" width="16.125" style="864" customWidth="1"/>
    <col min="15" max="15" width="16.125" style="698" customWidth="1"/>
    <col min="16" max="16" width="8.5" style="865" customWidth="1"/>
    <col min="17" max="17" width="15.75" style="698" customWidth="1"/>
    <col min="18" max="18" width="12.25" style="698" bestFit="1" customWidth="1"/>
    <col min="19" max="19" width="10.5" style="698" bestFit="1" customWidth="1"/>
    <col min="20" max="20" width="16.75" style="698" bestFit="1" customWidth="1"/>
    <col min="21" max="21" width="17.125" style="698" bestFit="1" customWidth="1"/>
    <col min="22" max="22" width="10.25" style="698" customWidth="1"/>
    <col min="23" max="23" width="9.25" style="698" bestFit="1" customWidth="1"/>
    <col min="24" max="24" width="9" style="698" customWidth="1"/>
    <col min="25" max="25" width="3.125" style="698" customWidth="1"/>
    <col min="26" max="26" width="7" style="698" bestFit="1" customWidth="1"/>
    <col min="27" max="27" width="7.625" style="698" bestFit="1" customWidth="1"/>
    <col min="28" max="28" width="10.125" style="698" bestFit="1" customWidth="1"/>
    <col min="29" max="29" width="10.25" style="698" bestFit="1" customWidth="1"/>
    <col min="30" max="30" width="19.75" style="698" customWidth="1"/>
    <col min="31" max="31" width="11.75" style="698" bestFit="1" customWidth="1"/>
    <col min="32" max="32" width="9.875" style="698" bestFit="1" customWidth="1"/>
    <col min="33" max="33" width="10.875" style="698" bestFit="1" customWidth="1"/>
    <col min="34" max="34" width="6.375" style="698" bestFit="1" customWidth="1"/>
    <col min="35" max="35" width="10.875" style="698" bestFit="1" customWidth="1"/>
    <col min="36" max="36" width="10.875" style="698" customWidth="1"/>
    <col min="37" max="37" width="9.25" style="698" customWidth="1"/>
    <col min="38" max="38" width="9.625" style="698" bestFit="1" customWidth="1"/>
    <col min="39" max="39" width="9.625" style="698" customWidth="1"/>
    <col min="40" max="41" width="9.25" style="698" customWidth="1"/>
    <col min="42" max="44" width="9" style="698"/>
    <col min="45" max="45" width="9.75" style="698" bestFit="1" customWidth="1"/>
    <col min="46" max="46" width="9" style="698"/>
    <col min="47" max="47" width="15.125" style="698" customWidth="1"/>
    <col min="48" max="16384" width="9" style="698"/>
  </cols>
  <sheetData>
    <row r="1" spans="1:31" ht="46.5" customHeight="1">
      <c r="A1" s="1767" t="s">
        <v>1083</v>
      </c>
      <c r="B1" s="1768"/>
      <c r="C1" s="1768"/>
      <c r="D1" s="1768"/>
      <c r="E1" s="1768"/>
      <c r="F1" s="1768"/>
      <c r="G1" s="1768"/>
      <c r="H1" s="1768"/>
      <c r="I1" s="1768"/>
      <c r="J1" s="1768"/>
    </row>
    <row r="2" spans="1:31" ht="21" customHeight="1">
      <c r="A2" s="1769" t="s">
        <v>1085</v>
      </c>
      <c r="B2" s="1769"/>
      <c r="C2" s="1770" t="s">
        <v>912</v>
      </c>
      <c r="D2" s="1770"/>
      <c r="E2" s="1771" t="s">
        <v>913</v>
      </c>
      <c r="F2" s="1771"/>
      <c r="G2" s="1770" t="s">
        <v>914</v>
      </c>
      <c r="H2" s="1770"/>
      <c r="I2" s="1772" t="s">
        <v>915</v>
      </c>
      <c r="J2" s="1773"/>
      <c r="M2" s="504" t="s">
        <v>1086</v>
      </c>
    </row>
    <row r="3" spans="1:31" ht="21" customHeight="1" thickBot="1">
      <c r="A3" s="1700" t="s">
        <v>1087</v>
      </c>
      <c r="B3" s="866" t="s">
        <v>916</v>
      </c>
      <c r="C3" s="1747">
        <v>500000</v>
      </c>
      <c r="D3" s="1748"/>
      <c r="E3" s="1748"/>
      <c r="F3" s="1748"/>
      <c r="G3" s="1748"/>
      <c r="H3" s="1748"/>
      <c r="I3" s="1748"/>
      <c r="J3" s="1749"/>
      <c r="L3" s="707"/>
      <c r="M3" s="867" t="s">
        <v>1088</v>
      </c>
      <c r="N3" s="867" t="s">
        <v>1089</v>
      </c>
      <c r="O3" s="867" t="s">
        <v>476</v>
      </c>
      <c r="P3" s="868" t="s">
        <v>1090</v>
      </c>
      <c r="Q3" s="867" t="s">
        <v>477</v>
      </c>
      <c r="R3" s="867" t="s">
        <v>1091</v>
      </c>
      <c r="S3" s="867" t="s">
        <v>1092</v>
      </c>
      <c r="T3" s="867" t="s">
        <v>1093</v>
      </c>
      <c r="U3" s="867" t="s">
        <v>1094</v>
      </c>
    </row>
    <row r="4" spans="1:31" ht="21" customHeight="1" thickTop="1">
      <c r="A4" s="1700"/>
      <c r="B4" s="866" t="s">
        <v>917</v>
      </c>
      <c r="C4" s="1704" t="s">
        <v>1095</v>
      </c>
      <c r="D4" s="1705"/>
      <c r="E4" s="1705"/>
      <c r="F4" s="1705"/>
      <c r="G4" s="1705"/>
      <c r="H4" s="1705"/>
      <c r="I4" s="1705"/>
      <c r="J4" s="1706"/>
      <c r="M4" s="869">
        <f>'6-1.기초DATA 입력'!C9</f>
        <v>105550</v>
      </c>
      <c r="N4" s="870">
        <f>AD18</f>
        <v>353686000</v>
      </c>
      <c r="O4" s="871">
        <f ca="1">Q4*T4/100*U4</f>
        <v>166044715.89999998</v>
      </c>
      <c r="P4" s="872">
        <f ca="1">N4/O4</f>
        <v>2.1300647725098734</v>
      </c>
      <c r="Q4" s="873">
        <f>M4*IF(단지유형=1,$R$18,$S$18)</f>
        <v>3789245000</v>
      </c>
      <c r="R4" s="874">
        <f ca="1">ROUND(IF($Q$4&gt;=$M$8,IF($Q$4&lt;$M$24,FORECAST($Q$4,OFFSET($M$7,MATCH($Q$4,$M$8:$M$24,1),1,2,1),OFFSET($M$7,MATCH($Q$4,$M$8:$M$19,1),0,2,1)),2.75*$Q$4^(-0.0265)-0.006822),$N$8),2)</f>
        <v>1.56</v>
      </c>
      <c r="S4" s="875">
        <f ca="1">ROUND(IF($Q$4&gt;=$M$8,IF($Q$4&lt;$M$24,FORECAST($Q$4,OFFSET($M$7,MATCH($Q$4,$M$8:$M$24,1),2,2,1),OFFSET($M$7,MATCH($Q$4,$M$8:$M$19,1),0,2,1)),5*$Q$4^(-0.0229)),$O$8),2)</f>
        <v>3.13</v>
      </c>
      <c r="T4" s="875">
        <f ca="1">S4*1.4</f>
        <v>4.3819999999999997</v>
      </c>
      <c r="U4" s="875">
        <f ca="1">ROUND(IF($M$4&gt;$Q$8,IF($M$4&gt;$Q$14,$R$14,FORECAST($M$4,OFFSET($Q$7,MATCH($M$4,Q8:Q14,1),1,2,1),OFFSET($Q$7,MATCH($M$4,Q8:Q14,1),0,2,1))),$R$8),2)</f>
        <v>1</v>
      </c>
    </row>
    <row r="5" spans="1:31" ht="21" customHeight="1">
      <c r="A5" s="1700"/>
      <c r="B5" s="866" t="s">
        <v>918</v>
      </c>
      <c r="C5" s="1722">
        <f>'6-1.기초DATA 입력'!$C$9/C3</f>
        <v>0.21110000000000001</v>
      </c>
      <c r="D5" s="1722"/>
      <c r="E5" s="1722">
        <f>'6-1.기초DATA 입력'!$C$9/C3</f>
        <v>0.21110000000000001</v>
      </c>
      <c r="F5" s="1690"/>
      <c r="G5" s="1758" t="s">
        <v>1096</v>
      </c>
      <c r="H5" s="1775"/>
      <c r="I5" s="1775"/>
      <c r="J5" s="1776"/>
      <c r="M5" s="876"/>
      <c r="O5" s="877"/>
      <c r="P5" s="878"/>
      <c r="Q5" s="864"/>
      <c r="R5" s="879"/>
      <c r="S5" s="718"/>
      <c r="T5" s="718"/>
    </row>
    <row r="6" spans="1:31" ht="21" customHeight="1">
      <c r="A6" s="1700"/>
      <c r="B6" s="866" t="s">
        <v>1097</v>
      </c>
      <c r="C6" s="1722">
        <f>0.7-(0.01*C5)</f>
        <v>0.69788899999999998</v>
      </c>
      <c r="D6" s="1722"/>
      <c r="E6" s="1722">
        <f>0.8-(0.01*E5)</f>
        <v>0.79788900000000007</v>
      </c>
      <c r="F6" s="1690"/>
      <c r="G6" s="1777"/>
      <c r="H6" s="1778"/>
      <c r="I6" s="1778"/>
      <c r="J6" s="1779"/>
      <c r="M6" s="504" t="s">
        <v>475</v>
      </c>
      <c r="N6" s="698"/>
      <c r="P6" s="698"/>
      <c r="Q6" s="504" t="s">
        <v>1098</v>
      </c>
    </row>
    <row r="7" spans="1:31" ht="21" customHeight="1" thickBot="1">
      <c r="A7" s="1700"/>
      <c r="B7" s="866" t="s">
        <v>1099</v>
      </c>
      <c r="C7" s="1722">
        <f>IF(C5&gt;1,1+C6*(C5-1),IF(C5&gt;=0,C5))</f>
        <v>0.21110000000000001</v>
      </c>
      <c r="D7" s="1722"/>
      <c r="E7" s="1722">
        <f>IF(E5&gt;1,1+E6*(E5-1),IF(E5&gt;=0,E5))</f>
        <v>0.21110000000000001</v>
      </c>
      <c r="F7" s="1690"/>
      <c r="G7" s="1780"/>
      <c r="H7" s="1781"/>
      <c r="I7" s="1781"/>
      <c r="J7" s="1782"/>
      <c r="M7" s="880" t="s">
        <v>478</v>
      </c>
      <c r="N7" s="881" t="s">
        <v>479</v>
      </c>
      <c r="O7" s="882" t="s">
        <v>480</v>
      </c>
      <c r="P7" s="698"/>
      <c r="Q7" s="880" t="s">
        <v>1100</v>
      </c>
      <c r="R7" s="880" t="s">
        <v>1101</v>
      </c>
      <c r="S7" s="880" t="s">
        <v>1102</v>
      </c>
      <c r="V7" s="504" t="s">
        <v>1103</v>
      </c>
    </row>
    <row r="8" spans="1:31" ht="21" customHeight="1" thickTop="1">
      <c r="A8" s="1700" t="s">
        <v>1104</v>
      </c>
      <c r="B8" s="866" t="s">
        <v>916</v>
      </c>
      <c r="C8" s="1747">
        <v>500000</v>
      </c>
      <c r="D8" s="1748"/>
      <c r="E8" s="1748"/>
      <c r="F8" s="1748"/>
      <c r="G8" s="1748"/>
      <c r="H8" s="1748"/>
      <c r="I8" s="1748"/>
      <c r="J8" s="1749"/>
      <c r="M8" s="883">
        <v>50000000</v>
      </c>
      <c r="N8" s="884">
        <v>3.24</v>
      </c>
      <c r="O8" s="884">
        <v>6.49</v>
      </c>
      <c r="P8" s="698"/>
      <c r="Q8" s="885">
        <v>600000</v>
      </c>
      <c r="R8" s="886">
        <v>1</v>
      </c>
      <c r="S8" s="886"/>
      <c r="V8" s="1774" t="s">
        <v>1084</v>
      </c>
      <c r="W8" s="1774"/>
      <c r="X8" s="1774"/>
      <c r="Y8" s="1774"/>
      <c r="Z8" s="1774"/>
      <c r="AA8" s="887" t="s">
        <v>1105</v>
      </c>
      <c r="AB8" s="887" t="s">
        <v>1106</v>
      </c>
      <c r="AC8" s="887" t="s">
        <v>1107</v>
      </c>
      <c r="AD8" s="1774" t="s">
        <v>1108</v>
      </c>
      <c r="AE8" s="1774"/>
    </row>
    <row r="9" spans="1:31" ht="21" customHeight="1">
      <c r="A9" s="1700"/>
      <c r="B9" s="866" t="s">
        <v>917</v>
      </c>
      <c r="C9" s="1704" t="s">
        <v>1109</v>
      </c>
      <c r="D9" s="1705"/>
      <c r="E9" s="1705"/>
      <c r="F9" s="1705"/>
      <c r="G9" s="1705"/>
      <c r="H9" s="1705"/>
      <c r="I9" s="1705"/>
      <c r="J9" s="1706"/>
      <c r="M9" s="883">
        <v>100000000</v>
      </c>
      <c r="N9" s="888">
        <v>3.04</v>
      </c>
      <c r="O9" s="888">
        <v>6.07</v>
      </c>
      <c r="P9" s="698"/>
      <c r="Q9" s="885">
        <v>1000000</v>
      </c>
      <c r="R9" s="886">
        <v>0.95</v>
      </c>
      <c r="S9" s="886"/>
      <c r="V9" s="889" t="s">
        <v>1110</v>
      </c>
      <c r="W9" s="890" t="s">
        <v>1111</v>
      </c>
      <c r="X9" s="891"/>
      <c r="Y9" s="891"/>
      <c r="Z9" s="781"/>
      <c r="AA9" s="755"/>
      <c r="AB9" s="892"/>
      <c r="AC9" s="893"/>
      <c r="AD9" s="776">
        <f>SUM(AD10:AD14)</f>
        <v>136518251</v>
      </c>
      <c r="AE9" s="776"/>
    </row>
    <row r="10" spans="1:31" ht="21" customHeight="1">
      <c r="A10" s="1700"/>
      <c r="B10" s="866" t="s">
        <v>918</v>
      </c>
      <c r="C10" s="1758" t="s">
        <v>1112</v>
      </c>
      <c r="D10" s="1759"/>
      <c r="E10" s="1759"/>
      <c r="F10" s="1760"/>
      <c r="G10" s="1722">
        <f>'6-1.기초DATA 입력'!$C$10/C8</f>
        <v>0.21110000000000001</v>
      </c>
      <c r="H10" s="1722"/>
      <c r="I10" s="1690">
        <f>'6-1.기초DATA 입력'!$C$10/C8</f>
        <v>0.21110000000000001</v>
      </c>
      <c r="J10" s="1691"/>
      <c r="M10" s="883">
        <v>200000000</v>
      </c>
      <c r="N10" s="888">
        <v>2.42</v>
      </c>
      <c r="O10" s="888">
        <v>4.8499999999999996</v>
      </c>
      <c r="P10" s="698"/>
      <c r="Q10" s="885">
        <v>2000000</v>
      </c>
      <c r="R10" s="886">
        <v>0.82</v>
      </c>
      <c r="S10" s="886"/>
      <c r="V10" s="894"/>
      <c r="W10" s="895" t="s">
        <v>1113</v>
      </c>
      <c r="X10" s="896"/>
      <c r="Y10" s="896"/>
      <c r="Z10" s="897"/>
      <c r="AA10" s="774" t="s">
        <v>461</v>
      </c>
      <c r="AB10" s="898">
        <f>'6-3.기본및실시설계투입인원'!S45</f>
        <v>92.3</v>
      </c>
      <c r="AC10" s="779">
        <f>기술사단가</f>
        <v>325327.32320500002</v>
      </c>
      <c r="AD10" s="776">
        <f>TRUNC(AB10*AC10,0)</f>
        <v>30027711</v>
      </c>
      <c r="AE10" s="776"/>
    </row>
    <row r="11" spans="1:31" ht="21" customHeight="1">
      <c r="A11" s="1700"/>
      <c r="B11" s="866" t="s">
        <v>1097</v>
      </c>
      <c r="C11" s="1761"/>
      <c r="D11" s="1762"/>
      <c r="E11" s="1762"/>
      <c r="F11" s="1763"/>
      <c r="G11" s="1690">
        <f>0.8-(0.01*G10)</f>
        <v>0.79788900000000007</v>
      </c>
      <c r="H11" s="1691"/>
      <c r="I11" s="1690">
        <f>0.7-(0.01*I10)</f>
        <v>0.69788899999999998</v>
      </c>
      <c r="J11" s="1691"/>
      <c r="M11" s="883">
        <v>300000000</v>
      </c>
      <c r="N11" s="888">
        <v>2.2200000000000002</v>
      </c>
      <c r="O11" s="888">
        <v>4.43</v>
      </c>
      <c r="P11" s="698"/>
      <c r="Q11" s="885">
        <v>3000000</v>
      </c>
      <c r="R11" s="886">
        <v>0.76</v>
      </c>
      <c r="S11" s="886"/>
      <c r="V11" s="894"/>
      <c r="W11" s="895" t="s">
        <v>1114</v>
      </c>
      <c r="X11" s="896"/>
      <c r="Y11" s="896"/>
      <c r="Z11" s="897"/>
      <c r="AA11" s="774" t="s">
        <v>902</v>
      </c>
      <c r="AB11" s="898">
        <f>'6-3.기본및실시설계투입인원'!T45</f>
        <v>137.9</v>
      </c>
      <c r="AC11" s="780">
        <f>특급단가</f>
        <v>238578.78030000001</v>
      </c>
      <c r="AD11" s="776">
        <f>TRUNC(AB11*AC11,0)</f>
        <v>32900013</v>
      </c>
      <c r="AE11" s="776"/>
    </row>
    <row r="12" spans="1:31" ht="21" customHeight="1">
      <c r="A12" s="1700"/>
      <c r="B12" s="866" t="s">
        <v>1099</v>
      </c>
      <c r="C12" s="1764"/>
      <c r="D12" s="1765"/>
      <c r="E12" s="1765"/>
      <c r="F12" s="1766"/>
      <c r="G12" s="1722">
        <f>IF(G10&gt;1,1+G11*(G10-1),IF(G10&gt;=0,G10))</f>
        <v>0.21110000000000001</v>
      </c>
      <c r="H12" s="1722"/>
      <c r="I12" s="1690">
        <f>IF(I10&gt;1,1+I11*(I10-1),IF(I10&gt;=0,I10))</f>
        <v>0.21110000000000001</v>
      </c>
      <c r="J12" s="1691"/>
      <c r="M12" s="883">
        <v>500000000</v>
      </c>
      <c r="N12" s="899">
        <v>2.0099999999999998</v>
      </c>
      <c r="O12" s="899">
        <v>4.03</v>
      </c>
      <c r="P12" s="698"/>
      <c r="Q12" s="885">
        <v>5000000</v>
      </c>
      <c r="R12" s="886">
        <v>0.69</v>
      </c>
      <c r="S12" s="886"/>
      <c r="V12" s="894"/>
      <c r="W12" s="895" t="s">
        <v>904</v>
      </c>
      <c r="X12" s="896"/>
      <c r="Y12" s="896"/>
      <c r="Z12" s="897"/>
      <c r="AA12" s="774" t="s">
        <v>461</v>
      </c>
      <c r="AB12" s="898">
        <f>'6-3.기본및실시설계투입인원'!U45</f>
        <v>176.5</v>
      </c>
      <c r="AC12" s="780">
        <f>고급단가</f>
        <v>199505.89618100002</v>
      </c>
      <c r="AD12" s="776">
        <f>TRUNC(AB12*AC12,0)</f>
        <v>35212790</v>
      </c>
      <c r="AE12" s="776"/>
    </row>
    <row r="13" spans="1:31" ht="21" customHeight="1">
      <c r="A13" s="1700" t="s">
        <v>921</v>
      </c>
      <c r="B13" s="866" t="s">
        <v>916</v>
      </c>
      <c r="C13" s="1743">
        <v>1</v>
      </c>
      <c r="D13" s="1744"/>
      <c r="E13" s="1744"/>
      <c r="F13" s="1744"/>
      <c r="G13" s="1744"/>
      <c r="H13" s="1744"/>
      <c r="I13" s="1744"/>
      <c r="J13" s="1745"/>
      <c r="M13" s="900">
        <v>1000000000</v>
      </c>
      <c r="N13" s="901">
        <v>1.77</v>
      </c>
      <c r="O13" s="902">
        <v>3.55</v>
      </c>
      <c r="P13" s="698"/>
      <c r="Q13" s="885">
        <v>10000000</v>
      </c>
      <c r="R13" s="886">
        <v>0.65</v>
      </c>
      <c r="S13" s="886"/>
      <c r="V13" s="894"/>
      <c r="W13" s="895" t="s">
        <v>1115</v>
      </c>
      <c r="X13" s="896"/>
      <c r="Y13" s="896"/>
      <c r="Z13" s="897"/>
      <c r="AA13" s="774" t="s">
        <v>461</v>
      </c>
      <c r="AB13" s="898">
        <f>'6-3.기본및실시설계투입인원'!V45</f>
        <v>157.29999999999998</v>
      </c>
      <c r="AC13" s="780">
        <f>중급단가</f>
        <v>173018.78261300002</v>
      </c>
      <c r="AD13" s="776">
        <f>TRUNC(AB13*AC13,0)</f>
        <v>27215854</v>
      </c>
      <c r="AE13" s="776"/>
    </row>
    <row r="14" spans="1:31" ht="21" customHeight="1">
      <c r="A14" s="1700"/>
      <c r="B14" s="866" t="s">
        <v>917</v>
      </c>
      <c r="C14" s="1704" t="s">
        <v>1116</v>
      </c>
      <c r="D14" s="1705"/>
      <c r="E14" s="1705"/>
      <c r="F14" s="1705"/>
      <c r="G14" s="1705"/>
      <c r="H14" s="1705"/>
      <c r="I14" s="1705"/>
      <c r="J14" s="1706"/>
      <c r="M14" s="903">
        <v>2000000000</v>
      </c>
      <c r="N14" s="904">
        <v>1.63</v>
      </c>
      <c r="O14" s="888">
        <v>3.27</v>
      </c>
      <c r="P14" s="698"/>
      <c r="Q14" s="885">
        <v>20000000</v>
      </c>
      <c r="R14" s="886">
        <v>0.63</v>
      </c>
      <c r="S14" s="886"/>
      <c r="V14" s="894"/>
      <c r="W14" s="895" t="s">
        <v>905</v>
      </c>
      <c r="X14" s="896"/>
      <c r="Y14" s="896"/>
      <c r="Z14" s="897"/>
      <c r="AA14" s="774" t="s">
        <v>461</v>
      </c>
      <c r="AB14" s="778">
        <f>'6-3.기본및실시설계투입인원'!W45</f>
        <v>83</v>
      </c>
      <c r="AC14" s="780">
        <f>초급단가</f>
        <v>134480.52881399999</v>
      </c>
      <c r="AD14" s="776">
        <f>TRUNC(AB14*AC14,0)</f>
        <v>11161883</v>
      </c>
      <c r="AE14" s="776"/>
    </row>
    <row r="15" spans="1:31" ht="21" customHeight="1">
      <c r="A15" s="1700"/>
      <c r="B15" s="866" t="s">
        <v>918</v>
      </c>
      <c r="C15" s="1690">
        <f>'6-1.기초DATA 입력'!C9/1000000</f>
        <v>0.10555</v>
      </c>
      <c r="D15" s="1746"/>
      <c r="E15" s="1746"/>
      <c r="F15" s="1746"/>
      <c r="G15" s="1746"/>
      <c r="H15" s="1746"/>
      <c r="I15" s="1746"/>
      <c r="J15" s="1691"/>
      <c r="M15" s="903">
        <v>3000000000</v>
      </c>
      <c r="N15" s="904">
        <v>1.57</v>
      </c>
      <c r="O15" s="888">
        <v>3.15</v>
      </c>
      <c r="P15" s="698"/>
      <c r="V15" s="905"/>
      <c r="W15" s="890" t="s">
        <v>1117</v>
      </c>
      <c r="X15" s="891"/>
      <c r="Y15" s="891"/>
      <c r="Z15" s="781"/>
      <c r="AA15" s="755"/>
      <c r="AB15" s="892"/>
      <c r="AC15" s="893"/>
      <c r="AD15" s="906">
        <f>'6.(기본및실시)예산내역서'!H12</f>
        <v>9660149.3293500002</v>
      </c>
      <c r="AE15" s="906"/>
    </row>
    <row r="16" spans="1:31" ht="21" customHeight="1">
      <c r="A16" s="1700"/>
      <c r="B16" s="866" t="s">
        <v>1099</v>
      </c>
      <c r="C16" s="1690">
        <f>IF(C15&gt;1, 1+(C15-1)*0.05,IF(C15&gt;0,1,0))</f>
        <v>1</v>
      </c>
      <c r="D16" s="1746"/>
      <c r="E16" s="1746"/>
      <c r="F16" s="1746"/>
      <c r="G16" s="1746"/>
      <c r="H16" s="1746"/>
      <c r="I16" s="1746"/>
      <c r="J16" s="1691"/>
      <c r="M16" s="907">
        <v>5000000000</v>
      </c>
      <c r="N16" s="908">
        <v>1.54</v>
      </c>
      <c r="O16" s="899">
        <v>3.09</v>
      </c>
      <c r="P16" s="698"/>
      <c r="Q16" s="504" t="s">
        <v>901</v>
      </c>
      <c r="S16" s="772" t="s">
        <v>1118</v>
      </c>
      <c r="V16" s="889" t="s">
        <v>906</v>
      </c>
      <c r="W16" s="895" t="s">
        <v>1119</v>
      </c>
      <c r="X16" s="896"/>
      <c r="Y16" s="896"/>
      <c r="Z16" s="897"/>
      <c r="AA16" s="755"/>
      <c r="AB16" s="892"/>
      <c r="AC16" s="893"/>
      <c r="AD16" s="776">
        <f>AD9*1.1</f>
        <v>150170076.10000002</v>
      </c>
      <c r="AE16" s="776"/>
    </row>
    <row r="17" spans="1:46" ht="21" customHeight="1" thickBot="1">
      <c r="A17" s="1700" t="s">
        <v>1120</v>
      </c>
      <c r="B17" s="866" t="s">
        <v>916</v>
      </c>
      <c r="C17" s="1747">
        <v>10000</v>
      </c>
      <c r="D17" s="1748"/>
      <c r="E17" s="1748"/>
      <c r="F17" s="1748"/>
      <c r="G17" s="1748"/>
      <c r="H17" s="1748"/>
      <c r="I17" s="1748"/>
      <c r="J17" s="1749"/>
      <c r="M17" s="900">
        <v>10000000000</v>
      </c>
      <c r="N17" s="901">
        <v>1.51</v>
      </c>
      <c r="O17" s="902">
        <v>3.01</v>
      </c>
      <c r="P17" s="698"/>
      <c r="Q17" s="909" t="s">
        <v>970</v>
      </c>
      <c r="R17" s="880" t="s">
        <v>930</v>
      </c>
      <c r="S17" s="910" t="s">
        <v>903</v>
      </c>
      <c r="V17" s="905"/>
      <c r="W17" s="895" t="s">
        <v>907</v>
      </c>
      <c r="X17" s="896"/>
      <c r="Y17" s="896"/>
      <c r="Z17" s="897"/>
      <c r="AA17" s="755"/>
      <c r="AB17" s="892"/>
      <c r="AC17" s="893"/>
      <c r="AD17" s="776">
        <f>(AD9+AD16)*0.2</f>
        <v>57337665.420000009</v>
      </c>
      <c r="AE17" s="776"/>
    </row>
    <row r="18" spans="1:46" ht="28.5" customHeight="1" thickTop="1">
      <c r="A18" s="1700"/>
      <c r="B18" s="866" t="s">
        <v>917</v>
      </c>
      <c r="C18" s="1704" t="s">
        <v>1121</v>
      </c>
      <c r="D18" s="1705"/>
      <c r="E18" s="1705"/>
      <c r="F18" s="1705"/>
      <c r="G18" s="1705"/>
      <c r="H18" s="1705"/>
      <c r="I18" s="1705"/>
      <c r="J18" s="1706"/>
      <c r="M18" s="903">
        <v>20000000000</v>
      </c>
      <c r="N18" s="904">
        <v>1.46</v>
      </c>
      <c r="O18" s="888">
        <v>2.91</v>
      </c>
      <c r="P18" s="698"/>
      <c r="Q18" s="911" t="s">
        <v>1122</v>
      </c>
      <c r="R18" s="912">
        <v>40800</v>
      </c>
      <c r="S18" s="912">
        <v>35900</v>
      </c>
      <c r="V18" s="913" t="s">
        <v>908</v>
      </c>
      <c r="W18" s="914"/>
      <c r="X18" s="914"/>
      <c r="Y18" s="914"/>
      <c r="Z18" s="914"/>
      <c r="AA18" s="914"/>
      <c r="AB18" s="914"/>
      <c r="AC18" s="915"/>
      <c r="AD18" s="916">
        <f>TRUNC(SUM(AD10:AE17),-3)</f>
        <v>353686000</v>
      </c>
      <c r="AE18" s="916"/>
    </row>
    <row r="19" spans="1:46" ht="21" customHeight="1">
      <c r="A19" s="1700"/>
      <c r="B19" s="866" t="s">
        <v>918</v>
      </c>
      <c r="C19" s="1734" t="s">
        <v>1123</v>
      </c>
      <c r="D19" s="1750"/>
      <c r="E19" s="1750"/>
      <c r="F19" s="1751"/>
      <c r="G19" s="1722">
        <f>'6-1.기초DATA 입력'!$H$10/C17</f>
        <v>1.0555000000000001</v>
      </c>
      <c r="H19" s="1722"/>
      <c r="I19" s="1707"/>
      <c r="J19" s="1709"/>
      <c r="M19" s="903">
        <v>30000000000</v>
      </c>
      <c r="N19" s="904">
        <v>1.45</v>
      </c>
      <c r="O19" s="888">
        <v>2.9</v>
      </c>
      <c r="P19" s="698"/>
      <c r="V19" s="890" t="s">
        <v>481</v>
      </c>
      <c r="W19" s="891"/>
      <c r="X19" s="891"/>
      <c r="Y19" s="891"/>
      <c r="Z19" s="781"/>
      <c r="AA19" s="755"/>
      <c r="AB19" s="892"/>
      <c r="AC19" s="917"/>
      <c r="AD19" s="776">
        <f>TRUNC(SUM(AD10:AD17)*0.1,-3)</f>
        <v>35368000</v>
      </c>
      <c r="AE19" s="776"/>
    </row>
    <row r="20" spans="1:46" ht="21" customHeight="1">
      <c r="A20" s="1700"/>
      <c r="B20" s="866" t="s">
        <v>1097</v>
      </c>
      <c r="C20" s="1752"/>
      <c r="D20" s="1753"/>
      <c r="E20" s="1753"/>
      <c r="F20" s="1754"/>
      <c r="G20" s="1722">
        <f>0.4-(0.001*G19)</f>
        <v>0.39894450000000004</v>
      </c>
      <c r="H20" s="1722"/>
      <c r="I20" s="1710"/>
      <c r="J20" s="1712"/>
      <c r="M20" s="907">
        <v>50000000000</v>
      </c>
      <c r="N20" s="908">
        <v>1.41</v>
      </c>
      <c r="O20" s="899">
        <v>2.84</v>
      </c>
      <c r="P20" s="698"/>
      <c r="V20" s="918" t="s">
        <v>1124</v>
      </c>
      <c r="W20" s="919"/>
      <c r="X20" s="919"/>
      <c r="Y20" s="919"/>
      <c r="Z20" s="919"/>
      <c r="AA20" s="919"/>
      <c r="AB20" s="919"/>
      <c r="AC20" s="920"/>
      <c r="AD20" s="916">
        <f>SUM(AD18:AE19)</f>
        <v>389054000</v>
      </c>
      <c r="AE20" s="916"/>
    </row>
    <row r="21" spans="1:46" ht="21" customHeight="1">
      <c r="A21" s="1700"/>
      <c r="B21" s="866" t="s">
        <v>1099</v>
      </c>
      <c r="C21" s="1755"/>
      <c r="D21" s="1756"/>
      <c r="E21" s="1756"/>
      <c r="F21" s="1757"/>
      <c r="G21" s="1690">
        <f>IF(G19&gt;1,1+G20*(G19-1),IF(G19&gt;=0,G19))</f>
        <v>1.0221414197500001</v>
      </c>
      <c r="H21" s="1691"/>
      <c r="I21" s="1692"/>
      <c r="J21" s="1693"/>
      <c r="M21" s="883">
        <v>100000000000</v>
      </c>
      <c r="N21" s="902">
        <v>1.4</v>
      </c>
      <c r="O21" s="902">
        <v>2.79</v>
      </c>
      <c r="P21" s="698"/>
    </row>
    <row r="22" spans="1:46" ht="21" customHeight="1">
      <c r="A22" s="1700" t="s">
        <v>922</v>
      </c>
      <c r="B22" s="866" t="s">
        <v>916</v>
      </c>
      <c r="C22" s="1701">
        <v>1</v>
      </c>
      <c r="D22" s="1702"/>
      <c r="E22" s="1702"/>
      <c r="F22" s="1702"/>
      <c r="G22" s="1702"/>
      <c r="H22" s="1702"/>
      <c r="I22" s="1702"/>
      <c r="J22" s="1703"/>
      <c r="M22" s="883">
        <v>200000000000</v>
      </c>
      <c r="N22" s="888">
        <v>1.38</v>
      </c>
      <c r="O22" s="888">
        <v>2.76</v>
      </c>
      <c r="P22" s="698"/>
    </row>
    <row r="23" spans="1:46" ht="28.5" customHeight="1">
      <c r="A23" s="1700"/>
      <c r="B23" s="866" t="s">
        <v>917</v>
      </c>
      <c r="C23" s="1704" t="s">
        <v>923</v>
      </c>
      <c r="D23" s="1705"/>
      <c r="E23" s="1705"/>
      <c r="F23" s="1705"/>
      <c r="G23" s="1705"/>
      <c r="H23" s="1705"/>
      <c r="I23" s="1705"/>
      <c r="J23" s="1706"/>
      <c r="M23" s="883">
        <v>300000000000</v>
      </c>
      <c r="N23" s="888">
        <v>1.37</v>
      </c>
      <c r="O23" s="888">
        <v>2.72</v>
      </c>
      <c r="P23" s="698"/>
    </row>
    <row r="24" spans="1:46" ht="21" customHeight="1">
      <c r="A24" s="1700"/>
      <c r="B24" s="866" t="s">
        <v>918</v>
      </c>
      <c r="C24" s="1734" t="s">
        <v>1125</v>
      </c>
      <c r="D24" s="1735"/>
      <c r="E24" s="1735"/>
      <c r="F24" s="1736"/>
      <c r="G24" s="1722">
        <f>'6-1.기초DATA 입력'!$C$11/C22</f>
        <v>0.85</v>
      </c>
      <c r="H24" s="1722"/>
      <c r="I24" s="1707"/>
      <c r="J24" s="1709"/>
      <c r="M24" s="921">
        <v>500000000000</v>
      </c>
      <c r="N24" s="922">
        <v>1.34</v>
      </c>
      <c r="O24" s="922">
        <v>2.7</v>
      </c>
      <c r="P24" s="698"/>
    </row>
    <row r="25" spans="1:46" ht="21" customHeight="1">
      <c r="A25" s="1700"/>
      <c r="B25" s="866" t="s">
        <v>1097</v>
      </c>
      <c r="C25" s="1737"/>
      <c r="D25" s="1738"/>
      <c r="E25" s="1738"/>
      <c r="F25" s="1739"/>
      <c r="G25" s="1722">
        <v>0.5</v>
      </c>
      <c r="H25" s="1722"/>
      <c r="I25" s="1710"/>
      <c r="J25" s="1712"/>
      <c r="M25" s="698" t="s">
        <v>909</v>
      </c>
      <c r="N25" s="548" t="s">
        <v>910</v>
      </c>
      <c r="P25" s="698"/>
      <c r="AQ25" s="498"/>
      <c r="AR25" s="498"/>
      <c r="AS25" s="498"/>
      <c r="AT25" s="498"/>
    </row>
    <row r="26" spans="1:46" ht="21" customHeight="1">
      <c r="A26" s="1700"/>
      <c r="B26" s="866" t="s">
        <v>1099</v>
      </c>
      <c r="C26" s="1740"/>
      <c r="D26" s="1741"/>
      <c r="E26" s="1741"/>
      <c r="F26" s="1742"/>
      <c r="G26" s="1690">
        <f>IF(G24&gt;1,1+G25*(G24-1),IF(G24&gt;=0,G24))</f>
        <v>0.85</v>
      </c>
      <c r="H26" s="1691"/>
      <c r="I26" s="1692"/>
      <c r="J26" s="1693"/>
      <c r="M26" s="698" t="s">
        <v>911</v>
      </c>
      <c r="N26" s="548" t="s">
        <v>1126</v>
      </c>
      <c r="P26" s="698"/>
      <c r="AQ26" s="498"/>
      <c r="AR26" s="498"/>
      <c r="AS26" s="498"/>
      <c r="AT26" s="498"/>
    </row>
    <row r="27" spans="1:46" ht="21" customHeight="1">
      <c r="A27" s="1694" t="s">
        <v>1127</v>
      </c>
      <c r="B27" s="866" t="s">
        <v>916</v>
      </c>
      <c r="C27" s="1731">
        <v>100</v>
      </c>
      <c r="D27" s="1732"/>
      <c r="E27" s="1732"/>
      <c r="F27" s="1732"/>
      <c r="G27" s="1732"/>
      <c r="H27" s="1732"/>
      <c r="I27" s="1732"/>
      <c r="J27" s="1733"/>
      <c r="M27" s="876"/>
      <c r="O27" s="877"/>
      <c r="P27" s="878"/>
      <c r="Q27" s="864"/>
      <c r="R27" s="879"/>
      <c r="S27" s="718"/>
      <c r="AQ27" s="498"/>
      <c r="AR27" s="923"/>
      <c r="AS27" s="923"/>
      <c r="AT27" s="498"/>
    </row>
    <row r="28" spans="1:46" ht="21" customHeight="1">
      <c r="A28" s="1695"/>
      <c r="B28" s="866" t="s">
        <v>917</v>
      </c>
      <c r="C28" s="1704" t="s">
        <v>1128</v>
      </c>
      <c r="D28" s="1705"/>
      <c r="E28" s="1705"/>
      <c r="F28" s="1705"/>
      <c r="G28" s="1705"/>
      <c r="H28" s="1705"/>
      <c r="I28" s="1705"/>
      <c r="J28" s="1706"/>
      <c r="M28" s="504" t="s">
        <v>1129</v>
      </c>
      <c r="N28" s="698"/>
      <c r="P28" s="698"/>
      <c r="S28" s="718"/>
      <c r="AQ28" s="498"/>
      <c r="AR28" s="923"/>
      <c r="AS28" s="923"/>
      <c r="AT28" s="498"/>
    </row>
    <row r="29" spans="1:46" ht="21" customHeight="1" thickBot="1">
      <c r="A29" s="1695"/>
      <c r="B29" s="866" t="s">
        <v>918</v>
      </c>
      <c r="C29" s="1707"/>
      <c r="D29" s="1708"/>
      <c r="E29" s="1708"/>
      <c r="F29" s="1709"/>
      <c r="G29" s="1722">
        <f>'6-1.기초DATA 입력'!$D$12/C27</f>
        <v>1.7310199999999998</v>
      </c>
      <c r="H29" s="1722"/>
      <c r="I29" s="1707"/>
      <c r="J29" s="1709"/>
      <c r="M29" s="1723" t="s">
        <v>482</v>
      </c>
      <c r="N29" s="1724"/>
      <c r="O29" s="1723" t="s">
        <v>483</v>
      </c>
      <c r="P29" s="1725"/>
      <c r="Q29" s="1723" t="s">
        <v>2</v>
      </c>
      <c r="R29" s="1725"/>
      <c r="S29" s="1724"/>
      <c r="AQ29" s="498"/>
      <c r="AR29" s="923"/>
      <c r="AS29" s="923"/>
      <c r="AT29" s="498"/>
    </row>
    <row r="30" spans="1:46" ht="21" customHeight="1" thickTop="1">
      <c r="A30" s="1696"/>
      <c r="B30" s="866" t="s">
        <v>1099</v>
      </c>
      <c r="C30" s="1692"/>
      <c r="D30" s="1713"/>
      <c r="E30" s="1713"/>
      <c r="F30" s="1693"/>
      <c r="G30" s="1690">
        <f>(1*'6-1.기초DATA 입력'!G12+0.25*'6-1.기초DATA 입력'!J12)/100</f>
        <v>0.54358249999999997</v>
      </c>
      <c r="H30" s="1691"/>
      <c r="I30" s="1692"/>
      <c r="J30" s="1693"/>
      <c r="M30" s="1726" t="s">
        <v>484</v>
      </c>
      <c r="N30" s="1727"/>
      <c r="O30" s="1726" t="s">
        <v>485</v>
      </c>
      <c r="P30" s="1728"/>
      <c r="Q30" s="1729" t="s">
        <v>1130</v>
      </c>
      <c r="R30" s="1730"/>
      <c r="S30" s="924"/>
      <c r="AQ30" s="498"/>
      <c r="AR30" s="923"/>
      <c r="AS30" s="923"/>
      <c r="AT30" s="498"/>
    </row>
    <row r="31" spans="1:46" ht="21" customHeight="1">
      <c r="A31" s="1700" t="s">
        <v>1131</v>
      </c>
      <c r="B31" s="866" t="s">
        <v>916</v>
      </c>
      <c r="C31" s="1701">
        <v>1</v>
      </c>
      <c r="D31" s="1702"/>
      <c r="E31" s="1702"/>
      <c r="F31" s="1702"/>
      <c r="G31" s="1702"/>
      <c r="H31" s="1702"/>
      <c r="I31" s="1702"/>
      <c r="J31" s="1703"/>
      <c r="M31" s="1684" t="s">
        <v>486</v>
      </c>
      <c r="N31" s="1689"/>
      <c r="O31" s="1684" t="s">
        <v>487</v>
      </c>
      <c r="P31" s="1685"/>
      <c r="Q31" s="1684" t="s">
        <v>1132</v>
      </c>
      <c r="R31" s="1685"/>
      <c r="S31" s="925"/>
      <c r="AQ31" s="498"/>
      <c r="AR31" s="923"/>
      <c r="AS31" s="923"/>
      <c r="AT31" s="498"/>
    </row>
    <row r="32" spans="1:46" ht="21" customHeight="1">
      <c r="A32" s="1700"/>
      <c r="B32" s="866" t="s">
        <v>917</v>
      </c>
      <c r="C32" s="1704" t="s">
        <v>1133</v>
      </c>
      <c r="D32" s="1705"/>
      <c r="E32" s="1705"/>
      <c r="F32" s="1705"/>
      <c r="G32" s="1705"/>
      <c r="H32" s="1705"/>
      <c r="I32" s="1705"/>
      <c r="J32" s="1706"/>
      <c r="M32" s="1684" t="s">
        <v>488</v>
      </c>
      <c r="N32" s="1689"/>
      <c r="O32" s="1684" t="s">
        <v>489</v>
      </c>
      <c r="P32" s="1685"/>
      <c r="Q32" s="1684" t="s">
        <v>1134</v>
      </c>
      <c r="R32" s="1685"/>
      <c r="S32" s="925"/>
      <c r="T32" s="863"/>
      <c r="AA32" s="863"/>
      <c r="AB32" s="863"/>
      <c r="AQ32" s="498"/>
      <c r="AR32" s="923"/>
      <c r="AS32" s="923"/>
      <c r="AT32" s="498"/>
    </row>
    <row r="33" spans="1:46" ht="21" customHeight="1">
      <c r="A33" s="1700"/>
      <c r="B33" s="866" t="s">
        <v>918</v>
      </c>
      <c r="C33" s="1707" t="s">
        <v>1135</v>
      </c>
      <c r="D33" s="1708"/>
      <c r="E33" s="1708"/>
      <c r="F33" s="1709"/>
      <c r="G33" s="1722">
        <f>'6-1.기초DATA 입력'!$H$11/C31</f>
        <v>0</v>
      </c>
      <c r="H33" s="1722"/>
      <c r="I33" s="1707"/>
      <c r="J33" s="1709"/>
      <c r="M33" s="1684" t="s">
        <v>490</v>
      </c>
      <c r="N33" s="1689"/>
      <c r="O33" s="1684" t="s">
        <v>491</v>
      </c>
      <c r="P33" s="1685"/>
      <c r="Q33" s="1684"/>
      <c r="R33" s="1685"/>
      <c r="S33" s="925"/>
      <c r="AQ33" s="498"/>
      <c r="AR33" s="923"/>
      <c r="AS33" s="923"/>
      <c r="AT33" s="498"/>
    </row>
    <row r="34" spans="1:46" ht="21" customHeight="1">
      <c r="A34" s="1700"/>
      <c r="B34" s="866" t="s">
        <v>1097</v>
      </c>
      <c r="C34" s="1710"/>
      <c r="D34" s="1711"/>
      <c r="E34" s="1711"/>
      <c r="F34" s="1712"/>
      <c r="G34" s="1722">
        <f>0.7-(0.003*G33)</f>
        <v>0.7</v>
      </c>
      <c r="H34" s="1722"/>
      <c r="I34" s="1710"/>
      <c r="J34" s="1712"/>
      <c r="M34" s="1684" t="s">
        <v>492</v>
      </c>
      <c r="N34" s="1689"/>
      <c r="O34" s="1684" t="s">
        <v>493</v>
      </c>
      <c r="P34" s="1685"/>
      <c r="Q34" s="1684" t="s">
        <v>919</v>
      </c>
      <c r="R34" s="1685"/>
      <c r="S34" s="925"/>
      <c r="AQ34" s="498"/>
      <c r="AR34" s="923"/>
      <c r="AS34" s="923"/>
      <c r="AT34" s="498"/>
    </row>
    <row r="35" spans="1:46" ht="21" customHeight="1">
      <c r="A35" s="1700"/>
      <c r="B35" s="866" t="s">
        <v>1099</v>
      </c>
      <c r="C35" s="1692"/>
      <c r="D35" s="1713"/>
      <c r="E35" s="1713"/>
      <c r="F35" s="1693"/>
      <c r="G35" s="1690">
        <f>IF(G33&gt;1,1+G34*(G33-1),IF(G33&gt;=0,G33))</f>
        <v>0</v>
      </c>
      <c r="H35" s="1691"/>
      <c r="I35" s="1692"/>
      <c r="J35" s="1693"/>
      <c r="M35" s="1684" t="s">
        <v>494</v>
      </c>
      <c r="N35" s="1689"/>
      <c r="O35" s="1684" t="s">
        <v>495</v>
      </c>
      <c r="P35" s="1685"/>
      <c r="Q35" s="1684" t="s">
        <v>1132</v>
      </c>
      <c r="R35" s="1685"/>
      <c r="S35" s="925"/>
      <c r="AQ35" s="498"/>
      <c r="AR35" s="926"/>
      <c r="AS35" s="926"/>
      <c r="AT35" s="498"/>
    </row>
    <row r="36" spans="1:46" ht="21" customHeight="1">
      <c r="A36" s="1694" t="s">
        <v>924</v>
      </c>
      <c r="B36" s="866" t="s">
        <v>916</v>
      </c>
      <c r="C36" s="1697" t="s">
        <v>925</v>
      </c>
      <c r="D36" s="1698"/>
      <c r="E36" s="1698"/>
      <c r="F36" s="1698"/>
      <c r="G36" s="1698"/>
      <c r="H36" s="1698"/>
      <c r="I36" s="1698"/>
      <c r="J36" s="1699"/>
      <c r="M36" s="1684" t="s">
        <v>496</v>
      </c>
      <c r="N36" s="1689"/>
      <c r="O36" s="1684" t="s">
        <v>497</v>
      </c>
      <c r="P36" s="1685"/>
      <c r="Q36" s="1684" t="s">
        <v>920</v>
      </c>
      <c r="R36" s="1685"/>
      <c r="S36" s="925"/>
      <c r="AQ36" s="498"/>
      <c r="AR36" s="923"/>
      <c r="AS36" s="923"/>
      <c r="AT36" s="498"/>
    </row>
    <row r="37" spans="1:46" ht="21" customHeight="1">
      <c r="A37" s="1695"/>
      <c r="B37" s="1717" t="s">
        <v>917</v>
      </c>
      <c r="C37" s="1719" t="s">
        <v>1136</v>
      </c>
      <c r="D37" s="1720"/>
      <c r="E37" s="1720"/>
      <c r="F37" s="1720"/>
      <c r="G37" s="1720"/>
      <c r="H37" s="1720"/>
      <c r="I37" s="1720"/>
      <c r="J37" s="1721"/>
      <c r="M37" s="1684" t="s">
        <v>498</v>
      </c>
      <c r="N37" s="1689"/>
      <c r="O37" s="1684" t="s">
        <v>499</v>
      </c>
      <c r="P37" s="1685"/>
      <c r="Q37" s="1684"/>
      <c r="R37" s="1685"/>
      <c r="S37" s="925"/>
      <c r="AQ37" s="498"/>
      <c r="AR37" s="923"/>
      <c r="AS37" s="923"/>
      <c r="AT37" s="498"/>
    </row>
    <row r="38" spans="1:46" ht="21" customHeight="1">
      <c r="A38" s="1695"/>
      <c r="B38" s="1718"/>
      <c r="C38" s="1686" t="s">
        <v>1137</v>
      </c>
      <c r="D38" s="1687"/>
      <c r="E38" s="1687"/>
      <c r="F38" s="1687"/>
      <c r="G38" s="1687"/>
      <c r="H38" s="1687"/>
      <c r="I38" s="1687"/>
      <c r="J38" s="1688"/>
      <c r="M38" s="1684" t="s">
        <v>500</v>
      </c>
      <c r="N38" s="1689"/>
      <c r="O38" s="1684" t="s">
        <v>501</v>
      </c>
      <c r="P38" s="1685"/>
      <c r="Q38" s="1684"/>
      <c r="R38" s="1685"/>
      <c r="S38" s="925"/>
      <c r="AQ38" s="498"/>
      <c r="AR38" s="923"/>
      <c r="AS38" s="923"/>
      <c r="AT38" s="498"/>
    </row>
    <row r="39" spans="1:46" ht="21" customHeight="1">
      <c r="A39" s="1696"/>
      <c r="B39" s="866" t="s">
        <v>1099</v>
      </c>
      <c r="C39" s="1714">
        <f>'6-1.기초DATA 입력'!$F$13*1+'6-1.기초DATA 입력'!$H$13*1.1+'6-1.기초DATA 입력'!$J$13*1.2</f>
        <v>1</v>
      </c>
      <c r="D39" s="1715"/>
      <c r="E39" s="1715"/>
      <c r="F39" s="1715"/>
      <c r="G39" s="1715"/>
      <c r="H39" s="1715"/>
      <c r="I39" s="1715"/>
      <c r="J39" s="1716"/>
      <c r="M39" s="876"/>
      <c r="O39" s="877"/>
      <c r="P39" s="878"/>
      <c r="Q39" s="864"/>
      <c r="R39" s="879"/>
      <c r="S39" s="718"/>
      <c r="AQ39" s="498"/>
      <c r="AR39" s="923"/>
      <c r="AS39" s="923"/>
      <c r="AT39" s="498"/>
    </row>
    <row r="40" spans="1:46" ht="17.25" customHeight="1">
      <c r="A40" s="927"/>
      <c r="B40" s="736"/>
      <c r="C40" s="736"/>
      <c r="D40" s="736"/>
      <c r="E40" s="736"/>
      <c r="F40" s="736"/>
      <c r="G40" s="736"/>
      <c r="H40" s="736"/>
      <c r="I40" s="736"/>
      <c r="J40" s="736"/>
      <c r="M40" s="876"/>
      <c r="O40" s="877"/>
      <c r="P40" s="878"/>
      <c r="Q40" s="864"/>
      <c r="R40" s="879"/>
      <c r="S40" s="718"/>
      <c r="AQ40" s="498"/>
      <c r="AR40" s="926"/>
      <c r="AS40" s="926"/>
      <c r="AT40" s="498"/>
    </row>
    <row r="41" spans="1:46" ht="17.25" customHeight="1">
      <c r="M41" s="876"/>
      <c r="O41" s="877"/>
      <c r="P41" s="878"/>
      <c r="Q41" s="864"/>
      <c r="R41" s="879"/>
      <c r="S41" s="718"/>
      <c r="AQ41" s="498"/>
      <c r="AR41" s="923"/>
      <c r="AS41" s="923"/>
      <c r="AT41" s="498"/>
    </row>
    <row r="42" spans="1:46" ht="17.25" customHeight="1">
      <c r="M42" s="876"/>
      <c r="O42" s="877"/>
      <c r="P42" s="878"/>
      <c r="Q42" s="864"/>
      <c r="R42" s="879"/>
      <c r="S42" s="718"/>
      <c r="AQ42" s="498"/>
      <c r="AR42" s="923"/>
      <c r="AS42" s="923"/>
      <c r="AT42" s="498"/>
    </row>
    <row r="43" spans="1:46" ht="17.25" customHeight="1">
      <c r="M43" s="876"/>
      <c r="O43" s="877"/>
      <c r="P43" s="878"/>
      <c r="Q43" s="864"/>
      <c r="R43" s="879"/>
      <c r="S43" s="718"/>
      <c r="AQ43" s="498"/>
      <c r="AR43" s="923"/>
      <c r="AS43" s="923"/>
      <c r="AT43" s="498"/>
    </row>
    <row r="44" spans="1:46" ht="17.25" customHeight="1">
      <c r="M44" s="876"/>
      <c r="O44" s="877"/>
      <c r="P44" s="878"/>
      <c r="Q44" s="864"/>
      <c r="R44" s="879"/>
      <c r="S44" s="718"/>
      <c r="AQ44" s="498"/>
      <c r="AR44" s="923"/>
      <c r="AS44" s="923"/>
      <c r="AT44" s="498"/>
    </row>
    <row r="45" spans="1:46" ht="17.25" customHeight="1">
      <c r="M45" s="876"/>
      <c r="O45" s="877"/>
      <c r="P45" s="878"/>
      <c r="Q45" s="864"/>
      <c r="R45" s="879"/>
      <c r="S45" s="718"/>
      <c r="AQ45" s="498"/>
      <c r="AR45" s="923"/>
      <c r="AS45" s="923"/>
      <c r="AT45" s="498"/>
    </row>
    <row r="46" spans="1:46" ht="17.25" customHeight="1">
      <c r="M46" s="876"/>
      <c r="O46" s="877"/>
      <c r="P46" s="878"/>
      <c r="Q46" s="864"/>
      <c r="R46" s="879"/>
      <c r="S46" s="718"/>
      <c r="AQ46" s="498"/>
      <c r="AR46" s="923"/>
      <c r="AS46" s="923"/>
      <c r="AT46" s="498"/>
    </row>
    <row r="47" spans="1:46" ht="17.25" customHeight="1">
      <c r="M47" s="876"/>
      <c r="O47" s="877"/>
      <c r="P47" s="878"/>
      <c r="Q47" s="864"/>
      <c r="R47" s="879"/>
      <c r="S47" s="718"/>
      <c r="AQ47" s="498"/>
      <c r="AR47" s="923"/>
      <c r="AS47" s="923"/>
      <c r="AT47" s="498"/>
    </row>
    <row r="48" spans="1:46" ht="17.25" customHeight="1">
      <c r="M48" s="876"/>
      <c r="O48" s="877"/>
      <c r="P48" s="878"/>
      <c r="Q48" s="864"/>
      <c r="R48" s="879"/>
      <c r="S48" s="718"/>
      <c r="AQ48" s="498"/>
      <c r="AR48" s="923"/>
      <c r="AS48" s="923"/>
      <c r="AT48" s="498"/>
    </row>
    <row r="49" spans="13:46" ht="17.25" customHeight="1">
      <c r="M49" s="876"/>
      <c r="O49" s="877"/>
      <c r="P49" s="878"/>
      <c r="Q49" s="864"/>
      <c r="R49" s="879"/>
      <c r="S49" s="718"/>
      <c r="AQ49" s="498"/>
      <c r="AR49" s="923"/>
      <c r="AS49" s="923"/>
      <c r="AT49" s="498"/>
    </row>
    <row r="50" spans="13:46" ht="17.25" customHeight="1">
      <c r="M50" s="876"/>
      <c r="O50" s="877"/>
      <c r="P50" s="878"/>
      <c r="Q50" s="864"/>
      <c r="R50" s="879"/>
      <c r="S50" s="718"/>
      <c r="AQ50" s="498"/>
      <c r="AR50" s="923"/>
      <c r="AS50" s="923"/>
      <c r="AT50" s="498"/>
    </row>
    <row r="51" spans="13:46" ht="17.25" customHeight="1">
      <c r="M51" s="876"/>
      <c r="O51" s="877"/>
      <c r="P51" s="878"/>
      <c r="Q51" s="864"/>
      <c r="R51" s="879"/>
      <c r="S51" s="718"/>
      <c r="AQ51" s="498"/>
      <c r="AR51" s="923"/>
      <c r="AS51" s="923"/>
      <c r="AT51" s="498"/>
    </row>
    <row r="52" spans="13:46" ht="17.25" customHeight="1">
      <c r="M52" s="876"/>
      <c r="O52" s="877"/>
      <c r="P52" s="878"/>
      <c r="Q52" s="864"/>
      <c r="R52" s="879"/>
      <c r="S52" s="718"/>
      <c r="AQ52" s="498"/>
      <c r="AR52" s="923"/>
      <c r="AS52" s="923"/>
      <c r="AT52" s="498"/>
    </row>
    <row r="53" spans="13:46" ht="17.25" customHeight="1">
      <c r="M53" s="876"/>
      <c r="O53" s="877"/>
      <c r="P53" s="878"/>
      <c r="Q53" s="864"/>
      <c r="R53" s="879"/>
      <c r="S53" s="718"/>
      <c r="AQ53" s="498"/>
      <c r="AR53" s="923"/>
      <c r="AS53" s="923"/>
      <c r="AT53" s="498"/>
    </row>
    <row r="54" spans="13:46" ht="17.25" customHeight="1">
      <c r="M54" s="876"/>
      <c r="O54" s="877"/>
      <c r="P54" s="878"/>
      <c r="Q54" s="864"/>
      <c r="R54" s="879"/>
      <c r="S54" s="718"/>
    </row>
    <row r="55" spans="13:46" ht="16.5" customHeight="1">
      <c r="M55" s="876"/>
      <c r="O55" s="877"/>
      <c r="P55" s="878"/>
      <c r="Q55" s="864"/>
      <c r="R55" s="879"/>
      <c r="S55" s="718"/>
    </row>
    <row r="56" spans="13:46">
      <c r="M56" s="876"/>
      <c r="O56" s="877"/>
      <c r="P56" s="878"/>
      <c r="Q56" s="864"/>
      <c r="R56" s="879"/>
      <c r="S56" s="718"/>
    </row>
    <row r="57" spans="13:46">
      <c r="M57" s="876"/>
      <c r="O57" s="877"/>
      <c r="P57" s="878"/>
      <c r="Q57" s="864"/>
      <c r="R57" s="879"/>
      <c r="S57" s="718"/>
    </row>
    <row r="58" spans="13:46">
      <c r="M58" s="876"/>
      <c r="O58" s="877"/>
      <c r="P58" s="878"/>
      <c r="Q58" s="864"/>
      <c r="R58" s="879"/>
      <c r="S58" s="718"/>
    </row>
    <row r="59" spans="13:46">
      <c r="M59" s="876"/>
      <c r="O59" s="877"/>
      <c r="P59" s="878"/>
      <c r="Q59" s="864"/>
      <c r="R59" s="879"/>
      <c r="S59" s="718"/>
    </row>
    <row r="60" spans="13:46" ht="16.5" customHeight="1">
      <c r="M60" s="876"/>
      <c r="O60" s="877"/>
      <c r="P60" s="878"/>
      <c r="Q60" s="864"/>
      <c r="R60" s="879"/>
      <c r="S60" s="718"/>
    </row>
    <row r="61" spans="13:46">
      <c r="M61" s="876"/>
      <c r="O61" s="877"/>
      <c r="P61" s="878"/>
      <c r="Q61" s="864"/>
      <c r="R61" s="879"/>
      <c r="S61" s="718"/>
    </row>
    <row r="62" spans="13:46">
      <c r="M62" s="876"/>
      <c r="O62" s="877"/>
      <c r="P62" s="878"/>
      <c r="Q62" s="864"/>
      <c r="R62" s="879"/>
      <c r="S62" s="718"/>
    </row>
    <row r="63" spans="13:46">
      <c r="M63" s="876"/>
      <c r="O63" s="877"/>
      <c r="P63" s="878"/>
      <c r="Q63" s="864"/>
      <c r="R63" s="879"/>
      <c r="S63" s="718"/>
    </row>
    <row r="64" spans="13:46">
      <c r="M64" s="876"/>
      <c r="O64" s="877"/>
      <c r="P64" s="878"/>
      <c r="Q64" s="864"/>
      <c r="R64" s="879"/>
      <c r="S64" s="718"/>
    </row>
    <row r="65" spans="13:49">
      <c r="M65" s="876"/>
      <c r="O65" s="877"/>
      <c r="P65" s="878"/>
      <c r="Q65" s="864"/>
      <c r="R65" s="879"/>
      <c r="S65" s="718"/>
    </row>
    <row r="66" spans="13:49">
      <c r="M66" s="876"/>
      <c r="O66" s="877"/>
      <c r="P66" s="878"/>
      <c r="Q66" s="864"/>
      <c r="R66" s="879"/>
      <c r="S66" s="718"/>
    </row>
    <row r="67" spans="13:49">
      <c r="M67" s="876"/>
      <c r="O67" s="877"/>
      <c r="P67" s="878"/>
      <c r="Q67" s="864"/>
      <c r="R67" s="879"/>
      <c r="S67" s="718"/>
      <c r="AW67" s="863"/>
    </row>
    <row r="68" spans="13:49">
      <c r="M68" s="876"/>
      <c r="O68" s="877"/>
      <c r="P68" s="878"/>
      <c r="Q68" s="864"/>
      <c r="R68" s="879"/>
      <c r="S68" s="718"/>
    </row>
    <row r="69" spans="13:49">
      <c r="M69" s="876"/>
      <c r="O69" s="877"/>
      <c r="P69" s="878"/>
      <c r="Q69" s="864"/>
      <c r="R69" s="879"/>
      <c r="S69" s="718"/>
    </row>
    <row r="70" spans="13:49">
      <c r="M70" s="876"/>
      <c r="O70" s="877"/>
      <c r="P70" s="878"/>
      <c r="Q70" s="864"/>
      <c r="R70" s="879"/>
      <c r="S70" s="718"/>
    </row>
    <row r="71" spans="13:49" ht="15.75" customHeight="1">
      <c r="M71" s="876"/>
      <c r="O71" s="877"/>
      <c r="P71" s="878"/>
      <c r="Q71" s="864"/>
      <c r="R71" s="879"/>
      <c r="S71" s="718"/>
    </row>
    <row r="72" spans="13:49">
      <c r="M72" s="876"/>
      <c r="O72" s="877"/>
      <c r="P72" s="878"/>
      <c r="Q72" s="864"/>
      <c r="R72" s="879"/>
      <c r="S72" s="718"/>
    </row>
    <row r="73" spans="13:49">
      <c r="M73" s="876"/>
      <c r="O73" s="877"/>
      <c r="P73" s="878"/>
      <c r="Q73" s="864"/>
      <c r="R73" s="879"/>
      <c r="S73" s="718"/>
      <c r="AC73" s="772"/>
    </row>
    <row r="74" spans="13:49">
      <c r="M74" s="876"/>
      <c r="O74" s="877"/>
      <c r="P74" s="878"/>
      <c r="Q74" s="864"/>
      <c r="R74" s="879"/>
      <c r="S74" s="718"/>
    </row>
    <row r="75" spans="13:49">
      <c r="M75" s="876"/>
      <c r="O75" s="877"/>
      <c r="P75" s="878"/>
      <c r="Q75" s="864"/>
      <c r="R75" s="879"/>
      <c r="S75" s="718"/>
    </row>
    <row r="76" spans="13:49" ht="16.5" customHeight="1">
      <c r="M76" s="876"/>
      <c r="O76" s="877"/>
      <c r="P76" s="878"/>
      <c r="Q76" s="864"/>
      <c r="R76" s="879"/>
      <c r="S76" s="718"/>
    </row>
    <row r="77" spans="13:49" ht="16.5" customHeight="1">
      <c r="M77" s="876"/>
      <c r="O77" s="877"/>
      <c r="P77" s="878"/>
      <c r="Q77" s="864"/>
      <c r="R77" s="879"/>
      <c r="S77" s="718"/>
    </row>
    <row r="78" spans="13:49" ht="16.5" customHeight="1">
      <c r="M78" s="876"/>
      <c r="O78" s="877"/>
      <c r="P78" s="878"/>
      <c r="Q78" s="864"/>
      <c r="R78" s="879"/>
      <c r="S78" s="718"/>
    </row>
    <row r="79" spans="13:49" ht="16.5" customHeight="1">
      <c r="M79" s="876"/>
      <c r="O79" s="877"/>
      <c r="P79" s="878"/>
      <c r="Q79" s="864"/>
      <c r="R79" s="879"/>
      <c r="S79" s="718"/>
    </row>
    <row r="80" spans="13:49">
      <c r="M80" s="876"/>
      <c r="O80" s="877"/>
      <c r="P80" s="878"/>
      <c r="Q80" s="864"/>
      <c r="R80" s="879"/>
      <c r="S80" s="718"/>
    </row>
    <row r="81" spans="1:19" ht="17.25" customHeight="1">
      <c r="M81" s="876"/>
      <c r="O81" s="877"/>
      <c r="P81" s="878"/>
      <c r="Q81" s="864"/>
      <c r="R81" s="879"/>
      <c r="S81" s="718"/>
    </row>
    <row r="82" spans="1:19" s="863" customFormat="1" ht="16.5" customHeight="1">
      <c r="A82" s="771"/>
      <c r="B82" s="698"/>
      <c r="C82" s="698"/>
      <c r="D82" s="698"/>
      <c r="E82" s="698"/>
      <c r="F82" s="698"/>
      <c r="G82" s="698"/>
      <c r="H82" s="698"/>
      <c r="I82" s="698"/>
      <c r="J82" s="698"/>
      <c r="M82" s="876"/>
      <c r="N82" s="864"/>
      <c r="O82" s="877"/>
      <c r="P82" s="878"/>
      <c r="Q82" s="864"/>
      <c r="R82" s="879"/>
      <c r="S82" s="718"/>
    </row>
    <row r="83" spans="1:19" ht="16.5" customHeight="1">
      <c r="M83" s="876"/>
      <c r="O83" s="877"/>
      <c r="P83" s="878"/>
      <c r="Q83" s="864"/>
      <c r="R83" s="879"/>
      <c r="S83" s="718"/>
    </row>
    <row r="84" spans="1:19" ht="16.5" customHeight="1">
      <c r="M84" s="876"/>
      <c r="O84" s="877"/>
      <c r="P84" s="878"/>
      <c r="Q84" s="864"/>
      <c r="R84" s="879"/>
      <c r="S84" s="718"/>
    </row>
    <row r="85" spans="1:19" ht="16.5" customHeight="1">
      <c r="M85" s="876"/>
      <c r="O85" s="877"/>
      <c r="P85" s="878"/>
      <c r="Q85" s="864"/>
      <c r="R85" s="879"/>
      <c r="S85" s="718"/>
    </row>
    <row r="86" spans="1:19">
      <c r="M86" s="876"/>
      <c r="O86" s="877"/>
      <c r="P86" s="878"/>
      <c r="Q86" s="864"/>
      <c r="R86" s="879"/>
      <c r="S86" s="718"/>
    </row>
    <row r="87" spans="1:19">
      <c r="M87" s="876"/>
      <c r="O87" s="877"/>
      <c r="P87" s="878"/>
      <c r="Q87" s="864"/>
      <c r="R87" s="879"/>
      <c r="S87" s="718"/>
    </row>
    <row r="88" spans="1:19">
      <c r="M88" s="876"/>
      <c r="O88" s="877"/>
      <c r="P88" s="878"/>
      <c r="Q88" s="864"/>
      <c r="R88" s="879"/>
      <c r="S88" s="718"/>
    </row>
    <row r="89" spans="1:19">
      <c r="M89" s="876"/>
      <c r="O89" s="877"/>
      <c r="P89" s="878"/>
      <c r="Q89" s="864"/>
      <c r="R89" s="879"/>
      <c r="S89" s="718"/>
    </row>
    <row r="90" spans="1:19">
      <c r="M90" s="876"/>
      <c r="O90" s="877"/>
      <c r="P90" s="878"/>
      <c r="Q90" s="864"/>
      <c r="R90" s="879"/>
      <c r="S90" s="718"/>
    </row>
    <row r="91" spans="1:19">
      <c r="M91" s="876"/>
      <c r="O91" s="877"/>
      <c r="P91" s="878"/>
      <c r="Q91" s="864"/>
      <c r="R91" s="879"/>
      <c r="S91" s="718"/>
    </row>
    <row r="92" spans="1:19">
      <c r="M92" s="876"/>
      <c r="O92" s="877"/>
      <c r="P92" s="878"/>
      <c r="Q92" s="864"/>
      <c r="R92" s="879"/>
      <c r="S92" s="718"/>
    </row>
    <row r="93" spans="1:19">
      <c r="M93" s="864"/>
      <c r="O93" s="877"/>
      <c r="P93" s="878"/>
      <c r="Q93" s="864"/>
      <c r="R93" s="879"/>
      <c r="S93" s="718"/>
    </row>
    <row r="94" spans="1:19">
      <c r="M94" s="864"/>
      <c r="O94" s="877"/>
      <c r="P94" s="878"/>
      <c r="Q94" s="864"/>
      <c r="R94" s="879"/>
      <c r="S94" s="718"/>
    </row>
    <row r="95" spans="1:19">
      <c r="M95" s="864"/>
      <c r="O95" s="877"/>
      <c r="P95" s="878"/>
      <c r="Q95" s="864"/>
      <c r="R95" s="879"/>
      <c r="S95" s="718"/>
    </row>
    <row r="96" spans="1:19">
      <c r="M96" s="864"/>
      <c r="O96" s="877"/>
      <c r="P96" s="878"/>
      <c r="Q96" s="864"/>
      <c r="R96" s="879"/>
      <c r="S96" s="718"/>
    </row>
    <row r="97" spans="13:21">
      <c r="M97" s="864"/>
      <c r="O97" s="877"/>
      <c r="P97" s="878"/>
      <c r="Q97" s="864"/>
      <c r="R97" s="879"/>
      <c r="S97" s="718"/>
    </row>
    <row r="98" spans="13:21">
      <c r="M98" s="864"/>
      <c r="O98" s="877"/>
      <c r="P98" s="878"/>
      <c r="Q98" s="864"/>
      <c r="R98" s="879"/>
      <c r="S98" s="718"/>
    </row>
    <row r="99" spans="13:21">
      <c r="M99" s="864"/>
      <c r="O99" s="877"/>
      <c r="P99" s="878"/>
      <c r="Q99" s="864"/>
      <c r="R99" s="879"/>
      <c r="S99" s="718"/>
    </row>
    <row r="100" spans="13:21">
      <c r="O100" s="928"/>
      <c r="Q100" s="863"/>
      <c r="R100" s="718"/>
      <c r="S100" s="718"/>
    </row>
    <row r="101" spans="13:21">
      <c r="O101" s="928"/>
      <c r="Q101" s="863"/>
      <c r="R101" s="718"/>
      <c r="S101" s="718"/>
    </row>
    <row r="102" spans="13:21">
      <c r="O102" s="928"/>
      <c r="Q102" s="863"/>
      <c r="R102" s="718"/>
      <c r="S102" s="718"/>
    </row>
    <row r="103" spans="13:21">
      <c r="O103" s="928"/>
      <c r="Q103" s="863"/>
      <c r="R103" s="718"/>
      <c r="S103" s="718"/>
    </row>
    <row r="104" spans="13:21">
      <c r="O104" s="928"/>
      <c r="Q104" s="863"/>
      <c r="R104" s="718"/>
      <c r="S104" s="718"/>
      <c r="U104" s="929"/>
    </row>
    <row r="105" spans="13:21">
      <c r="O105" s="928"/>
      <c r="Q105" s="863"/>
      <c r="R105" s="718"/>
      <c r="S105" s="718"/>
    </row>
    <row r="106" spans="13:21">
      <c r="O106" s="928"/>
      <c r="Q106" s="863"/>
      <c r="R106" s="718"/>
      <c r="S106" s="718"/>
    </row>
    <row r="107" spans="13:21">
      <c r="O107" s="928"/>
      <c r="Q107" s="863"/>
      <c r="R107" s="718"/>
      <c r="S107" s="718"/>
    </row>
    <row r="108" spans="13:21">
      <c r="O108" s="928"/>
      <c r="Q108" s="863"/>
      <c r="R108" s="718"/>
      <c r="S108" s="718"/>
    </row>
    <row r="109" spans="13:21">
      <c r="O109" s="928"/>
      <c r="Q109" s="863"/>
      <c r="R109" s="718"/>
      <c r="S109" s="718"/>
    </row>
    <row r="110" spans="13:21">
      <c r="O110" s="928"/>
      <c r="Q110" s="863"/>
      <c r="R110" s="718"/>
      <c r="S110" s="718"/>
    </row>
    <row r="111" spans="13:21">
      <c r="O111" s="928"/>
      <c r="Q111" s="863"/>
      <c r="R111" s="718"/>
      <c r="S111" s="718"/>
    </row>
    <row r="112" spans="13:21">
      <c r="O112" s="928"/>
      <c r="Q112" s="863"/>
      <c r="R112" s="718"/>
      <c r="S112" s="718"/>
    </row>
    <row r="113" spans="15:19">
      <c r="O113" s="928"/>
      <c r="Q113" s="863"/>
      <c r="R113" s="718"/>
      <c r="S113" s="718"/>
    </row>
    <row r="114" spans="15:19">
      <c r="O114" s="928"/>
      <c r="Q114" s="863"/>
      <c r="R114" s="718"/>
      <c r="S114" s="718"/>
    </row>
    <row r="115" spans="15:19">
      <c r="O115" s="928"/>
      <c r="Q115" s="863"/>
      <c r="R115" s="718"/>
      <c r="S115" s="718"/>
    </row>
    <row r="116" spans="15:19">
      <c r="O116" s="928"/>
      <c r="Q116" s="863"/>
      <c r="R116" s="718"/>
      <c r="S116" s="718"/>
    </row>
    <row r="117" spans="15:19">
      <c r="O117" s="928"/>
      <c r="Q117" s="863"/>
      <c r="R117" s="718"/>
      <c r="S117" s="718"/>
    </row>
    <row r="118" spans="15:19">
      <c r="O118" s="928"/>
      <c r="Q118" s="863"/>
      <c r="R118" s="718"/>
      <c r="S118" s="718"/>
    </row>
    <row r="119" spans="15:19">
      <c r="O119" s="928"/>
      <c r="Q119" s="863"/>
      <c r="R119" s="718"/>
      <c r="S119" s="718"/>
    </row>
    <row r="120" spans="15:19">
      <c r="O120" s="928"/>
      <c r="Q120" s="863"/>
      <c r="R120" s="718"/>
      <c r="S120" s="718"/>
    </row>
    <row r="121" spans="15:19">
      <c r="O121" s="928"/>
      <c r="Q121" s="863"/>
      <c r="R121" s="718"/>
      <c r="S121" s="718"/>
    </row>
    <row r="122" spans="15:19">
      <c r="O122" s="928"/>
      <c r="Q122" s="863"/>
      <c r="R122" s="718"/>
      <c r="S122" s="718"/>
    </row>
    <row r="123" spans="15:19">
      <c r="O123" s="928"/>
      <c r="Q123" s="863"/>
      <c r="R123" s="718"/>
      <c r="S123" s="718"/>
    </row>
    <row r="124" spans="15:19">
      <c r="O124" s="928"/>
      <c r="Q124" s="863"/>
      <c r="R124" s="718"/>
      <c r="S124" s="718"/>
    </row>
    <row r="125" spans="15:19">
      <c r="O125" s="928"/>
      <c r="Q125" s="863"/>
      <c r="R125" s="718"/>
      <c r="S125" s="718"/>
    </row>
    <row r="126" spans="15:19">
      <c r="O126" s="928"/>
      <c r="Q126" s="863"/>
      <c r="R126" s="718"/>
      <c r="S126" s="718"/>
    </row>
    <row r="127" spans="15:19">
      <c r="O127" s="928"/>
      <c r="Q127" s="863"/>
      <c r="R127" s="718"/>
      <c r="S127" s="718"/>
    </row>
    <row r="128" spans="15:19">
      <c r="O128" s="928"/>
      <c r="Q128" s="863"/>
      <c r="R128" s="718"/>
      <c r="S128" s="718"/>
    </row>
    <row r="129" spans="15:39">
      <c r="O129" s="928"/>
      <c r="Q129" s="863"/>
      <c r="R129" s="718"/>
      <c r="S129" s="718"/>
    </row>
    <row r="130" spans="15:39">
      <c r="O130" s="928"/>
      <c r="Q130" s="863"/>
      <c r="R130" s="718"/>
      <c r="S130" s="718"/>
    </row>
    <row r="131" spans="15:39">
      <c r="O131" s="928"/>
      <c r="Q131" s="863"/>
      <c r="R131" s="718"/>
      <c r="S131" s="718"/>
    </row>
    <row r="132" spans="15:39">
      <c r="O132" s="928"/>
      <c r="Q132" s="863"/>
      <c r="R132" s="718"/>
      <c r="S132" s="718"/>
    </row>
    <row r="133" spans="15:39">
      <c r="O133" s="928"/>
      <c r="Q133" s="863"/>
      <c r="R133" s="718"/>
      <c r="S133" s="718"/>
    </row>
    <row r="134" spans="15:39">
      <c r="O134" s="928"/>
      <c r="Q134" s="863"/>
      <c r="R134" s="718"/>
      <c r="S134" s="718"/>
    </row>
    <row r="135" spans="15:39">
      <c r="O135" s="928"/>
      <c r="Q135" s="863"/>
      <c r="R135" s="718"/>
      <c r="S135" s="718"/>
    </row>
    <row r="136" spans="15:39">
      <c r="O136" s="928"/>
      <c r="Q136" s="863"/>
      <c r="R136" s="718"/>
      <c r="S136" s="718"/>
      <c r="AE136" s="930"/>
      <c r="AM136" s="718"/>
    </row>
    <row r="137" spans="15:39">
      <c r="O137" s="928"/>
      <c r="Q137" s="863"/>
      <c r="R137" s="718"/>
      <c r="S137" s="718"/>
      <c r="AE137" s="930"/>
      <c r="AM137" s="718"/>
    </row>
    <row r="138" spans="15:39">
      <c r="O138" s="928"/>
      <c r="Q138" s="863"/>
      <c r="R138" s="718"/>
      <c r="S138" s="718"/>
    </row>
    <row r="139" spans="15:39">
      <c r="O139" s="928"/>
      <c r="Q139" s="863"/>
      <c r="R139" s="718"/>
      <c r="S139" s="718"/>
    </row>
    <row r="140" spans="15:39">
      <c r="O140" s="928"/>
      <c r="Q140" s="863"/>
      <c r="R140" s="718"/>
      <c r="S140" s="718"/>
    </row>
    <row r="141" spans="15:39">
      <c r="O141" s="928"/>
      <c r="Q141" s="863"/>
      <c r="R141" s="718"/>
      <c r="S141" s="718"/>
    </row>
    <row r="142" spans="15:39">
      <c r="O142" s="928"/>
      <c r="Q142" s="863"/>
      <c r="R142" s="718"/>
      <c r="S142" s="718"/>
    </row>
    <row r="143" spans="15:39">
      <c r="O143" s="928"/>
      <c r="Q143" s="863"/>
      <c r="R143" s="718"/>
      <c r="S143" s="718"/>
      <c r="U143" s="863"/>
    </row>
    <row r="144" spans="15:39">
      <c r="O144" s="928"/>
      <c r="Q144" s="863"/>
      <c r="R144" s="718"/>
      <c r="S144" s="718"/>
    </row>
    <row r="145" spans="15:19">
      <c r="O145" s="928"/>
      <c r="Q145" s="863"/>
      <c r="R145" s="718"/>
      <c r="S145" s="718"/>
    </row>
    <row r="146" spans="15:19">
      <c r="O146" s="928"/>
      <c r="Q146" s="863"/>
      <c r="R146" s="718"/>
      <c r="S146" s="718"/>
    </row>
    <row r="147" spans="15:19">
      <c r="O147" s="928"/>
      <c r="Q147" s="863"/>
      <c r="R147" s="718"/>
      <c r="S147" s="718"/>
    </row>
    <row r="148" spans="15:19">
      <c r="O148" s="928"/>
      <c r="Q148" s="863"/>
      <c r="R148" s="718"/>
      <c r="S148" s="718"/>
    </row>
    <row r="149" spans="15:19">
      <c r="O149" s="928"/>
      <c r="Q149" s="863"/>
      <c r="R149" s="718"/>
      <c r="S149" s="718"/>
    </row>
    <row r="150" spans="15:19">
      <c r="O150" s="928"/>
      <c r="Q150" s="863"/>
      <c r="R150" s="718"/>
      <c r="S150" s="718"/>
    </row>
    <row r="151" spans="15:19">
      <c r="O151" s="928"/>
      <c r="Q151" s="863"/>
      <c r="R151" s="718"/>
      <c r="S151" s="718"/>
    </row>
    <row r="152" spans="15:19">
      <c r="O152" s="928"/>
      <c r="Q152" s="863"/>
      <c r="R152" s="718"/>
      <c r="S152" s="718"/>
    </row>
    <row r="153" spans="15:19">
      <c r="O153" s="928"/>
      <c r="Q153" s="863"/>
      <c r="R153" s="718"/>
      <c r="S153" s="718"/>
    </row>
    <row r="154" spans="15:19">
      <c r="O154" s="928"/>
      <c r="Q154" s="863"/>
      <c r="R154" s="718"/>
      <c r="S154" s="718"/>
    </row>
    <row r="155" spans="15:19">
      <c r="O155" s="928"/>
      <c r="Q155" s="863"/>
      <c r="R155" s="718"/>
      <c r="S155" s="718"/>
    </row>
    <row r="156" spans="15:19">
      <c r="O156" s="928"/>
      <c r="Q156" s="863"/>
      <c r="R156" s="718"/>
      <c r="S156" s="718"/>
    </row>
    <row r="157" spans="15:19">
      <c r="O157" s="928"/>
      <c r="Q157" s="863"/>
      <c r="R157" s="718"/>
      <c r="S157" s="718"/>
    </row>
    <row r="158" spans="15:19">
      <c r="O158" s="928"/>
      <c r="Q158" s="863"/>
      <c r="R158" s="718"/>
      <c r="S158" s="718"/>
    </row>
    <row r="159" spans="15:19">
      <c r="O159" s="928"/>
      <c r="Q159" s="863"/>
      <c r="R159" s="718"/>
      <c r="S159" s="718"/>
    </row>
    <row r="160" spans="15:19">
      <c r="O160" s="928"/>
      <c r="Q160" s="863"/>
      <c r="R160" s="718"/>
      <c r="S160" s="718"/>
    </row>
  </sheetData>
  <mergeCells count="110">
    <mergeCell ref="A1:J1"/>
    <mergeCell ref="A2:B2"/>
    <mergeCell ref="C2:D2"/>
    <mergeCell ref="E2:F2"/>
    <mergeCell ref="G2:H2"/>
    <mergeCell ref="I2:J2"/>
    <mergeCell ref="V8:Z8"/>
    <mergeCell ref="AD8:AE8"/>
    <mergeCell ref="C9:J9"/>
    <mergeCell ref="A3:A7"/>
    <mergeCell ref="C3:J3"/>
    <mergeCell ref="C4:J4"/>
    <mergeCell ref="C5:D5"/>
    <mergeCell ref="E5:F5"/>
    <mergeCell ref="G5:J7"/>
    <mergeCell ref="C6:D6"/>
    <mergeCell ref="E6:F6"/>
    <mergeCell ref="C7:D7"/>
    <mergeCell ref="E7:F7"/>
    <mergeCell ref="A13:A16"/>
    <mergeCell ref="C13:J13"/>
    <mergeCell ref="C14:J14"/>
    <mergeCell ref="C15:J15"/>
    <mergeCell ref="C16:J16"/>
    <mergeCell ref="A8:A12"/>
    <mergeCell ref="C8:J8"/>
    <mergeCell ref="A17:A21"/>
    <mergeCell ref="C17:J17"/>
    <mergeCell ref="C18:J18"/>
    <mergeCell ref="C19:F21"/>
    <mergeCell ref="G19:H19"/>
    <mergeCell ref="I19:J19"/>
    <mergeCell ref="G20:H20"/>
    <mergeCell ref="I20:J20"/>
    <mergeCell ref="G21:H21"/>
    <mergeCell ref="I21:J21"/>
    <mergeCell ref="C10:F12"/>
    <mergeCell ref="G10:H10"/>
    <mergeCell ref="I10:J10"/>
    <mergeCell ref="G11:H11"/>
    <mergeCell ref="I11:J11"/>
    <mergeCell ref="G12:H12"/>
    <mergeCell ref="I12:J12"/>
    <mergeCell ref="A27:A30"/>
    <mergeCell ref="C27:J27"/>
    <mergeCell ref="C28:J28"/>
    <mergeCell ref="C29:D29"/>
    <mergeCell ref="E29:F29"/>
    <mergeCell ref="G29:H29"/>
    <mergeCell ref="I29:J29"/>
    <mergeCell ref="A22:A26"/>
    <mergeCell ref="C22:J22"/>
    <mergeCell ref="C23:J23"/>
    <mergeCell ref="C24:F26"/>
    <mergeCell ref="G24:H24"/>
    <mergeCell ref="I24:J24"/>
    <mergeCell ref="G25:H25"/>
    <mergeCell ref="I25:J25"/>
    <mergeCell ref="G26:H26"/>
    <mergeCell ref="I26:J26"/>
    <mergeCell ref="G34:H34"/>
    <mergeCell ref="I34:J34"/>
    <mergeCell ref="M34:N34"/>
    <mergeCell ref="O34:P34"/>
    <mergeCell ref="Q34:R34"/>
    <mergeCell ref="M29:N29"/>
    <mergeCell ref="O29:P29"/>
    <mergeCell ref="Q29:S29"/>
    <mergeCell ref="C30:D30"/>
    <mergeCell ref="E30:F30"/>
    <mergeCell ref="G30:H30"/>
    <mergeCell ref="I30:J30"/>
    <mergeCell ref="M30:N30"/>
    <mergeCell ref="O30:P30"/>
    <mergeCell ref="Q30:R30"/>
    <mergeCell ref="A36:A39"/>
    <mergeCell ref="C36:J36"/>
    <mergeCell ref="M36:N36"/>
    <mergeCell ref="O36:P36"/>
    <mergeCell ref="Q36:R36"/>
    <mergeCell ref="A31:A35"/>
    <mergeCell ref="C31:J31"/>
    <mergeCell ref="M31:N31"/>
    <mergeCell ref="O31:P31"/>
    <mergeCell ref="Q31:R31"/>
    <mergeCell ref="C32:J32"/>
    <mergeCell ref="M32:N32"/>
    <mergeCell ref="O32:P32"/>
    <mergeCell ref="Q32:R32"/>
    <mergeCell ref="C33:F35"/>
    <mergeCell ref="C39:J39"/>
    <mergeCell ref="B37:B38"/>
    <mergeCell ref="C37:J37"/>
    <mergeCell ref="M37:N37"/>
    <mergeCell ref="G33:H33"/>
    <mergeCell ref="I33:J33"/>
    <mergeCell ref="M33:N33"/>
    <mergeCell ref="O33:P33"/>
    <mergeCell ref="Q33:R33"/>
    <mergeCell ref="O37:P37"/>
    <mergeCell ref="Q37:R37"/>
    <mergeCell ref="C38:J38"/>
    <mergeCell ref="M38:N38"/>
    <mergeCell ref="O38:P38"/>
    <mergeCell ref="Q38:R38"/>
    <mergeCell ref="G35:H35"/>
    <mergeCell ref="I35:J35"/>
    <mergeCell ref="M35:N35"/>
    <mergeCell ref="O35:P35"/>
    <mergeCell ref="Q35:R35"/>
  </mergeCells>
  <phoneticPr fontId="2" type="noConversion"/>
  <printOptions horizontalCentered="1"/>
  <pageMargins left="0.51181102362204722" right="0.51181102362204722" top="0.55118110236220474" bottom="0.55118110236220474" header="0.31496062992125984" footer="0.31496062992125984"/>
  <pageSetup paperSize="9" scale="77" orientation="portrait"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5"/>
  <sheetViews>
    <sheetView view="pageBreakPreview" topLeftCell="A12" zoomScale="85" zoomScaleNormal="70" zoomScaleSheetLayoutView="85" workbookViewId="0">
      <selection activeCell="I8" sqref="I7:K9"/>
    </sheetView>
  </sheetViews>
  <sheetFormatPr defaultRowHeight="16.5"/>
  <cols>
    <col min="1" max="1" width="29.25" style="698" customWidth="1"/>
    <col min="2" max="8" width="9" style="698"/>
    <col min="9" max="9" width="10.75" style="698" bestFit="1" customWidth="1"/>
    <col min="10" max="11" width="9" style="698"/>
    <col min="12" max="12" width="10.625" style="698" bestFit="1" customWidth="1"/>
    <col min="13" max="14" width="9" style="698"/>
    <col min="15" max="15" width="10.75" style="698" customWidth="1"/>
    <col min="16" max="16384" width="9" style="698"/>
  </cols>
  <sheetData>
    <row r="1" spans="1:24" ht="46.5" customHeight="1">
      <c r="A1" s="1545" t="s">
        <v>1138</v>
      </c>
      <c r="B1" s="1809"/>
      <c r="C1" s="1809"/>
      <c r="D1" s="1809"/>
      <c r="E1" s="1809"/>
      <c r="F1" s="1809"/>
      <c r="G1" s="1809"/>
      <c r="H1" s="1809"/>
      <c r="I1" s="1809"/>
      <c r="K1" s="22" t="s">
        <v>1139</v>
      </c>
      <c r="L1" s="22"/>
      <c r="P1" s="22" t="s">
        <v>58</v>
      </c>
      <c r="R1" s="324"/>
      <c r="X1" s="698">
        <f>+용역비총괄표!O9</f>
        <v>0.95469700000000002</v>
      </c>
    </row>
    <row r="2" spans="1:24" ht="15.75" customHeight="1">
      <c r="A2" s="931"/>
      <c r="B2" s="931"/>
      <c r="C2" s="932"/>
      <c r="D2" s="932"/>
      <c r="E2" s="932"/>
      <c r="F2" s="932"/>
      <c r="G2" s="458"/>
      <c r="H2" s="458"/>
      <c r="I2" s="458"/>
      <c r="K2" s="22" t="s">
        <v>59</v>
      </c>
      <c r="L2" s="22"/>
      <c r="N2" s="301" t="s">
        <v>60</v>
      </c>
      <c r="R2" s="324"/>
    </row>
    <row r="3" spans="1:24" ht="21" customHeight="1">
      <c r="A3" s="933" t="s">
        <v>1140</v>
      </c>
      <c r="B3" s="934"/>
      <c r="C3" s="934"/>
      <c r="D3" s="934"/>
      <c r="E3" s="934"/>
      <c r="F3" s="935"/>
      <c r="G3" s="935"/>
      <c r="H3" s="935"/>
      <c r="I3" s="935"/>
      <c r="J3" s="935"/>
      <c r="K3" s="936" t="s">
        <v>61</v>
      </c>
      <c r="L3" s="936" t="s">
        <v>62</v>
      </c>
      <c r="M3" s="936" t="s">
        <v>63</v>
      </c>
      <c r="N3" s="936" t="s">
        <v>64</v>
      </c>
      <c r="O3" s="338"/>
      <c r="P3" s="937" t="s">
        <v>30</v>
      </c>
      <c r="Q3" s="938" t="s">
        <v>65</v>
      </c>
      <c r="R3" s="938" t="s">
        <v>66</v>
      </c>
      <c r="S3" s="938" t="s">
        <v>67</v>
      </c>
      <c r="T3" s="338"/>
      <c r="U3" s="338"/>
    </row>
    <row r="4" spans="1:24" ht="21" customHeight="1">
      <c r="A4" s="939" t="s">
        <v>1141</v>
      </c>
      <c r="B4" s="939"/>
      <c r="C4" s="939"/>
      <c r="D4" s="939"/>
      <c r="E4" s="940"/>
      <c r="F4" s="941"/>
      <c r="G4" s="941"/>
      <c r="H4" s="941"/>
      <c r="I4" s="941"/>
      <c r="J4" s="941"/>
      <c r="K4" s="1810" t="s">
        <v>68</v>
      </c>
      <c r="L4" s="936" t="s">
        <v>69</v>
      </c>
      <c r="M4" s="942">
        <v>15080</v>
      </c>
      <c r="N4" s="943">
        <v>132</v>
      </c>
      <c r="P4" s="937" t="s">
        <v>68</v>
      </c>
      <c r="Q4" s="944">
        <v>8560</v>
      </c>
      <c r="R4" s="944">
        <v>6690</v>
      </c>
      <c r="S4" s="944">
        <v>4420</v>
      </c>
    </row>
    <row r="5" spans="1:24" ht="21" customHeight="1">
      <c r="A5" s="945" t="s">
        <v>1142</v>
      </c>
      <c r="B5" s="945"/>
      <c r="C5" s="945"/>
      <c r="D5" s="945"/>
      <c r="K5" s="1810"/>
      <c r="L5" s="936" t="s">
        <v>70</v>
      </c>
      <c r="M5" s="942">
        <v>15270</v>
      </c>
      <c r="N5" s="943">
        <v>157</v>
      </c>
      <c r="P5" s="937" t="s">
        <v>71</v>
      </c>
      <c r="Q5" s="944">
        <v>6780</v>
      </c>
      <c r="R5" s="946">
        <v>5150</v>
      </c>
      <c r="S5" s="944">
        <v>3500</v>
      </c>
    </row>
    <row r="6" spans="1:24" ht="21" customHeight="1">
      <c r="A6" s="945"/>
      <c r="B6" s="945"/>
      <c r="C6" s="945"/>
      <c r="D6" s="945"/>
      <c r="J6" s="941"/>
      <c r="K6" s="1810"/>
      <c r="L6" s="936" t="s">
        <v>72</v>
      </c>
      <c r="M6" s="947">
        <v>15370</v>
      </c>
      <c r="N6" s="943">
        <v>183</v>
      </c>
      <c r="P6" s="937" t="s">
        <v>73</v>
      </c>
      <c r="Q6" s="944">
        <v>4620</v>
      </c>
      <c r="R6" s="944">
        <v>3470</v>
      </c>
      <c r="S6" s="944">
        <v>2380</v>
      </c>
    </row>
    <row r="7" spans="1:24" ht="21" customHeight="1">
      <c r="A7" s="706" t="s">
        <v>1143</v>
      </c>
      <c r="B7" s="948"/>
      <c r="C7" s="949"/>
      <c r="D7" s="948"/>
      <c r="E7" s="948"/>
      <c r="F7" s="948"/>
      <c r="G7" s="948"/>
      <c r="H7" s="300"/>
      <c r="I7" s="300"/>
      <c r="J7" s="300"/>
      <c r="K7" s="1810" t="s">
        <v>71</v>
      </c>
      <c r="L7" s="936" t="s">
        <v>69</v>
      </c>
      <c r="M7" s="947">
        <v>11960</v>
      </c>
      <c r="N7" s="943">
        <v>122</v>
      </c>
      <c r="P7" s="937" t="s">
        <v>74</v>
      </c>
      <c r="Q7" s="944">
        <v>2950</v>
      </c>
      <c r="R7" s="944">
        <v>2320</v>
      </c>
      <c r="S7" s="944">
        <v>1530</v>
      </c>
    </row>
    <row r="8" spans="1:24" ht="21" customHeight="1">
      <c r="A8" s="505"/>
      <c r="B8" s="505"/>
      <c r="C8" s="505"/>
      <c r="D8" s="505"/>
      <c r="E8" s="505"/>
      <c r="F8" s="505"/>
      <c r="I8" s="301"/>
      <c r="K8" s="1810"/>
      <c r="L8" s="936" t="s">
        <v>70</v>
      </c>
      <c r="M8" s="947">
        <v>12040</v>
      </c>
      <c r="N8" s="943">
        <v>140</v>
      </c>
      <c r="P8" s="937" t="s">
        <v>75</v>
      </c>
      <c r="Q8" s="944">
        <v>2390</v>
      </c>
      <c r="R8" s="944">
        <v>1500</v>
      </c>
      <c r="S8" s="944">
        <v>1240</v>
      </c>
    </row>
    <row r="9" spans="1:24" ht="21" customHeight="1">
      <c r="A9" s="950" t="s">
        <v>1144</v>
      </c>
      <c r="B9" s="951"/>
      <c r="C9" s="951"/>
      <c r="D9" s="952"/>
      <c r="E9" s="952"/>
      <c r="F9" s="952"/>
      <c r="G9" s="952"/>
      <c r="H9" s="952"/>
      <c r="I9" s="952"/>
      <c r="J9" s="953"/>
      <c r="K9" s="1810"/>
      <c r="L9" s="936" t="s">
        <v>72</v>
      </c>
      <c r="M9" s="947">
        <v>12150</v>
      </c>
      <c r="N9" s="943">
        <v>157</v>
      </c>
      <c r="P9" s="22" t="s">
        <v>1145</v>
      </c>
      <c r="R9" s="324"/>
    </row>
    <row r="10" spans="1:24" ht="21" customHeight="1">
      <c r="A10" s="950" t="s">
        <v>1146</v>
      </c>
      <c r="B10" s="951"/>
      <c r="C10" s="951"/>
      <c r="D10" s="498"/>
      <c r="E10" s="498"/>
      <c r="F10" s="498"/>
      <c r="G10" s="498"/>
      <c r="H10" s="498"/>
      <c r="I10" s="498"/>
      <c r="J10" s="953"/>
      <c r="K10" s="1810" t="s">
        <v>73</v>
      </c>
      <c r="L10" s="936" t="s">
        <v>69</v>
      </c>
      <c r="M10" s="942">
        <v>8070</v>
      </c>
      <c r="N10" s="943">
        <v>81</v>
      </c>
      <c r="P10" s="22" t="s">
        <v>1147</v>
      </c>
      <c r="R10" s="324"/>
    </row>
    <row r="11" spans="1:24" ht="21" customHeight="1">
      <c r="A11" s="951" t="s">
        <v>1148</v>
      </c>
      <c r="B11" s="951"/>
      <c r="C11" s="951"/>
      <c r="D11" s="954"/>
      <c r="E11" s="498"/>
      <c r="F11" s="498"/>
      <c r="G11" s="498"/>
      <c r="H11" s="498"/>
      <c r="I11" s="498"/>
      <c r="K11" s="1810"/>
      <c r="L11" s="936" t="s">
        <v>70</v>
      </c>
      <c r="M11" s="942">
        <v>8120</v>
      </c>
      <c r="N11" s="943">
        <v>91</v>
      </c>
      <c r="P11" s="22" t="s">
        <v>1149</v>
      </c>
      <c r="R11" s="324"/>
    </row>
    <row r="12" spans="1:24" ht="21" customHeight="1">
      <c r="A12" s="950" t="s">
        <v>1150</v>
      </c>
      <c r="B12" s="951"/>
      <c r="C12" s="951"/>
      <c r="D12" s="954"/>
      <c r="E12" s="498"/>
      <c r="F12" s="498"/>
      <c r="G12" s="498"/>
      <c r="H12" s="498"/>
      <c r="I12" s="498"/>
      <c r="K12" s="1810"/>
      <c r="L12" s="936" t="s">
        <v>72</v>
      </c>
      <c r="M12" s="942">
        <v>8180</v>
      </c>
      <c r="N12" s="943">
        <v>101</v>
      </c>
      <c r="R12" s="324"/>
    </row>
    <row r="13" spans="1:24" ht="21" customHeight="1">
      <c r="B13" s="951"/>
      <c r="C13" s="951"/>
      <c r="D13" s="955"/>
      <c r="E13" s="955"/>
      <c r="F13" s="955"/>
      <c r="G13" s="955"/>
      <c r="H13" s="956"/>
      <c r="I13" s="957" t="s">
        <v>1151</v>
      </c>
      <c r="K13" s="1810" t="s">
        <v>74</v>
      </c>
      <c r="L13" s="936" t="s">
        <v>69</v>
      </c>
      <c r="M13" s="942">
        <v>5510</v>
      </c>
      <c r="N13" s="943">
        <v>72</v>
      </c>
      <c r="R13" s="324"/>
    </row>
    <row r="14" spans="1:24" ht="21" customHeight="1">
      <c r="A14" s="1811" t="s">
        <v>1152</v>
      </c>
      <c r="B14" s="1811"/>
      <c r="C14" s="1811"/>
      <c r="D14" s="958" t="s">
        <v>1153</v>
      </c>
      <c r="E14" s="958" t="s">
        <v>1154</v>
      </c>
      <c r="F14" s="1811" t="s">
        <v>1155</v>
      </c>
      <c r="G14" s="1811"/>
      <c r="H14" s="1811" t="s">
        <v>1156</v>
      </c>
      <c r="I14" s="1811"/>
      <c r="K14" s="1810"/>
      <c r="L14" s="936" t="s">
        <v>70</v>
      </c>
      <c r="M14" s="942">
        <v>5540</v>
      </c>
      <c r="N14" s="943">
        <v>74</v>
      </c>
      <c r="R14" s="324"/>
    </row>
    <row r="15" spans="1:24" ht="21" customHeight="1">
      <c r="A15" s="1812" t="s">
        <v>1237</v>
      </c>
      <c r="B15" s="1812"/>
      <c r="C15" s="1812"/>
      <c r="D15" s="1030"/>
      <c r="E15" s="1030"/>
      <c r="F15" s="1813"/>
      <c r="G15" s="1814"/>
      <c r="H15" s="1815">
        <f>H16+H20+H22+H31</f>
        <v>6250926.3423500005</v>
      </c>
      <c r="I15" s="1816"/>
      <c r="K15" s="1810"/>
      <c r="L15" s="936" t="s">
        <v>72</v>
      </c>
      <c r="M15" s="942">
        <v>5580</v>
      </c>
      <c r="N15" s="943">
        <v>80</v>
      </c>
      <c r="R15" s="324"/>
    </row>
    <row r="16" spans="1:24" ht="21" customHeight="1">
      <c r="A16" s="1028" t="s">
        <v>1236</v>
      </c>
      <c r="B16" s="1029"/>
      <c r="C16" s="1029"/>
      <c r="D16" s="1033"/>
      <c r="E16" s="1033"/>
      <c r="F16" s="1791"/>
      <c r="G16" s="1791"/>
      <c r="H16" s="1820">
        <f>SUM(H17:I19)</f>
        <v>1476773.0544500002</v>
      </c>
      <c r="I16" s="1821"/>
      <c r="K16" s="1810" t="s">
        <v>75</v>
      </c>
      <c r="L16" s="936" t="s">
        <v>69</v>
      </c>
      <c r="M16" s="942">
        <v>4150</v>
      </c>
      <c r="N16" s="943">
        <v>47</v>
      </c>
      <c r="R16" s="324"/>
    </row>
    <row r="17" spans="1:18" ht="21" customHeight="1">
      <c r="A17" s="1803" t="s">
        <v>1249</v>
      </c>
      <c r="B17" s="1804"/>
      <c r="C17" s="1805"/>
      <c r="D17" s="960">
        <v>50</v>
      </c>
      <c r="E17" s="960">
        <v>200</v>
      </c>
      <c r="F17" s="1795">
        <f>($M$9+((D17-50)/10)*$N$9-$R$5)*X1</f>
        <v>6682.8789999999999</v>
      </c>
      <c r="G17" s="1796"/>
      <c r="H17" s="1795">
        <f>F17*E17</f>
        <v>1336575.8</v>
      </c>
      <c r="I17" s="1795"/>
      <c r="K17" s="1810"/>
      <c r="L17" s="936" t="s">
        <v>70</v>
      </c>
      <c r="M17" s="942">
        <v>4160</v>
      </c>
      <c r="N17" s="943">
        <v>50</v>
      </c>
      <c r="R17" s="324"/>
    </row>
    <row r="18" spans="1:18" ht="21" customHeight="1">
      <c r="A18" s="1803" t="s">
        <v>1250</v>
      </c>
      <c r="B18" s="1804"/>
      <c r="C18" s="1805"/>
      <c r="D18" s="960">
        <v>50</v>
      </c>
      <c r="E18" s="960">
        <v>1</v>
      </c>
      <c r="F18" s="1789">
        <f>(($M$6+(D18-50)/10*$N$6)*5)*X1</f>
        <v>73368.464449999999</v>
      </c>
      <c r="G18" s="1790"/>
      <c r="H18" s="1789">
        <f>F18*E18</f>
        <v>73368.464449999999</v>
      </c>
      <c r="I18" s="1790"/>
      <c r="K18" s="1810"/>
      <c r="L18" s="936" t="s">
        <v>72</v>
      </c>
      <c r="M18" s="942">
        <v>4190</v>
      </c>
      <c r="N18" s="943">
        <v>55</v>
      </c>
      <c r="R18" s="324"/>
    </row>
    <row r="19" spans="1:18" ht="21" customHeight="1">
      <c r="A19" s="1803" t="s">
        <v>1251</v>
      </c>
      <c r="B19" s="1804"/>
      <c r="C19" s="1805"/>
      <c r="D19" s="960">
        <v>50</v>
      </c>
      <c r="E19" s="960">
        <v>10</v>
      </c>
      <c r="F19" s="1795">
        <f>($M$9+((D19-50)/10)*$N$9-$R$5)*X1</f>
        <v>6682.8789999999999</v>
      </c>
      <c r="G19" s="1796"/>
      <c r="H19" s="1789">
        <f>F19*E19</f>
        <v>66828.789999999994</v>
      </c>
      <c r="I19" s="1790"/>
    </row>
    <row r="20" spans="1:18" s="1025" customFormat="1" ht="21" customHeight="1">
      <c r="A20" s="1798" t="s">
        <v>1238</v>
      </c>
      <c r="B20" s="1799"/>
      <c r="C20" s="1799"/>
      <c r="D20" s="1799"/>
      <c r="E20" s="1799"/>
      <c r="F20" s="1799"/>
      <c r="G20" s="1800"/>
      <c r="H20" s="1818">
        <f>H21</f>
        <v>1336575.8</v>
      </c>
      <c r="I20" s="1819"/>
      <c r="K20" s="945" t="s">
        <v>1158</v>
      </c>
      <c r="L20" s="698"/>
      <c r="M20" s="698"/>
    </row>
    <row r="21" spans="1:18" s="1025" customFormat="1" ht="21" customHeight="1">
      <c r="A21" s="1806" t="s">
        <v>1248</v>
      </c>
      <c r="B21" s="1807"/>
      <c r="C21" s="1808"/>
      <c r="D21" s="1031">
        <v>50</v>
      </c>
      <c r="E21" s="1031">
        <v>200</v>
      </c>
      <c r="F21" s="1795">
        <f>($M$9+((D21-50)/10)*$N$9-$R$5)*X1</f>
        <v>6682.8789999999999</v>
      </c>
      <c r="G21" s="1796"/>
      <c r="H21" s="1789">
        <f>F21*E21</f>
        <v>1336575.8</v>
      </c>
      <c r="I21" s="1790"/>
      <c r="K21" s="945" t="s">
        <v>1160</v>
      </c>
      <c r="L21" s="698"/>
      <c r="M21" s="698"/>
    </row>
    <row r="22" spans="1:18" s="1025" customFormat="1" ht="21" customHeight="1">
      <c r="A22" s="1798" t="s">
        <v>1239</v>
      </c>
      <c r="B22" s="1799"/>
      <c r="C22" s="1799"/>
      <c r="D22" s="1799"/>
      <c r="E22" s="1799"/>
      <c r="F22" s="1799"/>
      <c r="G22" s="1800"/>
      <c r="H22" s="1818">
        <f>H23+H27</f>
        <v>1951114.2589000002</v>
      </c>
      <c r="I22" s="1819"/>
      <c r="K22" s="945" t="s">
        <v>1162</v>
      </c>
      <c r="L22" s="698"/>
      <c r="M22" s="698"/>
    </row>
    <row r="23" spans="1:18" s="1025" customFormat="1" ht="21" customHeight="1">
      <c r="A23" s="1802" t="s">
        <v>1240</v>
      </c>
      <c r="B23" s="1802"/>
      <c r="C23" s="1802"/>
      <c r="D23" s="1035"/>
      <c r="E23" s="1035"/>
      <c r="F23" s="1801"/>
      <c r="G23" s="1801"/>
      <c r="H23" s="1817">
        <f>SUM(H24:I26)</f>
        <v>1476773.0544500002</v>
      </c>
      <c r="I23" s="1817"/>
      <c r="K23" s="945" t="s">
        <v>1164</v>
      </c>
      <c r="L23" s="698"/>
      <c r="M23" s="698"/>
    </row>
    <row r="24" spans="1:18" s="1025" customFormat="1" ht="21" customHeight="1">
      <c r="A24" s="1793" t="s">
        <v>1241</v>
      </c>
      <c r="B24" s="1793"/>
      <c r="C24" s="1793"/>
      <c r="D24" s="1034">
        <v>50</v>
      </c>
      <c r="E24" s="1034">
        <v>200</v>
      </c>
      <c r="F24" s="1795">
        <f>($M$9+((D24-50)/10)*$N$9-$R$5)*X1</f>
        <v>6682.8789999999999</v>
      </c>
      <c r="G24" s="1796"/>
      <c r="H24" s="1789">
        <f>F24*E24</f>
        <v>1336575.8</v>
      </c>
      <c r="I24" s="1790"/>
      <c r="K24" s="945" t="s">
        <v>1166</v>
      </c>
      <c r="L24" s="698"/>
      <c r="M24" s="698"/>
    </row>
    <row r="25" spans="1:18" s="1025" customFormat="1" ht="21" customHeight="1">
      <c r="A25" s="1793" t="s">
        <v>1242</v>
      </c>
      <c r="B25" s="1793"/>
      <c r="C25" s="1793"/>
      <c r="D25" s="1034">
        <v>50</v>
      </c>
      <c r="E25" s="1034">
        <v>1</v>
      </c>
      <c r="F25" s="1789">
        <f>(($M$6+(D25-50)/10*$N$6)*5)*X1</f>
        <v>73368.464449999999</v>
      </c>
      <c r="G25" s="1790"/>
      <c r="H25" s="1789">
        <f>F25*E25</f>
        <v>73368.464449999999</v>
      </c>
      <c r="I25" s="1790"/>
      <c r="K25" s="945" t="s">
        <v>1167</v>
      </c>
      <c r="L25" s="698"/>
      <c r="M25" s="698"/>
    </row>
    <row r="26" spans="1:18" customFormat="1" ht="21" customHeight="1">
      <c r="A26" s="1793" t="s">
        <v>1243</v>
      </c>
      <c r="B26" s="1793"/>
      <c r="C26" s="1793"/>
      <c r="D26" s="1034">
        <v>50</v>
      </c>
      <c r="E26" s="1034">
        <v>10</v>
      </c>
      <c r="F26" s="1795">
        <f>($M$9+((D26-50)/10)*$N$9-$R$5)*X1</f>
        <v>6682.8789999999999</v>
      </c>
      <c r="G26" s="1796"/>
      <c r="H26" s="1789">
        <f>F26*E26</f>
        <v>66828.789999999994</v>
      </c>
      <c r="I26" s="1790"/>
      <c r="K26" s="945" t="s">
        <v>1173</v>
      </c>
      <c r="L26" s="698"/>
      <c r="M26" s="698"/>
    </row>
    <row r="27" spans="1:18" s="1025" customFormat="1" ht="21" customHeight="1">
      <c r="A27" s="1802" t="s">
        <v>1244</v>
      </c>
      <c r="B27" s="1802"/>
      <c r="C27" s="1802"/>
      <c r="D27" s="1034"/>
      <c r="E27" s="1034"/>
      <c r="F27" s="1797"/>
      <c r="G27" s="1797"/>
      <c r="H27" s="1817">
        <f>SUM(H28:I30)</f>
        <v>474341.20445000002</v>
      </c>
      <c r="I27" s="1817"/>
      <c r="K27" s="945" t="s">
        <v>1174</v>
      </c>
      <c r="L27" s="698"/>
      <c r="M27" s="698"/>
    </row>
    <row r="28" spans="1:18" s="984" customFormat="1" ht="21" customHeight="1">
      <c r="A28" s="1793" t="s">
        <v>1245</v>
      </c>
      <c r="B28" s="1793"/>
      <c r="C28" s="1793"/>
      <c r="D28" s="1034">
        <v>50</v>
      </c>
      <c r="E28" s="1034">
        <v>50</v>
      </c>
      <c r="F28" s="1795">
        <f>($M$9+((D28-50)/10)*$N$9-$R$5)*X1</f>
        <v>6682.8789999999999</v>
      </c>
      <c r="G28" s="1796"/>
      <c r="H28" s="1789">
        <f>F28*E28</f>
        <v>334143.95</v>
      </c>
      <c r="I28" s="1790"/>
      <c r="K28" s="945" t="s">
        <v>1176</v>
      </c>
      <c r="L28" s="945"/>
      <c r="M28" s="945"/>
    </row>
    <row r="29" spans="1:18" s="984" customFormat="1" ht="21" customHeight="1">
      <c r="A29" s="1793" t="s">
        <v>1242</v>
      </c>
      <c r="B29" s="1793"/>
      <c r="C29" s="1793"/>
      <c r="D29" s="1034">
        <v>50</v>
      </c>
      <c r="E29" s="1034">
        <v>1</v>
      </c>
      <c r="F29" s="1789">
        <f>(($M$6+(D29-50)/10*$N$6)*5)*X1</f>
        <v>73368.464449999999</v>
      </c>
      <c r="G29" s="1790"/>
      <c r="H29" s="1789">
        <f>F29*E29</f>
        <v>73368.464449999999</v>
      </c>
      <c r="I29" s="1790"/>
      <c r="K29" s="945" t="s">
        <v>1178</v>
      </c>
      <c r="L29" s="945"/>
      <c r="M29" s="945"/>
    </row>
    <row r="30" spans="1:18" s="1025" customFormat="1" ht="21" customHeight="1">
      <c r="A30" s="1793" t="s">
        <v>1243</v>
      </c>
      <c r="B30" s="1793"/>
      <c r="C30" s="1793"/>
      <c r="D30" s="1034">
        <v>50</v>
      </c>
      <c r="E30" s="1034">
        <v>10</v>
      </c>
      <c r="F30" s="1795">
        <f>($M$9+((D30-50)/10)*$N$9-$R$5)*X1</f>
        <v>6682.8789999999999</v>
      </c>
      <c r="G30" s="1796"/>
      <c r="H30" s="1789">
        <f>F30*E30</f>
        <v>66828.789999999994</v>
      </c>
      <c r="I30" s="1790"/>
      <c r="K30" s="945" t="s">
        <v>1180</v>
      </c>
      <c r="L30" s="945"/>
      <c r="M30" s="945"/>
    </row>
    <row r="31" spans="1:18" s="1025" customFormat="1" ht="21" customHeight="1">
      <c r="A31" s="1798" t="s">
        <v>1246</v>
      </c>
      <c r="B31" s="1799"/>
      <c r="C31" s="1799"/>
      <c r="D31" s="1799"/>
      <c r="E31" s="1799"/>
      <c r="F31" s="1799"/>
      <c r="G31" s="1800"/>
      <c r="H31" s="1792">
        <f>+H32</f>
        <v>1486463.2290000001</v>
      </c>
      <c r="I31" s="1792"/>
    </row>
    <row r="32" spans="1:18" ht="21" customHeight="1">
      <c r="A32" s="1793" t="s">
        <v>1247</v>
      </c>
      <c r="B32" s="1793"/>
      <c r="C32" s="1793"/>
      <c r="D32" s="1031">
        <v>100</v>
      </c>
      <c r="E32" s="1031">
        <v>200</v>
      </c>
      <c r="F32" s="1795">
        <f>($M$9+((D32-50)/10)*$N$9-$R$5)*X1</f>
        <v>7432.3161449999998</v>
      </c>
      <c r="G32" s="1796"/>
      <c r="H32" s="1789">
        <f>F32*E32</f>
        <v>1486463.2290000001</v>
      </c>
      <c r="I32" s="1790"/>
    </row>
    <row r="33" spans="1:18" s="1036" customFormat="1" ht="21" customHeight="1">
      <c r="A33" s="962"/>
      <c r="B33" s="962"/>
      <c r="C33" s="962"/>
      <c r="D33" s="1037"/>
      <c r="E33" s="1037"/>
      <c r="F33" s="1032"/>
      <c r="G33" s="1032"/>
      <c r="H33" s="1032"/>
      <c r="I33" s="1032"/>
    </row>
    <row r="34" spans="1:18" ht="21" customHeight="1">
      <c r="A34" s="961" t="s">
        <v>1159</v>
      </c>
      <c r="B34" s="324"/>
      <c r="C34" s="324"/>
      <c r="D34" s="324"/>
      <c r="E34" s="324"/>
      <c r="F34" s="324"/>
      <c r="G34" s="269"/>
      <c r="H34" s="269"/>
      <c r="I34" s="269"/>
      <c r="K34" s="974" t="s">
        <v>1183</v>
      </c>
      <c r="N34" s="975" t="s">
        <v>1184</v>
      </c>
    </row>
    <row r="35" spans="1:18" ht="21" customHeight="1">
      <c r="A35" s="324" t="s">
        <v>1161</v>
      </c>
      <c r="B35" s="324"/>
      <c r="C35" s="324"/>
      <c r="D35" s="324"/>
      <c r="E35" s="324"/>
      <c r="F35" s="324"/>
      <c r="G35" s="324"/>
      <c r="H35" s="324"/>
      <c r="I35" s="324"/>
      <c r="K35" s="974"/>
      <c r="Q35" s="1783" t="s">
        <v>1151</v>
      </c>
      <c r="R35" s="1783"/>
    </row>
    <row r="36" spans="1:18" ht="21" customHeight="1">
      <c r="A36" s="1788" t="s">
        <v>1229</v>
      </c>
      <c r="B36" s="1788"/>
      <c r="C36" s="1788"/>
      <c r="D36" s="963">
        <v>23700</v>
      </c>
      <c r="E36" s="324" t="s">
        <v>1163</v>
      </c>
      <c r="F36" s="324"/>
      <c r="G36" s="324"/>
      <c r="H36" s="324"/>
      <c r="I36" s="324"/>
      <c r="J36" s="337"/>
      <c r="K36" s="1784" t="s">
        <v>1085</v>
      </c>
      <c r="L36" s="1784" t="s">
        <v>1185</v>
      </c>
      <c r="M36" s="1784"/>
      <c r="N36" s="1784"/>
      <c r="O36" s="1784"/>
      <c r="P36" s="1785" t="s">
        <v>1186</v>
      </c>
      <c r="Q36" s="1785" t="s">
        <v>1187</v>
      </c>
      <c r="R36" s="1785" t="s">
        <v>1188</v>
      </c>
    </row>
    <row r="37" spans="1:18" ht="21" customHeight="1">
      <c r="A37" s="961" t="s">
        <v>1165</v>
      </c>
      <c r="B37" s="964"/>
      <c r="C37" s="964"/>
      <c r="D37" s="965"/>
      <c r="E37" s="951"/>
      <c r="F37" s="951"/>
      <c r="G37" s="951"/>
      <c r="H37" s="951"/>
      <c r="I37" s="966"/>
      <c r="K37" s="1784"/>
      <c r="L37" s="976" t="s">
        <v>1189</v>
      </c>
      <c r="M37" s="976" t="s">
        <v>1190</v>
      </c>
      <c r="N37" s="976" t="s">
        <v>1191</v>
      </c>
      <c r="O37" s="976" t="s">
        <v>1192</v>
      </c>
      <c r="P37" s="1786"/>
      <c r="Q37" s="1786"/>
      <c r="R37" s="1786"/>
    </row>
    <row r="38" spans="1:18" ht="21" customHeight="1">
      <c r="A38" s="503"/>
      <c r="B38" s="967"/>
      <c r="C38" s="967"/>
      <c r="D38" s="967"/>
      <c r="E38" s="967"/>
      <c r="F38" s="967"/>
      <c r="G38" s="968"/>
      <c r="H38" s="969"/>
      <c r="I38" s="957" t="s">
        <v>1151</v>
      </c>
      <c r="K38" s="976" t="s">
        <v>1193</v>
      </c>
      <c r="L38" s="976" t="s">
        <v>1194</v>
      </c>
      <c r="M38" s="976" t="s">
        <v>1195</v>
      </c>
      <c r="N38" s="976" t="s">
        <v>1196</v>
      </c>
      <c r="O38" s="976" t="s">
        <v>1197</v>
      </c>
      <c r="P38" s="977">
        <v>20000</v>
      </c>
      <c r="Q38" s="977">
        <v>60000</v>
      </c>
      <c r="R38" s="977">
        <v>25000</v>
      </c>
    </row>
    <row r="39" spans="1:18" ht="21" customHeight="1">
      <c r="A39" s="970" t="s">
        <v>1168</v>
      </c>
      <c r="B39" s="970"/>
      <c r="C39" s="971"/>
      <c r="D39" s="958" t="s">
        <v>1169</v>
      </c>
      <c r="E39" s="958" t="s">
        <v>1170</v>
      </c>
      <c r="F39" s="958" t="s">
        <v>1171</v>
      </c>
      <c r="G39" s="1316" t="s">
        <v>1431</v>
      </c>
      <c r="H39" s="1316" t="s">
        <v>1172</v>
      </c>
      <c r="I39" s="1335" t="s">
        <v>1156</v>
      </c>
      <c r="K39" s="976" t="s">
        <v>1198</v>
      </c>
      <c r="L39" s="976" t="s">
        <v>1194</v>
      </c>
      <c r="M39" s="976" t="s">
        <v>1199</v>
      </c>
      <c r="N39" s="976" t="s">
        <v>1196</v>
      </c>
      <c r="O39" s="976" t="s">
        <v>1200</v>
      </c>
      <c r="P39" s="977">
        <v>20000</v>
      </c>
      <c r="Q39" s="977">
        <v>50000</v>
      </c>
      <c r="R39" s="977">
        <v>20000</v>
      </c>
    </row>
    <row r="40" spans="1:18" ht="21" customHeight="1">
      <c r="A40" s="1794" t="s">
        <v>1157</v>
      </c>
      <c r="B40" s="1794"/>
      <c r="C40" s="1794"/>
      <c r="D40" s="959"/>
      <c r="E40" s="959"/>
      <c r="F40" s="959"/>
      <c r="G40" s="972"/>
      <c r="H40" s="1315"/>
      <c r="I40" s="1337">
        <f>SUM(I41:I45)</f>
        <v>3409222.9870000002</v>
      </c>
    </row>
    <row r="41" spans="1:18" ht="21" customHeight="1">
      <c r="A41" s="1787" t="s">
        <v>1175</v>
      </c>
      <c r="B41" s="1787"/>
      <c r="C41" s="1787"/>
      <c r="D41" s="973">
        <f>P38</f>
        <v>20000</v>
      </c>
      <c r="E41" s="973">
        <f>R38</f>
        <v>25000</v>
      </c>
      <c r="F41" s="973">
        <f>D36*2</f>
        <v>47400</v>
      </c>
      <c r="G41" s="1338">
        <f>SUM(D41:F41)*$X$1</f>
        <v>88214.002800000002</v>
      </c>
      <c r="H41" s="1314">
        <v>5</v>
      </c>
      <c r="I41" s="1336">
        <f>+G41*H41</f>
        <v>441070.01400000002</v>
      </c>
      <c r="N41" s="945"/>
      <c r="O41" s="945"/>
      <c r="P41" s="945"/>
      <c r="Q41" s="945"/>
    </row>
    <row r="42" spans="1:18" ht="21" customHeight="1">
      <c r="A42" s="1787" t="s">
        <v>1177</v>
      </c>
      <c r="B42" s="1787"/>
      <c r="C42" s="1787"/>
      <c r="D42" s="973">
        <f>P38</f>
        <v>20000</v>
      </c>
      <c r="E42" s="973">
        <f>R38</f>
        <v>25000</v>
      </c>
      <c r="F42" s="973">
        <f>D36*2</f>
        <v>47400</v>
      </c>
      <c r="G42" s="1338">
        <f>SUM(D42:F42)*$X$1</f>
        <v>88214.002800000002</v>
      </c>
      <c r="H42" s="1314">
        <v>10</v>
      </c>
      <c r="I42" s="1336">
        <f>+G42*H42</f>
        <v>882140.02800000005</v>
      </c>
      <c r="N42" s="945"/>
      <c r="O42" s="945"/>
      <c r="P42" s="945"/>
      <c r="Q42" s="945"/>
    </row>
    <row r="43" spans="1:18" ht="21" customHeight="1">
      <c r="A43" s="1787" t="s">
        <v>1179</v>
      </c>
      <c r="B43" s="1787"/>
      <c r="C43" s="1787"/>
      <c r="D43" s="973">
        <f>P39</f>
        <v>20000</v>
      </c>
      <c r="E43" s="973">
        <f>R39</f>
        <v>20000</v>
      </c>
      <c r="F43" s="973">
        <f>D36*2</f>
        <v>47400</v>
      </c>
      <c r="G43" s="1338">
        <f>SUM(D43:F43)*$X$1</f>
        <v>83440.517800000001</v>
      </c>
      <c r="H43" s="1314">
        <v>10</v>
      </c>
      <c r="I43" s="1336">
        <f>+G43*H43</f>
        <v>834405.17800000007</v>
      </c>
      <c r="N43" s="945"/>
      <c r="O43" s="945"/>
      <c r="P43" s="945"/>
      <c r="Q43" s="945"/>
    </row>
    <row r="44" spans="1:18" ht="21" customHeight="1">
      <c r="A44" s="1787" t="s">
        <v>1181</v>
      </c>
      <c r="B44" s="1787"/>
      <c r="C44" s="1787"/>
      <c r="D44" s="973">
        <f>P39</f>
        <v>20000</v>
      </c>
      <c r="E44" s="973">
        <f>R39</f>
        <v>20000</v>
      </c>
      <c r="F44" s="973">
        <f>D36*2</f>
        <v>47400</v>
      </c>
      <c r="G44" s="1338">
        <f>SUM(D44:F44)*$X$1</f>
        <v>83440.517800000001</v>
      </c>
      <c r="H44" s="1314">
        <v>10</v>
      </c>
      <c r="I44" s="1336">
        <f>+G44*H44</f>
        <v>834405.17800000007</v>
      </c>
      <c r="L44" s="945"/>
      <c r="M44" s="945"/>
      <c r="N44" s="945"/>
      <c r="O44" s="945"/>
      <c r="P44" s="945"/>
      <c r="Q44" s="945"/>
    </row>
    <row r="45" spans="1:18" ht="21" customHeight="1">
      <c r="A45" s="1787" t="s">
        <v>1182</v>
      </c>
      <c r="B45" s="1787"/>
      <c r="C45" s="1787"/>
      <c r="D45" s="973">
        <f>P39</f>
        <v>20000</v>
      </c>
      <c r="E45" s="973">
        <f>R39</f>
        <v>20000</v>
      </c>
      <c r="F45" s="973">
        <f>D36*2</f>
        <v>47400</v>
      </c>
      <c r="G45" s="1338">
        <f>SUM(D45:F45)*$X$1</f>
        <v>83440.517800000001</v>
      </c>
      <c r="H45" s="1314">
        <v>5</v>
      </c>
      <c r="I45" s="1336">
        <f>+G45*H45</f>
        <v>417202.58900000004</v>
      </c>
    </row>
  </sheetData>
  <mergeCells count="72">
    <mergeCell ref="K16:K18"/>
    <mergeCell ref="H19:I19"/>
    <mergeCell ref="H22:I22"/>
    <mergeCell ref="A22:G22"/>
    <mergeCell ref="A20:G20"/>
    <mergeCell ref="H16:I16"/>
    <mergeCell ref="F21:G21"/>
    <mergeCell ref="H21:I21"/>
    <mergeCell ref="H20:I20"/>
    <mergeCell ref="A18:C18"/>
    <mergeCell ref="F17:G17"/>
    <mergeCell ref="H17:I17"/>
    <mergeCell ref="H27:I27"/>
    <mergeCell ref="H23:I23"/>
    <mergeCell ref="A24:C24"/>
    <mergeCell ref="A23:C23"/>
    <mergeCell ref="A17:C17"/>
    <mergeCell ref="A1:I1"/>
    <mergeCell ref="K4:K6"/>
    <mergeCell ref="K7:K9"/>
    <mergeCell ref="K10:K12"/>
    <mergeCell ref="K13:K15"/>
    <mergeCell ref="A14:C14"/>
    <mergeCell ref="F14:G14"/>
    <mergeCell ref="H14:I14"/>
    <mergeCell ref="A15:C15"/>
    <mergeCell ref="F15:G15"/>
    <mergeCell ref="H15:I15"/>
    <mergeCell ref="A26:C26"/>
    <mergeCell ref="A40:C40"/>
    <mergeCell ref="A25:C25"/>
    <mergeCell ref="F19:G19"/>
    <mergeCell ref="A28:C28"/>
    <mergeCell ref="A29:C29"/>
    <mergeCell ref="A30:C30"/>
    <mergeCell ref="F27:G27"/>
    <mergeCell ref="F30:G30"/>
    <mergeCell ref="F32:G32"/>
    <mergeCell ref="A31:G31"/>
    <mergeCell ref="F23:G23"/>
    <mergeCell ref="A27:C27"/>
    <mergeCell ref="A19:C19"/>
    <mergeCell ref="A21:C21"/>
    <mergeCell ref="A32:C32"/>
    <mergeCell ref="H18:I18"/>
    <mergeCell ref="F18:G18"/>
    <mergeCell ref="F16:G16"/>
    <mergeCell ref="H32:I32"/>
    <mergeCell ref="F29:G29"/>
    <mergeCell ref="H30:I30"/>
    <mergeCell ref="H31:I31"/>
    <mergeCell ref="H28:I28"/>
    <mergeCell ref="H29:I29"/>
    <mergeCell ref="F28:G28"/>
    <mergeCell ref="F24:G24"/>
    <mergeCell ref="F25:G25"/>
    <mergeCell ref="F26:G26"/>
    <mergeCell ref="H24:I24"/>
    <mergeCell ref="H25:I25"/>
    <mergeCell ref="H26:I26"/>
    <mergeCell ref="A45:C45"/>
    <mergeCell ref="A42:C42"/>
    <mergeCell ref="A43:C43"/>
    <mergeCell ref="A44:C44"/>
    <mergeCell ref="A36:C36"/>
    <mergeCell ref="A41:C41"/>
    <mergeCell ref="Q35:R35"/>
    <mergeCell ref="K36:K37"/>
    <mergeCell ref="L36:O36"/>
    <mergeCell ref="P36:P37"/>
    <mergeCell ref="Q36:Q37"/>
    <mergeCell ref="R36:R37"/>
  </mergeCells>
  <phoneticPr fontId="2" type="noConversion"/>
  <hyperlinks>
    <hyperlink ref="N34" r:id="rId1"/>
  </hyperlinks>
  <printOptions horizontalCentered="1"/>
  <pageMargins left="0.70866141732283472" right="0.70866141732283472" top="0.74803149606299213" bottom="0.74803149606299213" header="0.31496062992125984" footer="0.31496062992125984"/>
  <pageSetup paperSize="9" scale="74" orientation="portrait" r:id="rId2"/>
  <colBreaks count="1" manualBreakCount="1">
    <brk id="9" max="1048575" man="1"/>
  </colBreaks>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view="pageBreakPreview" topLeftCell="A19" zoomScale="85" zoomScaleSheetLayoutView="85" workbookViewId="0">
      <selection activeCell="H28" sqref="H28:I28"/>
    </sheetView>
  </sheetViews>
  <sheetFormatPr defaultRowHeight="16.5"/>
  <cols>
    <col min="1" max="4" width="9" style="698"/>
    <col min="5" max="11" width="7.625" style="698" customWidth="1"/>
    <col min="12" max="12" width="11.5" style="698" bestFit="1" customWidth="1"/>
    <col min="13" max="13" width="0" style="698" hidden="1" customWidth="1"/>
    <col min="14" max="16384" width="9" style="698"/>
  </cols>
  <sheetData>
    <row r="1" spans="1:11" ht="46.5" customHeight="1">
      <c r="A1" s="1548" t="s">
        <v>1201</v>
      </c>
      <c r="B1" s="1548"/>
      <c r="C1" s="1548"/>
      <c r="D1" s="1548"/>
      <c r="E1" s="1548"/>
      <c r="F1" s="1548"/>
      <c r="G1" s="1548"/>
      <c r="H1" s="1548"/>
      <c r="I1" s="1548"/>
      <c r="J1" s="1548"/>
      <c r="K1" s="1548"/>
    </row>
    <row r="2" spans="1:11" ht="16.5" customHeight="1">
      <c r="A2" s="1848" t="s">
        <v>1202</v>
      </c>
      <c r="B2" s="1848"/>
      <c r="C2" s="1848"/>
      <c r="D2" s="1848"/>
      <c r="E2" s="1848"/>
      <c r="F2" s="1848"/>
      <c r="G2" s="1848"/>
      <c r="H2" s="1848"/>
      <c r="I2" s="1848"/>
      <c r="J2" s="1848"/>
      <c r="K2" s="1848"/>
    </row>
    <row r="3" spans="1:11" ht="21" customHeight="1">
      <c r="A3" s="933" t="s">
        <v>1203</v>
      </c>
      <c r="B3" s="934"/>
      <c r="C3" s="934"/>
      <c r="D3" s="934"/>
      <c r="E3" s="934"/>
      <c r="F3" s="935"/>
      <c r="G3" s="935"/>
      <c r="H3" s="935"/>
      <c r="I3" s="935"/>
      <c r="J3" s="935"/>
      <c r="K3" s="935"/>
    </row>
    <row r="4" spans="1:11" ht="21" customHeight="1">
      <c r="A4" s="978" t="s">
        <v>1204</v>
      </c>
      <c r="B4" s="978"/>
      <c r="C4" s="978"/>
      <c r="D4" s="978"/>
      <c r="E4" s="978"/>
      <c r="F4" s="979"/>
      <c r="G4" s="979"/>
      <c r="H4" s="979"/>
      <c r="I4" s="979"/>
      <c r="J4" s="979"/>
      <c r="K4" s="979"/>
    </row>
    <row r="5" spans="1:11" ht="21" customHeight="1">
      <c r="A5" s="978" t="s">
        <v>1205</v>
      </c>
      <c r="B5" s="978"/>
      <c r="C5" s="978"/>
      <c r="D5" s="978"/>
      <c r="E5" s="978"/>
      <c r="F5" s="979"/>
      <c r="G5" s="979"/>
      <c r="H5" s="979"/>
      <c r="I5" s="979"/>
      <c r="J5" s="979"/>
      <c r="K5" s="979"/>
    </row>
    <row r="6" spans="1:11" ht="7.5" customHeight="1">
      <c r="A6" s="980"/>
      <c r="B6" s="981"/>
      <c r="C6" s="982"/>
      <c r="D6" s="982"/>
      <c r="E6" s="982"/>
      <c r="F6" s="982"/>
      <c r="G6" s="454"/>
      <c r="H6" s="454"/>
      <c r="I6" s="454"/>
      <c r="J6" s="454"/>
      <c r="K6" s="454"/>
    </row>
    <row r="7" spans="1:11" ht="21" customHeight="1">
      <c r="A7" s="981" t="s">
        <v>1206</v>
      </c>
      <c r="B7" s="983"/>
      <c r="C7" s="983"/>
      <c r="D7" s="983" t="s">
        <v>1207</v>
      </c>
      <c r="E7" s="983"/>
      <c r="F7" s="677"/>
      <c r="G7" s="983"/>
      <c r="H7" s="983"/>
      <c r="I7" s="677"/>
      <c r="J7" s="677"/>
      <c r="K7" s="677"/>
    </row>
    <row r="8" spans="1:11" ht="21" customHeight="1">
      <c r="A8" s="454" t="s">
        <v>1208</v>
      </c>
      <c r="B8" s="485"/>
      <c r="C8" s="485"/>
      <c r="D8" s="485"/>
      <c r="E8" s="485"/>
      <c r="F8" s="485"/>
      <c r="G8" s="454"/>
      <c r="H8" s="454"/>
      <c r="I8" s="454"/>
      <c r="J8" s="454"/>
      <c r="K8" s="454"/>
    </row>
    <row r="9" spans="1:11" ht="7.5" customHeight="1">
      <c r="A9" s="984"/>
      <c r="B9" s="985"/>
      <c r="C9" s="1849"/>
      <c r="D9" s="1849"/>
      <c r="E9" s="1850"/>
      <c r="F9" s="1850"/>
      <c r="G9" s="1849"/>
      <c r="H9" s="1849"/>
      <c r="I9" s="1851"/>
      <c r="J9" s="1851"/>
      <c r="K9" s="984"/>
    </row>
    <row r="10" spans="1:11" ht="21" customHeight="1">
      <c r="A10" s="984"/>
      <c r="B10" s="985" t="s">
        <v>1209</v>
      </c>
      <c r="C10" s="1852">
        <f>('6.(기본및실시)예산내역서'!H5)/1.4</f>
        <v>252632467.24076784</v>
      </c>
      <c r="D10" s="1852"/>
      <c r="E10" s="1852"/>
      <c r="F10" s="986" t="s">
        <v>186</v>
      </c>
      <c r="G10" s="987"/>
      <c r="H10" s="987"/>
      <c r="I10" s="454"/>
      <c r="J10" s="454"/>
      <c r="K10" s="984"/>
    </row>
    <row r="11" spans="1:11" ht="21" customHeight="1">
      <c r="A11" s="485" t="s">
        <v>1210</v>
      </c>
      <c r="B11" s="983"/>
      <c r="C11" s="983"/>
      <c r="D11" s="983"/>
      <c r="E11" s="983"/>
      <c r="F11" s="983"/>
      <c r="G11" s="454"/>
      <c r="H11" s="454"/>
      <c r="I11" s="454"/>
      <c r="J11" s="454"/>
      <c r="K11" s="454"/>
    </row>
    <row r="12" spans="1:11" ht="21" customHeight="1">
      <c r="A12" s="454" t="s">
        <v>1211</v>
      </c>
      <c r="B12" s="983"/>
      <c r="C12" s="983"/>
      <c r="D12" s="983"/>
      <c r="E12" s="983"/>
      <c r="F12" s="983"/>
      <c r="G12" s="454"/>
      <c r="H12" s="454"/>
      <c r="I12" s="454"/>
      <c r="J12" s="454"/>
      <c r="K12" s="454"/>
    </row>
    <row r="13" spans="1:11" ht="21" customHeight="1">
      <c r="A13" s="485"/>
      <c r="B13" s="983"/>
      <c r="C13" s="983"/>
      <c r="D13" s="983"/>
      <c r="E13" s="983"/>
      <c r="F13" s="983"/>
      <c r="G13" s="454"/>
      <c r="H13" s="454"/>
      <c r="I13" s="454"/>
      <c r="J13" s="454"/>
      <c r="K13" s="454"/>
    </row>
    <row r="14" spans="1:11" ht="21" customHeight="1">
      <c r="A14" s="1027" t="s">
        <v>1231</v>
      </c>
      <c r="B14" s="485"/>
      <c r="C14" s="485"/>
      <c r="D14" s="485"/>
      <c r="E14" s="485"/>
      <c r="F14" s="485"/>
      <c r="G14" s="454"/>
      <c r="H14" s="454"/>
      <c r="I14" s="454"/>
      <c r="J14" s="454"/>
      <c r="K14" s="454"/>
    </row>
    <row r="15" spans="1:11" ht="21" customHeight="1">
      <c r="A15" s="1840" t="s">
        <v>1212</v>
      </c>
      <c r="B15" s="1840"/>
      <c r="C15" s="1840"/>
      <c r="D15" s="1840"/>
      <c r="E15" s="1840"/>
      <c r="F15" s="1840" t="s">
        <v>1213</v>
      </c>
      <c r="G15" s="1840"/>
      <c r="H15" s="1840"/>
      <c r="I15" s="1840"/>
      <c r="J15" s="1840"/>
      <c r="K15" s="1840"/>
    </row>
    <row r="16" spans="1:11" ht="21" customHeight="1">
      <c r="A16" s="1840"/>
      <c r="B16" s="1840"/>
      <c r="C16" s="1840"/>
      <c r="D16" s="1840"/>
      <c r="E16" s="1840"/>
      <c r="F16" s="1840" t="s">
        <v>1214</v>
      </c>
      <c r="G16" s="1840"/>
      <c r="H16" s="1840"/>
      <c r="I16" s="1840" t="s">
        <v>1215</v>
      </c>
      <c r="J16" s="1840"/>
      <c r="K16" s="1840"/>
    </row>
    <row r="17" spans="1:13" ht="21" customHeight="1">
      <c r="A17" s="988"/>
      <c r="B17" s="989"/>
      <c r="C17" s="990">
        <v>5</v>
      </c>
      <c r="D17" s="989" t="s">
        <v>1216</v>
      </c>
      <c r="E17" s="991"/>
      <c r="F17" s="1846">
        <v>0.52</v>
      </c>
      <c r="G17" s="1846"/>
      <c r="H17" s="1846"/>
      <c r="I17" s="1847">
        <v>8.3000000000000004E-2</v>
      </c>
      <c r="J17" s="1847"/>
      <c r="K17" s="1847"/>
    </row>
    <row r="18" spans="1:13" ht="21" customHeight="1">
      <c r="A18" s="992">
        <v>5</v>
      </c>
      <c r="B18" s="993" t="s">
        <v>1217</v>
      </c>
      <c r="C18" s="994">
        <v>10</v>
      </c>
      <c r="D18" s="993" t="s">
        <v>1216</v>
      </c>
      <c r="E18" s="995"/>
      <c r="F18" s="1845">
        <v>0.503</v>
      </c>
      <c r="G18" s="1845"/>
      <c r="H18" s="1845"/>
      <c r="I18" s="1845">
        <v>8.2000000000000003E-2</v>
      </c>
      <c r="J18" s="1845"/>
      <c r="K18" s="1845"/>
    </row>
    <row r="19" spans="1:13" ht="21" customHeight="1">
      <c r="A19" s="992">
        <v>10</v>
      </c>
      <c r="B19" s="993" t="s">
        <v>1217</v>
      </c>
      <c r="C19" s="994">
        <v>20</v>
      </c>
      <c r="D19" s="993" t="s">
        <v>1216</v>
      </c>
      <c r="E19" s="995"/>
      <c r="F19" s="1845">
        <v>0.48799999999999999</v>
      </c>
      <c r="G19" s="1845"/>
      <c r="H19" s="1845"/>
      <c r="I19" s="1845">
        <v>7.8E-2</v>
      </c>
      <c r="J19" s="1845"/>
      <c r="K19" s="1845"/>
    </row>
    <row r="20" spans="1:13" ht="21" customHeight="1">
      <c r="A20" s="992">
        <v>20</v>
      </c>
      <c r="B20" s="993" t="s">
        <v>1217</v>
      </c>
      <c r="C20" s="994">
        <v>30</v>
      </c>
      <c r="D20" s="993" t="s">
        <v>1216</v>
      </c>
      <c r="E20" s="995"/>
      <c r="F20" s="1845">
        <v>0.47199999999999998</v>
      </c>
      <c r="G20" s="1845"/>
      <c r="H20" s="1845"/>
      <c r="I20" s="1845">
        <v>7.6999999999999999E-2</v>
      </c>
      <c r="J20" s="1845"/>
      <c r="K20" s="1845"/>
    </row>
    <row r="21" spans="1:13" ht="21" customHeight="1">
      <c r="A21" s="996">
        <v>30</v>
      </c>
      <c r="B21" s="997" t="s">
        <v>1217</v>
      </c>
      <c r="C21" s="998">
        <v>50</v>
      </c>
      <c r="D21" s="997" t="s">
        <v>1216</v>
      </c>
      <c r="E21" s="999"/>
      <c r="F21" s="1837">
        <v>0.45700000000000002</v>
      </c>
      <c r="G21" s="1837"/>
      <c r="H21" s="1837"/>
      <c r="I21" s="1837">
        <v>7.6999999999999999E-2</v>
      </c>
      <c r="J21" s="1837"/>
      <c r="K21" s="1837"/>
    </row>
    <row r="22" spans="1:13" ht="21" customHeight="1">
      <c r="A22" s="1026" t="s">
        <v>1230</v>
      </c>
      <c r="B22" s="1000"/>
      <c r="C22" s="1000"/>
      <c r="D22" s="1000"/>
      <c r="E22" s="1000"/>
      <c r="F22" s="1000"/>
      <c r="G22" s="1001"/>
      <c r="H22" s="1001"/>
      <c r="I22" s="1001"/>
      <c r="J22" s="1001"/>
      <c r="K22" s="1001"/>
    </row>
    <row r="23" spans="1:13" s="1025" customFormat="1" ht="21" customHeight="1">
      <c r="A23" s="1026"/>
      <c r="B23" s="1000"/>
      <c r="C23" s="1000"/>
      <c r="D23" s="1000"/>
      <c r="E23" s="1000"/>
      <c r="F23" s="1000"/>
      <c r="G23" s="1001"/>
      <c r="H23" s="1001"/>
      <c r="I23" s="1001"/>
      <c r="J23" s="1001"/>
      <c r="K23" s="1001"/>
    </row>
    <row r="24" spans="1:13" ht="21" customHeight="1">
      <c r="A24" s="1002" t="s">
        <v>1218</v>
      </c>
      <c r="B24" s="1003"/>
      <c r="C24" s="475"/>
      <c r="D24" s="475"/>
      <c r="E24" s="475"/>
      <c r="F24" s="475"/>
      <c r="G24" s="475"/>
      <c r="H24" s="475"/>
      <c r="I24" s="457"/>
      <c r="J24" s="457"/>
      <c r="K24" s="457"/>
    </row>
    <row r="25" spans="1:13" ht="21" customHeight="1">
      <c r="A25" s="1002"/>
      <c r="B25" s="1003"/>
      <c r="C25" s="475"/>
      <c r="D25" s="475"/>
      <c r="E25" s="475"/>
      <c r="F25" s="475"/>
      <c r="G25" s="475"/>
      <c r="H25" s="475"/>
      <c r="I25" s="457"/>
      <c r="J25" s="1838" t="s">
        <v>1151</v>
      </c>
      <c r="K25" s="1838"/>
    </row>
    <row r="26" spans="1:13" ht="35.25" customHeight="1">
      <c r="A26" s="1839" t="s">
        <v>1219</v>
      </c>
      <c r="B26" s="1839"/>
      <c r="C26" s="1839"/>
      <c r="D26" s="1840" t="s">
        <v>1220</v>
      </c>
      <c r="E26" s="1840"/>
      <c r="F26" s="1840" t="s">
        <v>1221</v>
      </c>
      <c r="G26" s="1840"/>
      <c r="H26" s="1841" t="s">
        <v>1222</v>
      </c>
      <c r="I26" s="1842"/>
      <c r="J26" s="1843" t="s">
        <v>1223</v>
      </c>
      <c r="K26" s="1844"/>
    </row>
    <row r="27" spans="1:13" ht="21" customHeight="1">
      <c r="A27" s="1832" t="s">
        <v>1224</v>
      </c>
      <c r="B27" s="1834">
        <v>500000000</v>
      </c>
      <c r="C27" s="1834"/>
      <c r="D27" s="1828">
        <f>F17</f>
        <v>0.52</v>
      </c>
      <c r="E27" s="1829"/>
      <c r="F27" s="1829">
        <f>I17</f>
        <v>8.3000000000000004E-2</v>
      </c>
      <c r="G27" s="1829"/>
      <c r="H27" s="1835">
        <v>0</v>
      </c>
      <c r="I27" s="1835"/>
      <c r="J27" s="1836">
        <f>IF($C$10&gt;M27, M27*(((D27+F27*(H27/365))/100)),$C$10*(((D27+F27*(H27/365))/100)))</f>
        <v>1313688.8296519928</v>
      </c>
      <c r="K27" s="1836"/>
      <c r="L27" s="863">
        <f>D27/100*C10</f>
        <v>1313688.8296519928</v>
      </c>
      <c r="M27" s="698">
        <v>500000000</v>
      </c>
    </row>
    <row r="28" spans="1:13" ht="21" customHeight="1">
      <c r="A28" s="1833"/>
      <c r="B28" s="1827">
        <v>1000000000</v>
      </c>
      <c r="C28" s="1827"/>
      <c r="D28" s="1828">
        <f t="shared" ref="D28:D31" si="0">F18</f>
        <v>0.503</v>
      </c>
      <c r="E28" s="1829"/>
      <c r="F28" s="1829">
        <f t="shared" ref="F28:F31" si="1">I18</f>
        <v>8.2000000000000003E-2</v>
      </c>
      <c r="G28" s="1829"/>
      <c r="H28" s="1830">
        <v>0</v>
      </c>
      <c r="I28" s="1830"/>
      <c r="J28" s="1831">
        <f>IF(($C$10-M27)&lt;=0,0,IF(C10&gt;(M27+M28),M28*(((D28+F28*(H28/365))/100)),($C$10-M27)*(((D28+F28*(H28/365))/100))))</f>
        <v>0</v>
      </c>
      <c r="K28" s="1831"/>
      <c r="M28" s="698">
        <v>500000000</v>
      </c>
    </row>
    <row r="29" spans="1:13" ht="21" customHeight="1">
      <c r="A29" s="1833"/>
      <c r="B29" s="1827">
        <v>2000000000</v>
      </c>
      <c r="C29" s="1827"/>
      <c r="D29" s="1828">
        <f t="shared" si="0"/>
        <v>0.48799999999999999</v>
      </c>
      <c r="E29" s="1829"/>
      <c r="F29" s="1829">
        <f t="shared" si="1"/>
        <v>7.8E-2</v>
      </c>
      <c r="G29" s="1829"/>
      <c r="H29" s="1830">
        <v>0</v>
      </c>
      <c r="I29" s="1830"/>
      <c r="J29" s="1831">
        <f>IF(($C$10-M27-M28)&lt;=0,0,IF($C$10&gt;(M27+M28+M29),M29*(((D29+F29*(H29/365))/100)),($C$10-M27-M28)*(((D29+F29*(H29/365))/100))))</f>
        <v>0</v>
      </c>
      <c r="K29" s="1831"/>
      <c r="M29" s="698">
        <v>1000000000</v>
      </c>
    </row>
    <row r="30" spans="1:13" ht="21" customHeight="1">
      <c r="A30" s="1833"/>
      <c r="B30" s="1827">
        <v>3000000000</v>
      </c>
      <c r="C30" s="1827"/>
      <c r="D30" s="1828">
        <f t="shared" si="0"/>
        <v>0.47199999999999998</v>
      </c>
      <c r="E30" s="1829"/>
      <c r="F30" s="1829">
        <f t="shared" si="1"/>
        <v>7.6999999999999999E-2</v>
      </c>
      <c r="G30" s="1829"/>
      <c r="H30" s="1830">
        <v>0</v>
      </c>
      <c r="I30" s="1830"/>
      <c r="J30" s="1831">
        <f>IF(($C$10-M27-M28-M29)&lt;=0,0,IF($C$10&gt;(M27+M28+M29+M30),M30*(((D30+F30*(H30/365))/100)),($C$10-M27-M28-M29)*(((D30+F30*(H30/365))/100))))</f>
        <v>0</v>
      </c>
      <c r="K30" s="1831"/>
      <c r="M30" s="698">
        <v>1000000000</v>
      </c>
    </row>
    <row r="31" spans="1:13" ht="21" customHeight="1">
      <c r="A31" s="1833"/>
      <c r="B31" s="1827">
        <v>5000000000</v>
      </c>
      <c r="C31" s="1827"/>
      <c r="D31" s="1828">
        <f t="shared" si="0"/>
        <v>0.45700000000000002</v>
      </c>
      <c r="E31" s="1829"/>
      <c r="F31" s="1829">
        <f t="shared" si="1"/>
        <v>7.6999999999999999E-2</v>
      </c>
      <c r="G31" s="1829"/>
      <c r="H31" s="1830">
        <v>0</v>
      </c>
      <c r="I31" s="1830"/>
      <c r="J31" s="1831">
        <f>IF(($C$10-M27-M28-M29-M30)&lt;=0,0,IF($C$10&gt;(M27+M28+M29+M30+M31),M31*(((D31+F31*(H31/365))/100)),($C$10-M27-M28-M29-M30)*(((D31+F31*(H31/365))/100))))</f>
        <v>0</v>
      </c>
      <c r="K31" s="1831"/>
      <c r="M31" s="698">
        <v>2000000000</v>
      </c>
    </row>
    <row r="32" spans="1:13" ht="21" customHeight="1">
      <c r="A32" s="1004" t="s">
        <v>1225</v>
      </c>
      <c r="B32" s="1823"/>
      <c r="C32" s="1823"/>
      <c r="D32" s="1824"/>
      <c r="E32" s="1824"/>
      <c r="F32" s="1825"/>
      <c r="G32" s="1825"/>
      <c r="H32" s="1824"/>
      <c r="I32" s="1824"/>
      <c r="J32" s="1823">
        <f>ROUNDDOWN(SUM(J27:K31),-4)</f>
        <v>1310000</v>
      </c>
      <c r="K32" s="1823"/>
    </row>
    <row r="33" spans="1:17" s="736" customFormat="1" ht="21" customHeight="1">
      <c r="A33" s="1005" t="s">
        <v>1226</v>
      </c>
      <c r="H33" s="1006"/>
    </row>
    <row r="34" spans="1:17" s="736" customFormat="1" ht="21" customHeight="1">
      <c r="A34" s="1826" t="s">
        <v>1227</v>
      </c>
      <c r="B34" s="1826"/>
      <c r="C34" s="1826"/>
      <c r="D34" s="1826"/>
      <c r="E34" s="1826"/>
      <c r="F34" s="1826"/>
      <c r="G34" s="1826"/>
      <c r="H34" s="1826"/>
      <c r="I34" s="1826"/>
      <c r="J34" s="1826"/>
      <c r="K34" s="1826"/>
    </row>
    <row r="35" spans="1:17" s="750" customFormat="1" ht="17.25" customHeight="1">
      <c r="A35" s="1822" t="s">
        <v>1228</v>
      </c>
      <c r="B35" s="1822"/>
      <c r="C35" s="1822"/>
      <c r="D35" s="1822"/>
      <c r="E35" s="1822"/>
      <c r="F35" s="738"/>
      <c r="G35" s="738"/>
      <c r="H35" s="738"/>
      <c r="I35" s="738"/>
      <c r="J35" s="738"/>
      <c r="Q35" s="751"/>
    </row>
  </sheetData>
  <mergeCells count="60">
    <mergeCell ref="F17:H17"/>
    <mergeCell ref="I17:K17"/>
    <mergeCell ref="A1:K1"/>
    <mergeCell ref="A2:K2"/>
    <mergeCell ref="C9:D9"/>
    <mergeCell ref="E9:F9"/>
    <mergeCell ref="G9:H9"/>
    <mergeCell ref="I9:J9"/>
    <mergeCell ref="C10:E10"/>
    <mergeCell ref="A15:E16"/>
    <mergeCell ref="F15:K15"/>
    <mergeCell ref="F16:H16"/>
    <mergeCell ref="I16:K16"/>
    <mergeCell ref="F18:H18"/>
    <mergeCell ref="I18:K18"/>
    <mergeCell ref="F19:H19"/>
    <mergeCell ref="I19:K19"/>
    <mergeCell ref="F20:H20"/>
    <mergeCell ref="I20:K20"/>
    <mergeCell ref="F21:H21"/>
    <mergeCell ref="I21:K21"/>
    <mergeCell ref="J25:K25"/>
    <mergeCell ref="A26:C26"/>
    <mergeCell ref="D26:E26"/>
    <mergeCell ref="F26:G26"/>
    <mergeCell ref="H26:I26"/>
    <mergeCell ref="J26:K26"/>
    <mergeCell ref="H27:I27"/>
    <mergeCell ref="J27:K27"/>
    <mergeCell ref="B28:C28"/>
    <mergeCell ref="D28:E28"/>
    <mergeCell ref="F28:G28"/>
    <mergeCell ref="H28:I28"/>
    <mergeCell ref="J28:K28"/>
    <mergeCell ref="B29:C29"/>
    <mergeCell ref="D29:E29"/>
    <mergeCell ref="F29:G29"/>
    <mergeCell ref="H29:I29"/>
    <mergeCell ref="J29:K29"/>
    <mergeCell ref="J32:K32"/>
    <mergeCell ref="A34:K34"/>
    <mergeCell ref="B30:C30"/>
    <mergeCell ref="D30:E30"/>
    <mergeCell ref="F30:G30"/>
    <mergeCell ref="H30:I30"/>
    <mergeCell ref="J30:K30"/>
    <mergeCell ref="B31:C31"/>
    <mergeCell ref="D31:E31"/>
    <mergeCell ref="F31:G31"/>
    <mergeCell ref="H31:I31"/>
    <mergeCell ref="J31:K31"/>
    <mergeCell ref="A27:A31"/>
    <mergeCell ref="B27:C27"/>
    <mergeCell ref="D27:E27"/>
    <mergeCell ref="F27:G27"/>
    <mergeCell ref="A35:E35"/>
    <mergeCell ref="B32:C32"/>
    <mergeCell ref="D32:E32"/>
    <mergeCell ref="F32:G32"/>
    <mergeCell ref="H32:I32"/>
  </mergeCells>
  <phoneticPr fontId="2" type="noConversion"/>
  <hyperlinks>
    <hyperlink ref="A35" r:id="rId1" display="http://www.efc.co.kr/"/>
  </hyperlinks>
  <printOptions horizontalCentered="1"/>
  <pageMargins left="0.70866141732283472" right="0.70866141732283472" top="0.74803149606299213" bottom="0.74803149606299213" header="0.31496062992125984" footer="0.31496062992125984"/>
  <pageSetup paperSize="9" scale="89" orientation="portrait" r:id="rId2"/>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22"/>
  <sheetViews>
    <sheetView showGridLines="0" view="pageBreakPreview" zoomScale="85" zoomScaleSheetLayoutView="85" workbookViewId="0">
      <selection activeCell="I8" sqref="I8:K8"/>
    </sheetView>
  </sheetViews>
  <sheetFormatPr defaultRowHeight="13.5"/>
  <cols>
    <col min="1" max="1" width="50.5" style="276" customWidth="1"/>
    <col min="2" max="2" width="5.5" style="276" bestFit="1" customWidth="1"/>
    <col min="3" max="3" width="5.625" style="276" bestFit="1" customWidth="1"/>
    <col min="4" max="4" width="5.5" style="276" bestFit="1" customWidth="1"/>
    <col min="5" max="5" width="6.5" style="276" hidden="1" customWidth="1"/>
    <col min="6" max="6" width="16.625" style="276" customWidth="1"/>
    <col min="7" max="7" width="15.25" style="276" hidden="1" customWidth="1"/>
    <col min="8" max="8" width="16.625" style="276" customWidth="1"/>
    <col min="9" max="9" width="15.25" style="276" hidden="1" customWidth="1"/>
    <col min="10" max="10" width="15.25" style="276" customWidth="1"/>
    <col min="11" max="11" width="6.5" style="276" hidden="1" customWidth="1"/>
    <col min="12" max="12" width="14.375" style="276" customWidth="1"/>
    <col min="13" max="13" width="29.625" style="276" customWidth="1"/>
    <col min="14" max="14" width="12.875" style="276" bestFit="1" customWidth="1"/>
    <col min="15" max="16384" width="9" style="276"/>
  </cols>
  <sheetData>
    <row r="1" spans="1:14" ht="56.25" customHeight="1">
      <c r="A1" s="1856" t="s">
        <v>1426</v>
      </c>
      <c r="B1" s="1856"/>
      <c r="C1" s="1856"/>
      <c r="D1" s="1856"/>
      <c r="E1" s="1856"/>
      <c r="F1" s="1856"/>
      <c r="G1" s="1856"/>
      <c r="H1" s="1856"/>
      <c r="I1" s="1856"/>
      <c r="J1" s="1856"/>
      <c r="K1" s="1856"/>
      <c r="L1" s="1856"/>
      <c r="M1" s="1856"/>
    </row>
    <row r="2" spans="1:14" s="1038" customFormat="1" ht="24.75" customHeight="1">
      <c r="A2" s="1857" t="s">
        <v>1265</v>
      </c>
      <c r="B2" s="1859" t="s">
        <v>1266</v>
      </c>
      <c r="C2" s="1859" t="s">
        <v>1267</v>
      </c>
      <c r="D2" s="1859" t="s">
        <v>1268</v>
      </c>
      <c r="E2" s="1861" t="s">
        <v>1269</v>
      </c>
      <c r="F2" s="1862"/>
      <c r="G2" s="1865" t="s">
        <v>1270</v>
      </c>
      <c r="H2" s="1865"/>
      <c r="I2" s="1865" t="s">
        <v>1271</v>
      </c>
      <c r="J2" s="1865"/>
      <c r="K2" s="1865" t="s">
        <v>1272</v>
      </c>
      <c r="L2" s="1865"/>
      <c r="M2" s="1867" t="s">
        <v>1273</v>
      </c>
    </row>
    <row r="3" spans="1:14" s="1038" customFormat="1" ht="24.95" customHeight="1" thickBot="1">
      <c r="A3" s="1858"/>
      <c r="B3" s="1860"/>
      <c r="C3" s="1860"/>
      <c r="D3" s="1860"/>
      <c r="E3" s="1863"/>
      <c r="F3" s="1864"/>
      <c r="G3" s="1866"/>
      <c r="H3" s="1866"/>
      <c r="I3" s="1866"/>
      <c r="J3" s="1866"/>
      <c r="K3" s="1866"/>
      <c r="L3" s="1866"/>
      <c r="M3" s="1868"/>
    </row>
    <row r="4" spans="1:14" ht="24.95" customHeight="1" thickTop="1">
      <c r="A4" s="1853" t="s">
        <v>1427</v>
      </c>
      <c r="B4" s="1854"/>
      <c r="C4" s="1854"/>
      <c r="D4" s="1854"/>
      <c r="E4" s="1854"/>
      <c r="F4" s="1854"/>
      <c r="G4" s="1854"/>
      <c r="H4" s="1854"/>
      <c r="I4" s="1854"/>
      <c r="J4" s="1854"/>
      <c r="K4" s="1854"/>
      <c r="L4" s="1854"/>
      <c r="M4" s="1855"/>
    </row>
    <row r="5" spans="1:14" ht="24.95" customHeight="1">
      <c r="A5" s="1039" t="s">
        <v>1274</v>
      </c>
      <c r="B5" s="1039"/>
      <c r="C5" s="1039"/>
      <c r="D5" s="1039"/>
      <c r="E5" s="1039"/>
      <c r="F5" s="1040">
        <f>H5</f>
        <v>53515751.450329937</v>
      </c>
      <c r="G5" s="1040"/>
      <c r="H5" s="1041">
        <f>SUM(H6:H9)</f>
        <v>53515751.450329937</v>
      </c>
      <c r="I5" s="1042"/>
      <c r="J5" s="1042"/>
      <c r="K5" s="1042"/>
      <c r="L5" s="1042"/>
      <c r="M5" s="1043"/>
    </row>
    <row r="6" spans="1:14" ht="24.95" customHeight="1">
      <c r="A6" s="1044" t="s">
        <v>1275</v>
      </c>
      <c r="B6" s="1045"/>
      <c r="C6" s="1046">
        <v>1</v>
      </c>
      <c r="D6" s="1046" t="s">
        <v>1276</v>
      </c>
      <c r="E6" s="1047"/>
      <c r="F6" s="1047">
        <f>H6</f>
        <v>8162852.0078546004</v>
      </c>
      <c r="G6" s="1047"/>
      <c r="H6" s="1047">
        <f>'7-1.일위대가'!H10</f>
        <v>8162852.0078546004</v>
      </c>
      <c r="I6" s="1047"/>
      <c r="J6" s="1047"/>
      <c r="K6" s="1047"/>
      <c r="L6" s="1047"/>
      <c r="M6" s="1048" t="s">
        <v>1277</v>
      </c>
    </row>
    <row r="7" spans="1:14" ht="24.95" customHeight="1">
      <c r="A7" s="1049" t="s">
        <v>1278</v>
      </c>
      <c r="B7" s="1050"/>
      <c r="C7" s="1051">
        <v>1</v>
      </c>
      <c r="D7" s="1051" t="s">
        <v>1276</v>
      </c>
      <c r="E7" s="1052"/>
      <c r="F7" s="1052">
        <f>H7</f>
        <v>16845841.144198667</v>
      </c>
      <c r="G7" s="1052"/>
      <c r="H7" s="1052">
        <f>'7-1.일위대가'!H17</f>
        <v>16845841.144198667</v>
      </c>
      <c r="I7" s="1052"/>
      <c r="J7" s="1052"/>
      <c r="K7" s="1052"/>
      <c r="L7" s="1052"/>
      <c r="M7" s="1053" t="s">
        <v>1279</v>
      </c>
    </row>
    <row r="8" spans="1:14" ht="24.95" customHeight="1">
      <c r="A8" s="1049" t="s">
        <v>1280</v>
      </c>
      <c r="B8" s="1050"/>
      <c r="C8" s="1051">
        <v>1</v>
      </c>
      <c r="D8" s="1051" t="s">
        <v>1276</v>
      </c>
      <c r="E8" s="1052"/>
      <c r="F8" s="1052">
        <f>H8</f>
        <v>16845841.144198667</v>
      </c>
      <c r="G8" s="1052"/>
      <c r="H8" s="1052">
        <f>'7-1.일위대가'!H24</f>
        <v>16845841.144198667</v>
      </c>
      <c r="I8" s="1052"/>
      <c r="J8" s="1052"/>
      <c r="K8" s="1052"/>
      <c r="L8" s="1052"/>
      <c r="M8" s="1053" t="s">
        <v>12</v>
      </c>
    </row>
    <row r="9" spans="1:14" ht="24.95" customHeight="1">
      <c r="A9" s="1049" t="s">
        <v>1281</v>
      </c>
      <c r="B9" s="1050"/>
      <c r="C9" s="1051">
        <v>1</v>
      </c>
      <c r="D9" s="1051" t="s">
        <v>1276</v>
      </c>
      <c r="E9" s="1052"/>
      <c r="F9" s="1052">
        <f>H9</f>
        <v>11661217.154078001</v>
      </c>
      <c r="G9" s="1052"/>
      <c r="H9" s="1052">
        <f>'7-1.일위대가'!H30</f>
        <v>11661217.154078001</v>
      </c>
      <c r="I9" s="1052"/>
      <c r="J9" s="1052"/>
      <c r="K9" s="1052"/>
      <c r="L9" s="1052"/>
      <c r="M9" s="1053" t="s">
        <v>13</v>
      </c>
    </row>
    <row r="10" spans="1:14" ht="24.95" customHeight="1">
      <c r="A10" s="1039" t="s">
        <v>1282</v>
      </c>
      <c r="B10" s="1054"/>
      <c r="C10" s="1054"/>
      <c r="D10" s="1054"/>
      <c r="E10" s="1055"/>
      <c r="F10" s="1055">
        <f>L10</f>
        <v>6833398.2178000007</v>
      </c>
      <c r="G10" s="1055"/>
      <c r="H10" s="1055"/>
      <c r="I10" s="1055"/>
      <c r="J10" s="1055"/>
      <c r="K10" s="1055"/>
      <c r="L10" s="1055">
        <f>SUM(L11:L14)</f>
        <v>6833398.2178000007</v>
      </c>
      <c r="M10" s="1056"/>
    </row>
    <row r="11" spans="1:14" ht="24.95" customHeight="1">
      <c r="A11" s="1057" t="s">
        <v>1283</v>
      </c>
      <c r="B11" s="1058"/>
      <c r="C11" s="1059">
        <v>1</v>
      </c>
      <c r="D11" s="1059" t="s">
        <v>1276</v>
      </c>
      <c r="E11" s="1060"/>
      <c r="F11" s="1060">
        <f>L11</f>
        <v>3375808.5920000002</v>
      </c>
      <c r="G11" s="1060"/>
      <c r="H11" s="1060"/>
      <c r="I11" s="1060"/>
      <c r="J11" s="1060"/>
      <c r="K11" s="1060"/>
      <c r="L11" s="1060">
        <f>'7-1.일위대가'!L36</f>
        <v>3375808.5920000002</v>
      </c>
      <c r="M11" s="1048" t="s">
        <v>1284</v>
      </c>
    </row>
    <row r="12" spans="1:14" s="1065" customFormat="1" ht="24.95" customHeight="1">
      <c r="A12" s="1061" t="s">
        <v>1285</v>
      </c>
      <c r="B12" s="1062"/>
      <c r="C12" s="1063">
        <v>1</v>
      </c>
      <c r="D12" s="1063" t="s">
        <v>1276</v>
      </c>
      <c r="E12" s="1064"/>
      <c r="F12" s="1064">
        <f>L12</f>
        <v>621889.62580000004</v>
      </c>
      <c r="G12" s="1064"/>
      <c r="H12" s="1064"/>
      <c r="I12" s="1064"/>
      <c r="J12" s="1064"/>
      <c r="K12" s="1064"/>
      <c r="L12" s="1064">
        <f>'7-1.일위대가'!L41</f>
        <v>621889.62580000004</v>
      </c>
      <c r="M12" s="1053" t="s">
        <v>1286</v>
      </c>
    </row>
    <row r="13" spans="1:14" ht="24.95" customHeight="1">
      <c r="A13" s="1066" t="s">
        <v>1287</v>
      </c>
      <c r="B13" s="1067"/>
      <c r="C13" s="1068">
        <v>1</v>
      </c>
      <c r="D13" s="1068" t="s">
        <v>1276</v>
      </c>
      <c r="E13" s="1069"/>
      <c r="F13" s="1069">
        <f>L13</f>
        <v>544348</v>
      </c>
      <c r="G13" s="1069"/>
      <c r="H13" s="1069"/>
      <c r="I13" s="1069"/>
      <c r="J13" s="1069"/>
      <c r="K13" s="1069"/>
      <c r="L13" s="1069">
        <f>'7-1.일위대가'!L47</f>
        <v>544348</v>
      </c>
      <c r="M13" s="1053" t="s">
        <v>16</v>
      </c>
    </row>
    <row r="14" spans="1:14" ht="24.95" customHeight="1">
      <c r="A14" s="1070" t="s">
        <v>1288</v>
      </c>
      <c r="B14" s="1071"/>
      <c r="C14" s="1072">
        <v>1</v>
      </c>
      <c r="D14" s="1072" t="s">
        <v>1276</v>
      </c>
      <c r="E14" s="1073"/>
      <c r="F14" s="1073">
        <f>L14</f>
        <v>2291352</v>
      </c>
      <c r="G14" s="1073"/>
      <c r="H14" s="1073"/>
      <c r="I14" s="1073"/>
      <c r="J14" s="1073"/>
      <c r="K14" s="1073"/>
      <c r="L14" s="1073">
        <f>'7-1.일위대가'!L52</f>
        <v>2291352</v>
      </c>
      <c r="M14" s="1053" t="s">
        <v>17</v>
      </c>
    </row>
    <row r="15" spans="1:14" ht="24.95" customHeight="1">
      <c r="A15" s="1074" t="s">
        <v>1289</v>
      </c>
      <c r="B15" s="1054"/>
      <c r="C15" s="1075"/>
      <c r="D15" s="1075"/>
      <c r="E15" s="1055"/>
      <c r="F15" s="1055">
        <f>(F5+F10)*5/100</f>
        <v>3017457.4834064967</v>
      </c>
      <c r="G15" s="1055"/>
      <c r="H15" s="1055"/>
      <c r="I15" s="1055"/>
      <c r="J15" s="1055"/>
      <c r="K15" s="1055"/>
      <c r="L15" s="1055"/>
      <c r="M15" s="1076" t="s">
        <v>1290</v>
      </c>
    </row>
    <row r="16" spans="1:14" ht="24.95" customHeight="1">
      <c r="A16" s="1077" t="s">
        <v>1291</v>
      </c>
      <c r="B16" s="1078"/>
      <c r="C16" s="1078"/>
      <c r="D16" s="1078"/>
      <c r="E16" s="1079"/>
      <c r="F16" s="1079">
        <f>F5+F10+F15</f>
        <v>63366607.151536435</v>
      </c>
      <c r="G16" s="1079"/>
      <c r="H16" s="1079"/>
      <c r="I16" s="1079"/>
      <c r="J16" s="1079"/>
      <c r="K16" s="1079"/>
      <c r="L16" s="1079"/>
      <c r="M16" s="1080" t="s">
        <v>1292</v>
      </c>
      <c r="N16" s="1081"/>
    </row>
    <row r="17" spans="1:14" ht="24.95" customHeight="1">
      <c r="A17" s="1074" t="s">
        <v>1293</v>
      </c>
      <c r="B17" s="1054"/>
      <c r="C17" s="1075"/>
      <c r="D17" s="1075"/>
      <c r="E17" s="1055"/>
      <c r="F17" s="1055">
        <f>F16*0.1-541</f>
        <v>6336119.7151536439</v>
      </c>
      <c r="G17" s="1055"/>
      <c r="H17" s="1055"/>
      <c r="I17" s="1055"/>
      <c r="J17" s="1055"/>
      <c r="K17" s="1055"/>
      <c r="L17" s="1055"/>
      <c r="M17" s="1076" t="s">
        <v>1294</v>
      </c>
    </row>
    <row r="18" spans="1:14" ht="24.95" customHeight="1">
      <c r="A18" s="1082" t="s">
        <v>1295</v>
      </c>
      <c r="B18" s="1083"/>
      <c r="C18" s="1083"/>
      <c r="D18" s="1083"/>
      <c r="E18" s="1084"/>
      <c r="F18" s="1084">
        <f>F17+F16</f>
        <v>69702726.866690084</v>
      </c>
      <c r="G18" s="1084"/>
      <c r="H18" s="1084"/>
      <c r="I18" s="1084"/>
      <c r="J18" s="1084"/>
      <c r="K18" s="1084"/>
      <c r="L18" s="1084"/>
      <c r="M18" s="1085" t="s">
        <v>1296</v>
      </c>
      <c r="N18" s="1081"/>
    </row>
    <row r="19" spans="1:14" ht="24.95" customHeight="1" thickBot="1">
      <c r="A19" s="1086" t="s">
        <v>1297</v>
      </c>
      <c r="B19" s="1087"/>
      <c r="C19" s="1087"/>
      <c r="D19" s="1087"/>
      <c r="E19" s="1088"/>
      <c r="F19" s="1089">
        <f>F18*0.1</f>
        <v>6970272.6866690088</v>
      </c>
      <c r="G19" s="1088"/>
      <c r="H19" s="1088"/>
      <c r="I19" s="1088"/>
      <c r="J19" s="1088"/>
      <c r="K19" s="1088"/>
      <c r="L19" s="1088"/>
      <c r="M19" s="1090" t="s">
        <v>1298</v>
      </c>
    </row>
    <row r="20" spans="1:14" ht="24.95" customHeight="1">
      <c r="A20" s="1091" t="s">
        <v>1299</v>
      </c>
      <c r="B20" s="1092"/>
      <c r="C20" s="1092"/>
      <c r="D20" s="1092"/>
      <c r="E20" s="1093"/>
      <c r="F20" s="1093">
        <f>F19+F18</f>
        <v>76672999.553359091</v>
      </c>
      <c r="G20" s="1093"/>
      <c r="H20" s="1093"/>
      <c r="I20" s="1093"/>
      <c r="J20" s="1093"/>
      <c r="K20" s="1093"/>
      <c r="L20" s="1093"/>
      <c r="M20" s="1094"/>
    </row>
    <row r="21" spans="1:14">
      <c r="F21" s="1095"/>
    </row>
    <row r="22" spans="1:14">
      <c r="F22" s="1096"/>
    </row>
  </sheetData>
  <mergeCells count="11">
    <mergeCell ref="A4:M4"/>
    <mergeCell ref="A1:M1"/>
    <mergeCell ref="A2:A3"/>
    <mergeCell ref="B2:B3"/>
    <mergeCell ref="C2:C3"/>
    <mergeCell ref="D2:D3"/>
    <mergeCell ref="E2:F3"/>
    <mergeCell ref="G2:H3"/>
    <mergeCell ref="I2:J3"/>
    <mergeCell ref="K2:L3"/>
    <mergeCell ref="M2:M3"/>
  </mergeCells>
  <phoneticPr fontId="2" type="noConversion"/>
  <printOptions horizontalCentered="1" verticalCentered="1"/>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view="pageBreakPreview" zoomScale="60" workbookViewId="0">
      <selection activeCell="A3" sqref="A3:I3"/>
    </sheetView>
  </sheetViews>
  <sheetFormatPr defaultRowHeight="16.5"/>
  <cols>
    <col min="9" max="9" width="11.875" customWidth="1"/>
  </cols>
  <sheetData>
    <row r="1" spans="1:9" ht="72" customHeight="1"/>
    <row r="2" spans="1:9" ht="48.75" customHeight="1">
      <c r="A2" s="1421" t="s">
        <v>0</v>
      </c>
      <c r="B2" s="1421"/>
      <c r="C2" s="1421"/>
      <c r="D2" s="1421"/>
      <c r="E2" s="1421"/>
      <c r="F2" s="1421"/>
      <c r="G2" s="1421"/>
      <c r="H2" s="1421"/>
      <c r="I2" s="1421"/>
    </row>
    <row r="3" spans="1:9" s="2" customFormat="1" ht="67.5" customHeight="1">
      <c r="A3" s="1422" t="s">
        <v>1255</v>
      </c>
      <c r="B3" s="1422"/>
      <c r="C3" s="1422"/>
      <c r="D3" s="1422"/>
      <c r="E3" s="1422"/>
      <c r="F3" s="1422"/>
      <c r="G3" s="1422"/>
      <c r="H3" s="1422"/>
      <c r="I3" s="1422"/>
    </row>
    <row r="4" spans="1:9" s="2" customFormat="1" ht="170.25" customHeight="1"/>
    <row r="5" spans="1:9" s="2" customFormat="1" ht="47.25" customHeight="1">
      <c r="A5" s="1423" t="s">
        <v>1422</v>
      </c>
      <c r="B5" s="1423"/>
      <c r="C5" s="1423"/>
      <c r="D5" s="1423"/>
      <c r="E5" s="1423"/>
      <c r="F5" s="1423"/>
      <c r="G5" s="1423"/>
      <c r="H5" s="1423"/>
      <c r="I5" s="1423"/>
    </row>
    <row r="6" spans="1:9" s="2" customFormat="1" ht="204.75" customHeight="1"/>
    <row r="7" spans="1:9" ht="93" customHeight="1">
      <c r="A7" s="1424"/>
      <c r="B7" s="1424"/>
      <c r="C7" s="1424"/>
      <c r="D7" s="1424"/>
      <c r="E7" s="1424"/>
      <c r="F7" s="1424"/>
      <c r="G7" s="1424"/>
      <c r="H7" s="1424"/>
      <c r="I7" s="1424"/>
    </row>
    <row r="8" spans="1:9" ht="57" customHeight="1"/>
  </sheetData>
  <mergeCells count="4">
    <mergeCell ref="A2:I2"/>
    <mergeCell ref="A3:I3"/>
    <mergeCell ref="A5:I5"/>
    <mergeCell ref="A7:I7"/>
  </mergeCells>
  <phoneticPr fontId="2" type="noConversion"/>
  <pageMargins left="0.7" right="0.7" top="0.75" bottom="0.75" header="0.3" footer="0.3"/>
  <pageSetup paperSize="9" scale="96"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view="pageBreakPreview" topLeftCell="A16" zoomScale="85" zoomScaleNormal="85" zoomScaleSheetLayoutView="85" workbookViewId="0">
      <selection activeCell="I8" sqref="I8:K8"/>
    </sheetView>
  </sheetViews>
  <sheetFormatPr defaultRowHeight="13.5"/>
  <cols>
    <col min="1" max="1" width="9" style="1097"/>
    <col min="2" max="2" width="12.75" style="1097" customWidth="1"/>
    <col min="3" max="3" width="10.125" style="1097" bestFit="1" customWidth="1"/>
    <col min="4" max="4" width="9" style="1097"/>
    <col min="5" max="5" width="11.625" style="1097" bestFit="1" customWidth="1"/>
    <col min="6" max="6" width="12.875" style="1097" bestFit="1" customWidth="1"/>
    <col min="7" max="7" width="11.625" style="1097" bestFit="1" customWidth="1"/>
    <col min="8" max="8" width="12.875" style="1097" bestFit="1" customWidth="1"/>
    <col min="9" max="10" width="9" style="1097"/>
    <col min="11" max="11" width="9.375" style="1097" customWidth="1"/>
    <col min="12" max="12" width="11.5" style="1097" bestFit="1" customWidth="1"/>
    <col min="13" max="16384" width="9" style="1097"/>
  </cols>
  <sheetData>
    <row r="1" spans="1:15" ht="25.5">
      <c r="A1" s="1873" t="s">
        <v>1428</v>
      </c>
      <c r="B1" s="1873"/>
      <c r="C1" s="1873"/>
      <c r="D1" s="1873"/>
      <c r="E1" s="1873"/>
      <c r="F1" s="1873"/>
      <c r="G1" s="1873"/>
      <c r="H1" s="1873"/>
      <c r="I1" s="1873"/>
      <c r="J1" s="1873"/>
      <c r="K1" s="1873"/>
      <c r="L1" s="1873"/>
      <c r="M1" s="1873"/>
      <c r="O1" s="1097">
        <f>+용역비총괄표!O9</f>
        <v>0.95469700000000002</v>
      </c>
    </row>
    <row r="2" spans="1:15" ht="18.75">
      <c r="A2" s="1098"/>
      <c r="B2" s="1099"/>
      <c r="C2" s="1100"/>
      <c r="D2" s="1100"/>
      <c r="E2" s="1099"/>
      <c r="F2" s="1099"/>
      <c r="G2" s="1099"/>
      <c r="H2" s="1099"/>
      <c r="I2" s="1099"/>
      <c r="J2" s="1099"/>
      <c r="K2" s="1099"/>
      <c r="L2" s="1099"/>
      <c r="M2" s="1099"/>
    </row>
    <row r="3" spans="1:15" ht="24.75" customHeight="1">
      <c r="A3" s="1874" t="s">
        <v>518</v>
      </c>
      <c r="B3" s="1876" t="s">
        <v>519</v>
      </c>
      <c r="C3" s="1876" t="s">
        <v>4</v>
      </c>
      <c r="D3" s="1876" t="s">
        <v>5</v>
      </c>
      <c r="E3" s="1869" t="s">
        <v>3</v>
      </c>
      <c r="F3" s="1870"/>
      <c r="G3" s="1869" t="s">
        <v>1300</v>
      </c>
      <c r="H3" s="1870"/>
      <c r="I3" s="1869" t="s">
        <v>521</v>
      </c>
      <c r="J3" s="1870"/>
      <c r="K3" s="1869" t="s">
        <v>522</v>
      </c>
      <c r="L3" s="1870"/>
      <c r="M3" s="1871" t="s">
        <v>523</v>
      </c>
    </row>
    <row r="4" spans="1:15" ht="24.75" customHeight="1">
      <c r="A4" s="1875"/>
      <c r="B4" s="1877"/>
      <c r="C4" s="1877"/>
      <c r="D4" s="1877"/>
      <c r="E4" s="1101" t="s">
        <v>524</v>
      </c>
      <c r="F4" s="1101" t="s">
        <v>1301</v>
      </c>
      <c r="G4" s="1101" t="s">
        <v>524</v>
      </c>
      <c r="H4" s="1101" t="s">
        <v>1301</v>
      </c>
      <c r="I4" s="1101" t="s">
        <v>524</v>
      </c>
      <c r="J4" s="1101" t="s">
        <v>525</v>
      </c>
      <c r="K4" s="1101" t="s">
        <v>524</v>
      </c>
      <c r="L4" s="1101" t="s">
        <v>1301</v>
      </c>
      <c r="M4" s="1872"/>
    </row>
    <row r="5" spans="1:15" ht="21.95" customHeight="1">
      <c r="A5" s="1102" t="s">
        <v>1302</v>
      </c>
      <c r="B5" s="1103"/>
      <c r="C5" s="1104"/>
      <c r="D5" s="1104"/>
      <c r="E5" s="1105"/>
      <c r="F5" s="1105"/>
      <c r="G5" s="1105"/>
      <c r="H5" s="1105"/>
      <c r="I5" s="1105"/>
      <c r="J5" s="1105"/>
      <c r="K5" s="1105"/>
      <c r="L5" s="1105"/>
      <c r="M5" s="1106"/>
    </row>
    <row r="6" spans="1:15" ht="21.95" customHeight="1">
      <c r="A6" s="1107" t="s">
        <v>1303</v>
      </c>
      <c r="B6" s="1108"/>
      <c r="C6" s="1109">
        <f>'7-2.인건비산출근거'!C28</f>
        <v>0.35</v>
      </c>
      <c r="D6" s="1110" t="s">
        <v>461</v>
      </c>
      <c r="E6" s="1111">
        <f>G6</f>
        <v>3892654.8162840004</v>
      </c>
      <c r="F6" s="1111">
        <f>H6</f>
        <v>1362429.1856994</v>
      </c>
      <c r="G6" s="1111">
        <f>'7-2.인건비산출근거'!C33+'7-2.인건비산출근거'!C34</f>
        <v>3892654.8162840004</v>
      </c>
      <c r="H6" s="1111">
        <f>G6*C6</f>
        <v>1362429.1856994</v>
      </c>
      <c r="I6" s="1111"/>
      <c r="J6" s="1111"/>
      <c r="K6" s="1111"/>
      <c r="L6" s="1111"/>
      <c r="M6" s="1112"/>
    </row>
    <row r="7" spans="1:15" ht="21.95" customHeight="1">
      <c r="A7" s="1107" t="s">
        <v>1304</v>
      </c>
      <c r="B7" s="1108"/>
      <c r="C7" s="1109">
        <f>'7-2.인건비산출근거'!D28</f>
        <v>1.05</v>
      </c>
      <c r="D7" s="1110" t="s">
        <v>461</v>
      </c>
      <c r="E7" s="1111">
        <f t="shared" ref="E7:F9" si="0">G7</f>
        <v>2984833.4389839997</v>
      </c>
      <c r="F7" s="1111">
        <f t="shared" si="0"/>
        <v>3134075.1109332</v>
      </c>
      <c r="G7" s="1111">
        <f>'7-2.인건비산출근거'!D33+'7-2.인건비산출근거'!D34</f>
        <v>2984833.4389839997</v>
      </c>
      <c r="H7" s="1111">
        <f t="shared" ref="H7:H9" si="1">G7*C7</f>
        <v>3134075.1109332</v>
      </c>
      <c r="I7" s="1111"/>
      <c r="J7" s="1111"/>
      <c r="K7" s="1111"/>
      <c r="L7" s="1111"/>
      <c r="M7" s="1112"/>
    </row>
    <row r="8" spans="1:15" ht="21.95" customHeight="1">
      <c r="A8" s="1107" t="s">
        <v>1305</v>
      </c>
      <c r="B8" s="1108"/>
      <c r="C8" s="1109">
        <f>'7-2.인건비산출근거'!E28</f>
        <v>1.05</v>
      </c>
      <c r="D8" s="1110" t="s">
        <v>461</v>
      </c>
      <c r="E8" s="1111">
        <f t="shared" si="0"/>
        <v>1995261.9940386666</v>
      </c>
      <c r="F8" s="1111">
        <f t="shared" si="0"/>
        <v>2095025.0937405999</v>
      </c>
      <c r="G8" s="1111">
        <f>'7-2.인건비산출근거'!E33+'7-2.인건비산출근거'!E34</f>
        <v>1995261.9940386666</v>
      </c>
      <c r="H8" s="1111">
        <f t="shared" si="1"/>
        <v>2095025.0937405999</v>
      </c>
      <c r="I8" s="1111"/>
      <c r="J8" s="1111"/>
      <c r="K8" s="1111"/>
      <c r="L8" s="1111"/>
      <c r="M8" s="1112"/>
    </row>
    <row r="9" spans="1:15" ht="21.95" customHeight="1">
      <c r="A9" s="1107" t="s">
        <v>1306</v>
      </c>
      <c r="B9" s="1108"/>
      <c r="C9" s="1109">
        <f>'7-2.인건비산출근거'!F28</f>
        <v>1.05</v>
      </c>
      <c r="D9" s="1110" t="s">
        <v>461</v>
      </c>
      <c r="E9" s="1111">
        <f t="shared" si="0"/>
        <v>1496497.7309346667</v>
      </c>
      <c r="F9" s="1111">
        <f t="shared" si="0"/>
        <v>1571322.6174814</v>
      </c>
      <c r="G9" s="1111">
        <f>'7-2.인건비산출근거'!F33+'7-2.인건비산출근거'!F34</f>
        <v>1496497.7309346667</v>
      </c>
      <c r="H9" s="1111">
        <f t="shared" si="1"/>
        <v>1571322.6174814</v>
      </c>
      <c r="I9" s="1111"/>
      <c r="J9" s="1111"/>
      <c r="K9" s="1111"/>
      <c r="L9" s="1111"/>
      <c r="M9" s="1112"/>
    </row>
    <row r="10" spans="1:15" ht="21.95" customHeight="1">
      <c r="A10" s="1107" t="s">
        <v>1307</v>
      </c>
      <c r="B10" s="1108"/>
      <c r="C10" s="1109">
        <f>SUM(C6:C9)</f>
        <v>3.5</v>
      </c>
      <c r="D10" s="1110"/>
      <c r="E10" s="1111"/>
      <c r="F10" s="1111">
        <f>SUM(F6:F9)</f>
        <v>8162852.0078546004</v>
      </c>
      <c r="G10" s="1111"/>
      <c r="H10" s="1111">
        <f>SUM(H6:H9)</f>
        <v>8162852.0078546004</v>
      </c>
      <c r="I10" s="1111"/>
      <c r="J10" s="1111"/>
      <c r="K10" s="1111"/>
      <c r="L10" s="1111"/>
      <c r="M10" s="1112"/>
    </row>
    <row r="11" spans="1:15" ht="21.95" customHeight="1">
      <c r="A11" s="1107"/>
      <c r="B11" s="1108"/>
      <c r="C11" s="1113"/>
      <c r="D11" s="1110"/>
      <c r="E11" s="1111"/>
      <c r="F11" s="1111"/>
      <c r="G11" s="1111"/>
      <c r="H11" s="1111"/>
      <c r="I11" s="1111"/>
      <c r="J11" s="1111"/>
      <c r="K11" s="1111"/>
      <c r="L11" s="1111"/>
      <c r="M11" s="1112"/>
    </row>
    <row r="12" spans="1:15" ht="21.95" customHeight="1">
      <c r="A12" s="1114" t="s">
        <v>1308</v>
      </c>
      <c r="B12" s="1115"/>
      <c r="C12" s="1116"/>
      <c r="D12" s="1117"/>
      <c r="E12" s="1118"/>
      <c r="F12" s="1118"/>
      <c r="G12" s="1118"/>
      <c r="H12" s="1118"/>
      <c r="I12" s="1118"/>
      <c r="J12" s="1118"/>
      <c r="K12" s="1118"/>
      <c r="L12" s="1118"/>
      <c r="M12" s="1119"/>
    </row>
    <row r="13" spans="1:15" ht="21.95" customHeight="1">
      <c r="A13" s="1120" t="s">
        <v>1303</v>
      </c>
      <c r="B13" s="1121"/>
      <c r="C13" s="1109">
        <f>'7-2.인건비산출근거'!C29</f>
        <v>1</v>
      </c>
      <c r="D13" s="1122" t="s">
        <v>461</v>
      </c>
      <c r="E13" s="1111">
        <f>G13</f>
        <v>3892654.8162840004</v>
      </c>
      <c r="F13" s="1111">
        <f>H13</f>
        <v>3892654.8162840004</v>
      </c>
      <c r="G13" s="1111">
        <f>G6</f>
        <v>3892654.8162840004</v>
      </c>
      <c r="H13" s="1111">
        <f>G13*C13</f>
        <v>3892654.8162840004</v>
      </c>
      <c r="I13" s="1123"/>
      <c r="J13" s="1123"/>
      <c r="K13" s="1123"/>
      <c r="L13" s="1123"/>
      <c r="M13" s="1124"/>
    </row>
    <row r="14" spans="1:15" ht="21.95" customHeight="1">
      <c r="A14" s="1120" t="s">
        <v>1304</v>
      </c>
      <c r="B14" s="1121"/>
      <c r="C14" s="1109">
        <f>'7-2.인건비산출근거'!D29</f>
        <v>2</v>
      </c>
      <c r="D14" s="1122" t="s">
        <v>461</v>
      </c>
      <c r="E14" s="1111">
        <f t="shared" ref="E14:F16" si="2">G14</f>
        <v>2984833.4389839997</v>
      </c>
      <c r="F14" s="1111">
        <f t="shared" si="2"/>
        <v>5969666.8779679993</v>
      </c>
      <c r="G14" s="1111">
        <f t="shared" ref="G14:G16" si="3">G7</f>
        <v>2984833.4389839997</v>
      </c>
      <c r="H14" s="1111">
        <f t="shared" ref="H14:H16" si="4">G14*C14</f>
        <v>5969666.8779679993</v>
      </c>
      <c r="I14" s="1123"/>
      <c r="J14" s="1123"/>
      <c r="K14" s="1123"/>
      <c r="L14" s="1123"/>
      <c r="M14" s="1124"/>
    </row>
    <row r="15" spans="1:15" ht="21.95" customHeight="1">
      <c r="A15" s="1120" t="s">
        <v>1305</v>
      </c>
      <c r="B15" s="1121"/>
      <c r="C15" s="1109">
        <f>'7-2.인건비산출근거'!E29</f>
        <v>2</v>
      </c>
      <c r="D15" s="1122" t="s">
        <v>461</v>
      </c>
      <c r="E15" s="1111">
        <f t="shared" si="2"/>
        <v>1995261.9940386666</v>
      </c>
      <c r="F15" s="1111">
        <f t="shared" si="2"/>
        <v>3990523.9880773332</v>
      </c>
      <c r="G15" s="1111">
        <f t="shared" si="3"/>
        <v>1995261.9940386666</v>
      </c>
      <c r="H15" s="1111">
        <f t="shared" si="4"/>
        <v>3990523.9880773332</v>
      </c>
      <c r="I15" s="1123"/>
      <c r="J15" s="1123"/>
      <c r="K15" s="1123"/>
      <c r="L15" s="1123"/>
      <c r="M15" s="1124"/>
    </row>
    <row r="16" spans="1:15" ht="21.95" customHeight="1">
      <c r="A16" s="1120" t="s">
        <v>1306</v>
      </c>
      <c r="B16" s="1121"/>
      <c r="C16" s="1125">
        <f>'7-2.인건비산출근거'!F29</f>
        <v>2</v>
      </c>
      <c r="D16" s="1122" t="s">
        <v>461</v>
      </c>
      <c r="E16" s="1111">
        <f t="shared" si="2"/>
        <v>1496497.7309346667</v>
      </c>
      <c r="F16" s="1111">
        <f t="shared" si="2"/>
        <v>2992995.4618693334</v>
      </c>
      <c r="G16" s="1111">
        <f t="shared" si="3"/>
        <v>1496497.7309346667</v>
      </c>
      <c r="H16" s="1111">
        <f t="shared" si="4"/>
        <v>2992995.4618693334</v>
      </c>
      <c r="I16" s="1123"/>
      <c r="J16" s="1123"/>
      <c r="K16" s="1123"/>
      <c r="L16" s="1123"/>
      <c r="M16" s="1124"/>
    </row>
    <row r="17" spans="1:13" ht="21.95" customHeight="1">
      <c r="A17" s="1120" t="s">
        <v>1307</v>
      </c>
      <c r="B17" s="1121"/>
      <c r="C17" s="1109">
        <f>SUM(C13:C16)</f>
        <v>7</v>
      </c>
      <c r="D17" s="1110"/>
      <c r="E17" s="1111"/>
      <c r="F17" s="1111">
        <f>SUM(F13:F16)</f>
        <v>16845841.144198667</v>
      </c>
      <c r="G17" s="1111"/>
      <c r="H17" s="1111">
        <f>SUM(H13:H16)</f>
        <v>16845841.144198667</v>
      </c>
      <c r="I17" s="1123"/>
      <c r="J17" s="1123"/>
      <c r="K17" s="1123"/>
      <c r="L17" s="1123"/>
      <c r="M17" s="1124"/>
    </row>
    <row r="18" spans="1:13" ht="21.95" customHeight="1">
      <c r="A18" s="1107"/>
      <c r="B18" s="1108"/>
      <c r="C18" s="1113"/>
      <c r="D18" s="1110"/>
      <c r="E18" s="1111"/>
      <c r="F18" s="1111"/>
      <c r="G18" s="1111"/>
      <c r="H18" s="1111"/>
      <c r="I18" s="1111"/>
      <c r="J18" s="1111"/>
      <c r="K18" s="1111"/>
      <c r="L18" s="1111"/>
      <c r="M18" s="1112"/>
    </row>
    <row r="19" spans="1:13" ht="21.95" customHeight="1">
      <c r="A19" s="1126" t="s">
        <v>1309</v>
      </c>
      <c r="B19" s="1127"/>
      <c r="C19" s="1128"/>
      <c r="D19" s="1129"/>
      <c r="E19" s="1130"/>
      <c r="F19" s="1130"/>
      <c r="G19" s="1130"/>
      <c r="H19" s="1130"/>
      <c r="I19" s="1130"/>
      <c r="J19" s="1130"/>
      <c r="K19" s="1130"/>
      <c r="L19" s="1130"/>
      <c r="M19" s="1131"/>
    </row>
    <row r="20" spans="1:13" ht="21.95" customHeight="1">
      <c r="A20" s="1107" t="s">
        <v>1303</v>
      </c>
      <c r="B20" s="1108"/>
      <c r="C20" s="1109">
        <f>'7-2.인건비산출근거'!C30</f>
        <v>1</v>
      </c>
      <c r="D20" s="1122" t="s">
        <v>461</v>
      </c>
      <c r="E20" s="1111">
        <f>G20</f>
        <v>3892654.8162840004</v>
      </c>
      <c r="F20" s="1111">
        <f>H20</f>
        <v>3892654.8162840004</v>
      </c>
      <c r="G20" s="1111">
        <f>G6</f>
        <v>3892654.8162840004</v>
      </c>
      <c r="H20" s="1111">
        <f>G20*C20</f>
        <v>3892654.8162840004</v>
      </c>
      <c r="I20" s="1111"/>
      <c r="J20" s="1111"/>
      <c r="K20" s="1111"/>
      <c r="L20" s="1111"/>
      <c r="M20" s="1112"/>
    </row>
    <row r="21" spans="1:13" ht="21.95" customHeight="1">
      <c r="A21" s="1107" t="s">
        <v>1304</v>
      </c>
      <c r="B21" s="1108"/>
      <c r="C21" s="1109">
        <f>'7-2.인건비산출근거'!D30</f>
        <v>2</v>
      </c>
      <c r="D21" s="1122" t="s">
        <v>461</v>
      </c>
      <c r="E21" s="1111">
        <f t="shared" ref="E21:F23" si="5">G21</f>
        <v>2984833.4389839997</v>
      </c>
      <c r="F21" s="1111">
        <f t="shared" si="5"/>
        <v>5969666.8779679993</v>
      </c>
      <c r="G21" s="1111">
        <f t="shared" ref="G21:G23" si="6">G7</f>
        <v>2984833.4389839997</v>
      </c>
      <c r="H21" s="1111">
        <f t="shared" ref="H21:H23" si="7">G21*C21</f>
        <v>5969666.8779679993</v>
      </c>
      <c r="I21" s="1111"/>
      <c r="J21" s="1111"/>
      <c r="K21" s="1111"/>
      <c r="L21" s="1111"/>
      <c r="M21" s="1112"/>
    </row>
    <row r="22" spans="1:13" ht="21.95" customHeight="1">
      <c r="A22" s="1107" t="s">
        <v>1305</v>
      </c>
      <c r="B22" s="1108"/>
      <c r="C22" s="1109">
        <f>'7-2.인건비산출근거'!E30</f>
        <v>2</v>
      </c>
      <c r="D22" s="1122" t="s">
        <v>461</v>
      </c>
      <c r="E22" s="1111">
        <f t="shared" si="5"/>
        <v>1995261.9940386666</v>
      </c>
      <c r="F22" s="1111">
        <f t="shared" si="5"/>
        <v>3990523.9880773332</v>
      </c>
      <c r="G22" s="1111">
        <f t="shared" si="6"/>
        <v>1995261.9940386666</v>
      </c>
      <c r="H22" s="1111">
        <f t="shared" si="7"/>
        <v>3990523.9880773332</v>
      </c>
      <c r="I22" s="1111"/>
      <c r="J22" s="1111"/>
      <c r="K22" s="1111"/>
      <c r="L22" s="1111"/>
      <c r="M22" s="1112"/>
    </row>
    <row r="23" spans="1:13" ht="21.95" customHeight="1">
      <c r="A23" s="1107" t="s">
        <v>1306</v>
      </c>
      <c r="B23" s="1108"/>
      <c r="C23" s="1125">
        <f>'7-2.인건비산출근거'!F30</f>
        <v>2</v>
      </c>
      <c r="D23" s="1122" t="s">
        <v>461</v>
      </c>
      <c r="E23" s="1111">
        <f t="shared" si="5"/>
        <v>1496497.7309346667</v>
      </c>
      <c r="F23" s="1111">
        <f t="shared" si="5"/>
        <v>2992995.4618693334</v>
      </c>
      <c r="G23" s="1111">
        <f t="shared" si="6"/>
        <v>1496497.7309346667</v>
      </c>
      <c r="H23" s="1111">
        <f t="shared" si="7"/>
        <v>2992995.4618693334</v>
      </c>
      <c r="I23" s="1111"/>
      <c r="J23" s="1111"/>
      <c r="K23" s="1111"/>
      <c r="L23" s="1111"/>
      <c r="M23" s="1112"/>
    </row>
    <row r="24" spans="1:13" ht="21.95" customHeight="1">
      <c r="A24" s="1132" t="s">
        <v>1307</v>
      </c>
      <c r="B24" s="1133"/>
      <c r="C24" s="1134">
        <f>SUM(C20:C23)</f>
        <v>7</v>
      </c>
      <c r="D24" s="1135"/>
      <c r="E24" s="1136"/>
      <c r="F24" s="1136">
        <f>SUM(F20:F23)</f>
        <v>16845841.144198667</v>
      </c>
      <c r="G24" s="1136"/>
      <c r="H24" s="1136">
        <f>SUM(H20:H23)</f>
        <v>16845841.144198667</v>
      </c>
      <c r="I24" s="1136"/>
      <c r="J24" s="1136"/>
      <c r="K24" s="1136"/>
      <c r="L24" s="1136"/>
      <c r="M24" s="1137"/>
    </row>
    <row r="25" spans="1:13" ht="21.95" customHeight="1">
      <c r="A25" s="1102" t="s">
        <v>1310</v>
      </c>
      <c r="B25" s="1103"/>
      <c r="C25" s="1138"/>
      <c r="D25" s="1104"/>
      <c r="E25" s="1105"/>
      <c r="F25" s="1105"/>
      <c r="G25" s="1105"/>
      <c r="H25" s="1105"/>
      <c r="I25" s="1105"/>
      <c r="J25" s="1105"/>
      <c r="K25" s="1105"/>
      <c r="L25" s="1105"/>
      <c r="M25" s="1106"/>
    </row>
    <row r="26" spans="1:13" ht="21.95" customHeight="1">
      <c r="A26" s="1107" t="s">
        <v>1303</v>
      </c>
      <c r="B26" s="1108"/>
      <c r="C26" s="1109">
        <f>'7-2.인건비산출근거'!C31</f>
        <v>0.5</v>
      </c>
      <c r="D26" s="1122" t="s">
        <v>461</v>
      </c>
      <c r="E26" s="1111">
        <f>G26</f>
        <v>3892654.8162840004</v>
      </c>
      <c r="F26" s="1111">
        <f>H26</f>
        <v>1946327.4081420002</v>
      </c>
      <c r="G26" s="1111">
        <f>G20</f>
        <v>3892654.8162840004</v>
      </c>
      <c r="H26" s="1111">
        <f>G26*C26</f>
        <v>1946327.4081420002</v>
      </c>
      <c r="I26" s="1111"/>
      <c r="J26" s="1111"/>
      <c r="K26" s="1111"/>
      <c r="L26" s="1111"/>
      <c r="M26" s="1112"/>
    </row>
    <row r="27" spans="1:13" ht="21.95" customHeight="1">
      <c r="A27" s="1107" t="s">
        <v>1304</v>
      </c>
      <c r="B27" s="1108"/>
      <c r="C27" s="1109">
        <f>'7-2.인건비산출근거'!D31</f>
        <v>1.5</v>
      </c>
      <c r="D27" s="1122" t="s">
        <v>461</v>
      </c>
      <c r="E27" s="1111">
        <f t="shared" ref="E27:F29" si="8">G27</f>
        <v>2984833.4389839997</v>
      </c>
      <c r="F27" s="1111">
        <f t="shared" si="8"/>
        <v>4477250.1584759997</v>
      </c>
      <c r="G27" s="1111">
        <f t="shared" ref="G27:G29" si="9">G21</f>
        <v>2984833.4389839997</v>
      </c>
      <c r="H27" s="1111">
        <f t="shared" ref="H27:H29" si="10">G27*C27</f>
        <v>4477250.1584759997</v>
      </c>
      <c r="I27" s="1111"/>
      <c r="J27" s="1111"/>
      <c r="K27" s="1111"/>
      <c r="L27" s="1111"/>
      <c r="M27" s="1112"/>
    </row>
    <row r="28" spans="1:13" ht="21.95" customHeight="1">
      <c r="A28" s="1107" t="s">
        <v>1305</v>
      </c>
      <c r="B28" s="1108"/>
      <c r="C28" s="1109">
        <f>'7-2.인건비산출근거'!E31</f>
        <v>1.5</v>
      </c>
      <c r="D28" s="1122" t="s">
        <v>461</v>
      </c>
      <c r="E28" s="1111">
        <f t="shared" si="8"/>
        <v>1995261.9940386666</v>
      </c>
      <c r="F28" s="1111">
        <f t="shared" si="8"/>
        <v>2992892.9910579999</v>
      </c>
      <c r="G28" s="1111">
        <f t="shared" si="9"/>
        <v>1995261.9940386666</v>
      </c>
      <c r="H28" s="1111">
        <f t="shared" si="10"/>
        <v>2992892.9910579999</v>
      </c>
      <c r="I28" s="1111"/>
      <c r="J28" s="1111"/>
      <c r="K28" s="1111"/>
      <c r="L28" s="1111"/>
      <c r="M28" s="1112"/>
    </row>
    <row r="29" spans="1:13" ht="21.95" customHeight="1">
      <c r="A29" s="1120" t="s">
        <v>1306</v>
      </c>
      <c r="B29" s="1121"/>
      <c r="C29" s="1125">
        <f>'7-2.인건비산출근거'!F31</f>
        <v>1.5</v>
      </c>
      <c r="D29" s="1122" t="s">
        <v>461</v>
      </c>
      <c r="E29" s="1111">
        <f t="shared" si="8"/>
        <v>1496497.7309346667</v>
      </c>
      <c r="F29" s="1111">
        <f t="shared" si="8"/>
        <v>2244746.5964020002</v>
      </c>
      <c r="G29" s="1111">
        <f t="shared" si="9"/>
        <v>1496497.7309346667</v>
      </c>
      <c r="H29" s="1111">
        <f t="shared" si="10"/>
        <v>2244746.5964020002</v>
      </c>
      <c r="I29" s="1123"/>
      <c r="J29" s="1123"/>
      <c r="K29" s="1123"/>
      <c r="L29" s="1123"/>
      <c r="M29" s="1124"/>
    </row>
    <row r="30" spans="1:13" ht="21.95" customHeight="1">
      <c r="A30" s="1139" t="s">
        <v>1307</v>
      </c>
      <c r="B30" s="1140"/>
      <c r="C30" s="1109">
        <f>SUM(C26:C29)</f>
        <v>5</v>
      </c>
      <c r="D30" s="1110"/>
      <c r="E30" s="1111"/>
      <c r="F30" s="1111">
        <f>SUM(F26:F29)</f>
        <v>11661217.154078001</v>
      </c>
      <c r="G30" s="1111"/>
      <c r="H30" s="1111">
        <f>SUM(H26:H29)</f>
        <v>11661217.154078001</v>
      </c>
      <c r="I30" s="1141"/>
      <c r="J30" s="1141"/>
      <c r="K30" s="1141"/>
      <c r="L30" s="1141"/>
      <c r="M30" s="1142"/>
    </row>
    <row r="31" spans="1:13" ht="21.95" customHeight="1">
      <c r="A31" s="1120"/>
      <c r="B31" s="1121"/>
      <c r="C31" s="1143"/>
      <c r="D31" s="1122"/>
      <c r="E31" s="1123"/>
      <c r="F31" s="1123"/>
      <c r="G31" s="1123"/>
      <c r="H31" s="1123"/>
      <c r="I31" s="1123"/>
      <c r="J31" s="1123"/>
      <c r="K31" s="1123"/>
      <c r="L31" s="1123"/>
      <c r="M31" s="1124"/>
    </row>
    <row r="32" spans="1:13" ht="21.95" customHeight="1">
      <c r="A32" s="1144" t="s">
        <v>1311</v>
      </c>
      <c r="B32" s="1145"/>
      <c r="C32" s="1146"/>
      <c r="D32" s="1146"/>
      <c r="E32" s="1147"/>
      <c r="F32" s="1147"/>
      <c r="G32" s="1147"/>
      <c r="H32" s="1147"/>
      <c r="I32" s="1147"/>
      <c r="J32" s="1147"/>
      <c r="K32" s="1147"/>
      <c r="L32" s="1147"/>
      <c r="M32" s="1148"/>
    </row>
    <row r="33" spans="1:13" ht="21.95" customHeight="1">
      <c r="A33" s="1107" t="s">
        <v>1312</v>
      </c>
      <c r="B33" s="1108"/>
      <c r="C33" s="1110">
        <v>8</v>
      </c>
      <c r="D33" s="1110" t="s">
        <v>1313</v>
      </c>
      <c r="E33" s="1111">
        <f>K33</f>
        <v>88214.002800000002</v>
      </c>
      <c r="F33" s="1111">
        <f>L33</f>
        <v>705712.02240000002</v>
      </c>
      <c r="G33" s="1111"/>
      <c r="H33" s="1111"/>
      <c r="I33" s="1111"/>
      <c r="J33" s="1111"/>
      <c r="K33" s="1111">
        <f>92400*O1</f>
        <v>88214.002800000002</v>
      </c>
      <c r="L33" s="1111">
        <f>K33*C33</f>
        <v>705712.02240000002</v>
      </c>
      <c r="M33" s="1112"/>
    </row>
    <row r="34" spans="1:13" ht="21.95" customHeight="1">
      <c r="A34" s="1107" t="s">
        <v>1314</v>
      </c>
      <c r="B34" s="1108"/>
      <c r="C34" s="1110">
        <v>16</v>
      </c>
      <c r="D34" s="1110" t="s">
        <v>1313</v>
      </c>
      <c r="E34" s="1111">
        <f t="shared" ref="E34:F35" si="11">K34</f>
        <v>83440.517800000001</v>
      </c>
      <c r="F34" s="1111">
        <f t="shared" si="11"/>
        <v>1335048.2848</v>
      </c>
      <c r="G34" s="1111"/>
      <c r="H34" s="1111"/>
      <c r="I34" s="1111"/>
      <c r="J34" s="1111"/>
      <c r="K34" s="1111">
        <f>87400*O1</f>
        <v>83440.517800000001</v>
      </c>
      <c r="L34" s="1111">
        <f t="shared" ref="L34:L35" si="12">K34*C34</f>
        <v>1335048.2848</v>
      </c>
      <c r="M34" s="1112"/>
    </row>
    <row r="35" spans="1:13" ht="21.95" customHeight="1">
      <c r="A35" s="1107" t="s">
        <v>1315</v>
      </c>
      <c r="B35" s="1108"/>
      <c r="C35" s="1110">
        <v>16</v>
      </c>
      <c r="D35" s="1110" t="s">
        <v>1313</v>
      </c>
      <c r="E35" s="1111">
        <f t="shared" si="11"/>
        <v>83440.517800000001</v>
      </c>
      <c r="F35" s="1111">
        <f t="shared" si="11"/>
        <v>1335048.2848</v>
      </c>
      <c r="G35" s="1111"/>
      <c r="H35" s="1111"/>
      <c r="I35" s="1111"/>
      <c r="J35" s="1111"/>
      <c r="K35" s="1111">
        <f>87400*O1</f>
        <v>83440.517800000001</v>
      </c>
      <c r="L35" s="1111">
        <f t="shared" si="12"/>
        <v>1335048.2848</v>
      </c>
      <c r="M35" s="1112"/>
    </row>
    <row r="36" spans="1:13" ht="21.95" customHeight="1">
      <c r="A36" s="1107" t="s">
        <v>1316</v>
      </c>
      <c r="B36" s="1108"/>
      <c r="C36" s="1110"/>
      <c r="D36" s="1110"/>
      <c r="E36" s="1111"/>
      <c r="F36" s="1111">
        <f>SUM(F33:F35)</f>
        <v>3375808.5920000002</v>
      </c>
      <c r="G36" s="1111"/>
      <c r="H36" s="1111"/>
      <c r="I36" s="1111"/>
      <c r="J36" s="1111"/>
      <c r="K36" s="1111"/>
      <c r="L36" s="1111">
        <f>SUM(L33:L35)</f>
        <v>3375808.5920000002</v>
      </c>
      <c r="M36" s="1112"/>
    </row>
    <row r="37" spans="1:13" ht="21.95" customHeight="1">
      <c r="A37" s="1149"/>
      <c r="B37" s="1150"/>
      <c r="C37" s="1151"/>
      <c r="D37" s="1151"/>
      <c r="E37" s="1152"/>
      <c r="F37" s="1152"/>
      <c r="G37" s="1152"/>
      <c r="H37" s="1152"/>
      <c r="I37" s="1152"/>
      <c r="J37" s="1152"/>
      <c r="K37" s="1152"/>
      <c r="L37" s="1152"/>
      <c r="M37" s="1153"/>
    </row>
    <row r="38" spans="1:13" ht="21.95" customHeight="1">
      <c r="A38" s="1144" t="s">
        <v>1317</v>
      </c>
      <c r="B38" s="1145"/>
      <c r="C38" s="1146"/>
      <c r="D38" s="1146"/>
      <c r="E38" s="1147"/>
      <c r="F38" s="1147"/>
      <c r="G38" s="1147"/>
      <c r="H38" s="1147"/>
      <c r="I38" s="1147"/>
      <c r="J38" s="1147"/>
      <c r="K38" s="1147"/>
      <c r="L38" s="1147"/>
      <c r="M38" s="1154"/>
    </row>
    <row r="39" spans="1:13" ht="21.95" customHeight="1">
      <c r="A39" s="1107" t="s">
        <v>1318</v>
      </c>
      <c r="B39" s="1155"/>
      <c r="C39" s="1156">
        <v>30</v>
      </c>
      <c r="D39" s="1156" t="s">
        <v>1319</v>
      </c>
      <c r="E39" s="1111">
        <f>K39</f>
        <v>7809.4214600000005</v>
      </c>
      <c r="F39" s="1111">
        <f>L39</f>
        <v>234282.64380000002</v>
      </c>
      <c r="G39" s="1157"/>
      <c r="H39" s="1157"/>
      <c r="I39" s="1157"/>
      <c r="J39" s="1157"/>
      <c r="K39" s="1111">
        <f>8180*O1</f>
        <v>7809.4214600000005</v>
      </c>
      <c r="L39" s="1111">
        <f>K39*C39</f>
        <v>234282.64380000002</v>
      </c>
      <c r="M39" s="1158"/>
    </row>
    <row r="40" spans="1:13" ht="21.95" customHeight="1">
      <c r="A40" s="1107" t="s">
        <v>1320</v>
      </c>
      <c r="B40" s="1155"/>
      <c r="C40" s="1156">
        <v>50</v>
      </c>
      <c r="D40" s="1156" t="s">
        <v>1319</v>
      </c>
      <c r="E40" s="1111">
        <f t="shared" ref="E40:F40" si="13">K40</f>
        <v>7752.1396400000003</v>
      </c>
      <c r="F40" s="1111">
        <f t="shared" si="13"/>
        <v>387606.98200000002</v>
      </c>
      <c r="G40" s="1157"/>
      <c r="H40" s="1157"/>
      <c r="I40" s="1157"/>
      <c r="J40" s="1157"/>
      <c r="K40" s="1111">
        <f>8120*O1</f>
        <v>7752.1396400000003</v>
      </c>
      <c r="L40" s="1111">
        <f t="shared" ref="L40" si="14">K40*C40</f>
        <v>387606.98200000002</v>
      </c>
      <c r="M40" s="1158"/>
    </row>
    <row r="41" spans="1:13" ht="21.95" customHeight="1">
      <c r="A41" s="1159" t="s">
        <v>1316</v>
      </c>
      <c r="B41" s="1155"/>
      <c r="C41" s="1156"/>
      <c r="D41" s="1156"/>
      <c r="E41" s="1111"/>
      <c r="F41" s="1111">
        <f>SUM(F39:F40)</f>
        <v>621889.62580000004</v>
      </c>
      <c r="G41" s="1157"/>
      <c r="H41" s="1157"/>
      <c r="I41" s="1157"/>
      <c r="J41" s="1157"/>
      <c r="K41" s="1111"/>
      <c r="L41" s="1111">
        <f>SUM(L39:L40)</f>
        <v>621889.62580000004</v>
      </c>
      <c r="M41" s="1158"/>
    </row>
    <row r="42" spans="1:13" ht="21.95" customHeight="1">
      <c r="A42" s="1160"/>
      <c r="B42" s="1161"/>
      <c r="C42" s="1162"/>
      <c r="D42" s="1163"/>
      <c r="E42" s="1164"/>
      <c r="F42" s="1164"/>
      <c r="G42" s="1164"/>
      <c r="H42" s="1164"/>
      <c r="I42" s="1164"/>
      <c r="J42" s="1164"/>
      <c r="K42" s="1164"/>
      <c r="L42" s="1164"/>
      <c r="M42" s="1165"/>
    </row>
    <row r="43" spans="1:13" ht="21.95" customHeight="1">
      <c r="A43" s="1144" t="s">
        <v>1321</v>
      </c>
      <c r="B43" s="1145"/>
      <c r="C43" s="1146"/>
      <c r="D43" s="1146"/>
      <c r="E43" s="1147"/>
      <c r="F43" s="1147"/>
      <c r="G43" s="1147"/>
      <c r="H43" s="1147"/>
      <c r="I43" s="1147"/>
      <c r="J43" s="1147"/>
      <c r="K43" s="1147"/>
      <c r="L43" s="1147"/>
      <c r="M43" s="1154"/>
    </row>
    <row r="44" spans="1:13" ht="21.95" customHeight="1">
      <c r="A44" s="1107" t="s">
        <v>1322</v>
      </c>
      <c r="B44" s="1155"/>
      <c r="C44" s="1156">
        <v>8</v>
      </c>
      <c r="D44" s="1110" t="s">
        <v>1313</v>
      </c>
      <c r="E44" s="1111">
        <f>K44</f>
        <v>14321</v>
      </c>
      <c r="F44" s="1111">
        <f>L44</f>
        <v>114568</v>
      </c>
      <c r="G44" s="1157"/>
      <c r="H44" s="1157"/>
      <c r="I44" s="1157"/>
      <c r="J44" s="1157"/>
      <c r="K44" s="1111">
        <f>+'7-3.경비산출근거'!E25</f>
        <v>14321</v>
      </c>
      <c r="L44" s="1111">
        <f>K44*C44</f>
        <v>114568</v>
      </c>
      <c r="M44" s="1158"/>
    </row>
    <row r="45" spans="1:13" ht="21.95" customHeight="1">
      <c r="A45" s="1107" t="s">
        <v>1323</v>
      </c>
      <c r="B45" s="1155"/>
      <c r="C45" s="1156">
        <v>8</v>
      </c>
      <c r="D45" s="1110" t="s">
        <v>1324</v>
      </c>
      <c r="E45" s="1111">
        <f t="shared" ref="E45:F46" si="15">K45</f>
        <v>5986</v>
      </c>
      <c r="F45" s="1111">
        <f t="shared" si="15"/>
        <v>47888</v>
      </c>
      <c r="G45" s="1157"/>
      <c r="H45" s="1157"/>
      <c r="I45" s="1157"/>
      <c r="J45" s="1157"/>
      <c r="K45" s="1111">
        <f>+'7-3.경비산출근거'!E26</f>
        <v>5986</v>
      </c>
      <c r="L45" s="1111">
        <f t="shared" ref="L45:L46" si="16">K45*C45</f>
        <v>47888</v>
      </c>
      <c r="M45" s="1158"/>
    </row>
    <row r="46" spans="1:13" ht="21.95" customHeight="1">
      <c r="A46" s="1107" t="s">
        <v>1325</v>
      </c>
      <c r="B46" s="1155"/>
      <c r="C46" s="1156">
        <v>4</v>
      </c>
      <c r="D46" s="1110" t="s">
        <v>1324</v>
      </c>
      <c r="E46" s="1111">
        <f t="shared" si="15"/>
        <v>95473</v>
      </c>
      <c r="F46" s="1111">
        <f t="shared" si="15"/>
        <v>381892</v>
      </c>
      <c r="G46" s="1157"/>
      <c r="H46" s="1157"/>
      <c r="I46" s="1157"/>
      <c r="J46" s="1157"/>
      <c r="K46" s="1111">
        <f>+'7-3.경비산출근거'!E27</f>
        <v>95473</v>
      </c>
      <c r="L46" s="1111">
        <f t="shared" si="16"/>
        <v>381892</v>
      </c>
      <c r="M46" s="1158"/>
    </row>
    <row r="47" spans="1:13" ht="21.95" customHeight="1">
      <c r="A47" s="1159" t="s">
        <v>1316</v>
      </c>
      <c r="B47" s="1155"/>
      <c r="C47" s="1156"/>
      <c r="D47" s="1156"/>
      <c r="E47" s="1111"/>
      <c r="F47" s="1111">
        <f>SUM(F44:F46)</f>
        <v>544348</v>
      </c>
      <c r="G47" s="1157"/>
      <c r="H47" s="1157"/>
      <c r="I47" s="1157"/>
      <c r="J47" s="1157"/>
      <c r="K47" s="1111"/>
      <c r="L47" s="1111">
        <f>SUM(L44:L46)</f>
        <v>544348</v>
      </c>
      <c r="M47" s="1158"/>
    </row>
    <row r="48" spans="1:13" ht="21.95" customHeight="1">
      <c r="A48" s="1149"/>
      <c r="B48" s="1150"/>
      <c r="C48" s="1151"/>
      <c r="D48" s="1151"/>
      <c r="E48" s="1152"/>
      <c r="F48" s="1152"/>
      <c r="G48" s="1152"/>
      <c r="H48" s="1152"/>
      <c r="I48" s="1152"/>
      <c r="J48" s="1152"/>
      <c r="K48" s="1152"/>
      <c r="L48" s="1152"/>
      <c r="M48" s="1153"/>
    </row>
    <row r="49" spans="1:13" ht="21.95" customHeight="1">
      <c r="A49" s="1144" t="s">
        <v>1326</v>
      </c>
      <c r="B49" s="1145"/>
      <c r="C49" s="1146"/>
      <c r="D49" s="1146"/>
      <c r="E49" s="1147"/>
      <c r="F49" s="1147"/>
      <c r="G49" s="1147"/>
      <c r="H49" s="1147"/>
      <c r="I49" s="1147"/>
      <c r="J49" s="1147"/>
      <c r="K49" s="1147"/>
      <c r="L49" s="1147"/>
      <c r="M49" s="1148"/>
    </row>
    <row r="50" spans="1:13" ht="21.95" customHeight="1">
      <c r="A50" s="1107" t="s">
        <v>1327</v>
      </c>
      <c r="B50" s="1108"/>
      <c r="C50" s="1110">
        <v>8</v>
      </c>
      <c r="D50" s="1110" t="s">
        <v>1313</v>
      </c>
      <c r="E50" s="1111">
        <f>K50</f>
        <v>190946</v>
      </c>
      <c r="F50" s="1111">
        <f>L50</f>
        <v>1527568</v>
      </c>
      <c r="G50" s="1111"/>
      <c r="H50" s="1111"/>
      <c r="I50" s="1111"/>
      <c r="J50" s="1111"/>
      <c r="K50" s="1111">
        <f>+'7-3.경비산출근거'!E33</f>
        <v>190946</v>
      </c>
      <c r="L50" s="1111">
        <f>K50*C50</f>
        <v>1527568</v>
      </c>
      <c r="M50" s="1166"/>
    </row>
    <row r="51" spans="1:13" ht="21.95" customHeight="1">
      <c r="A51" s="1107" t="s">
        <v>1328</v>
      </c>
      <c r="B51" s="1108"/>
      <c r="C51" s="1110">
        <v>4</v>
      </c>
      <c r="D51" s="1110" t="s">
        <v>1324</v>
      </c>
      <c r="E51" s="1111">
        <f t="shared" ref="E51:F51" si="17">K51</f>
        <v>190946</v>
      </c>
      <c r="F51" s="1111">
        <f t="shared" si="17"/>
        <v>763784</v>
      </c>
      <c r="G51" s="1111"/>
      <c r="H51" s="1111"/>
      <c r="I51" s="1111"/>
      <c r="J51" s="1111"/>
      <c r="K51" s="1111">
        <f>+'7-3.경비산출근거'!E34</f>
        <v>190946</v>
      </c>
      <c r="L51" s="1111">
        <f t="shared" ref="L51" si="18">K51*C51</f>
        <v>763784</v>
      </c>
      <c r="M51" s="1166"/>
    </row>
    <row r="52" spans="1:13" ht="21.95" customHeight="1">
      <c r="A52" s="1132" t="s">
        <v>1316</v>
      </c>
      <c r="B52" s="1133"/>
      <c r="C52" s="1135"/>
      <c r="D52" s="1135"/>
      <c r="E52" s="1136"/>
      <c r="F52" s="1136">
        <f>SUM(F50:F51)</f>
        <v>2291352</v>
      </c>
      <c r="G52" s="1136"/>
      <c r="H52" s="1136"/>
      <c r="I52" s="1136"/>
      <c r="J52" s="1136"/>
      <c r="K52" s="1136"/>
      <c r="L52" s="1136">
        <f>SUM(L50:L51)</f>
        <v>2291352</v>
      </c>
      <c r="M52" s="1137"/>
    </row>
  </sheetData>
  <mergeCells count="10">
    <mergeCell ref="I3:J3"/>
    <mergeCell ref="K3:L3"/>
    <mergeCell ref="M3:M4"/>
    <mergeCell ref="A1:M1"/>
    <mergeCell ref="A3:A4"/>
    <mergeCell ref="B3:B4"/>
    <mergeCell ref="C3:C4"/>
    <mergeCell ref="D3:D4"/>
    <mergeCell ref="E3:F3"/>
    <mergeCell ref="G3:H3"/>
  </mergeCells>
  <phoneticPr fontId="2" type="noConversion"/>
  <pageMargins left="0.69" right="0.43307086614173229" top="0.51181102362204722" bottom="0.31496062992125984" header="0.31496062992125984" footer="0.31496062992125984"/>
  <pageSetup paperSize="9" scale="90" orientation="landscape" horizontalDpi="4294967293" r:id="rId1"/>
  <rowBreaks count="1" manualBreakCount="1">
    <brk id="24"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topLeftCell="A15" zoomScaleSheetLayoutView="100" workbookViewId="0">
      <selection activeCell="I8" sqref="I8:K8"/>
    </sheetView>
  </sheetViews>
  <sheetFormatPr defaultRowHeight="13.5"/>
  <cols>
    <col min="1" max="1" width="2.875" style="1097" bestFit="1" customWidth="1"/>
    <col min="2" max="2" width="17.875" style="1097" customWidth="1"/>
    <col min="3" max="6" width="12.125" style="1097" customWidth="1"/>
    <col min="7" max="7" width="12" style="1097" customWidth="1"/>
    <col min="8" max="8" width="17" style="1097" bestFit="1" customWidth="1"/>
    <col min="9" max="9" width="21.25" style="1097" customWidth="1"/>
    <col min="10" max="16384" width="9" style="1097"/>
  </cols>
  <sheetData>
    <row r="1" spans="1:11" ht="25.5">
      <c r="A1" s="1879" t="s">
        <v>1429</v>
      </c>
      <c r="B1" s="1879"/>
      <c r="C1" s="1879"/>
      <c r="D1" s="1879"/>
      <c r="E1" s="1879"/>
      <c r="F1" s="1879"/>
      <c r="G1" s="1879"/>
      <c r="H1" s="1879"/>
      <c r="I1" s="1879"/>
      <c r="K1" s="1097">
        <f>+용역비총괄표!O9</f>
        <v>0.95469700000000002</v>
      </c>
    </row>
    <row r="2" spans="1:11" ht="15" customHeight="1">
      <c r="A2" s="1880"/>
      <c r="B2" s="1880"/>
      <c r="C2" s="1880"/>
      <c r="D2" s="1880"/>
      <c r="E2" s="1880"/>
      <c r="F2" s="1880"/>
      <c r="G2" s="1880"/>
      <c r="H2" s="1880"/>
      <c r="I2" s="1880"/>
    </row>
    <row r="3" spans="1:11" ht="9.9499999999999993" customHeight="1">
      <c r="A3" s="1167"/>
      <c r="B3" s="1167"/>
      <c r="C3" s="1167"/>
      <c r="D3" s="1167"/>
      <c r="E3" s="1167"/>
      <c r="F3" s="1167"/>
      <c r="G3" s="1167"/>
      <c r="H3" s="1167"/>
      <c r="I3" s="1167"/>
    </row>
    <row r="4" spans="1:11" ht="24.95" customHeight="1">
      <c r="A4" s="1167"/>
      <c r="B4" s="1167" t="s">
        <v>1329</v>
      </c>
      <c r="C4" s="1167"/>
      <c r="D4" s="1167"/>
      <c r="E4" s="1167"/>
      <c r="F4" s="1167"/>
      <c r="G4" s="1167"/>
      <c r="H4" s="1167"/>
      <c r="I4" s="1167"/>
    </row>
    <row r="5" spans="1:11" ht="20.100000000000001" customHeight="1">
      <c r="A5" s="1167"/>
      <c r="B5" s="1167"/>
      <c r="C5" s="1167"/>
      <c r="D5" s="1167"/>
      <c r="E5" s="1167"/>
      <c r="F5" s="1167"/>
      <c r="G5" s="1167"/>
      <c r="H5" s="1167"/>
      <c r="I5" s="1167"/>
    </row>
    <row r="6" spans="1:11" ht="20.100000000000001" customHeight="1">
      <c r="A6" s="1168" t="s">
        <v>1330</v>
      </c>
      <c r="B6" s="1169" t="s">
        <v>1331</v>
      </c>
      <c r="C6" s="1170">
        <v>11</v>
      </c>
      <c r="D6" s="1169" t="s">
        <v>1332</v>
      </c>
      <c r="E6" s="1167"/>
      <c r="F6" s="1167"/>
      <c r="G6" s="1167"/>
      <c r="H6" s="1167"/>
      <c r="I6" s="1167"/>
    </row>
    <row r="7" spans="1:11" ht="20.100000000000001" customHeight="1">
      <c r="A7" s="1167"/>
      <c r="B7" s="1167"/>
      <c r="C7" s="1167"/>
      <c r="D7" s="1167"/>
      <c r="E7" s="1167"/>
      <c r="F7" s="1167"/>
      <c r="G7" s="1167"/>
      <c r="H7" s="1167"/>
      <c r="I7" s="1167"/>
    </row>
    <row r="8" spans="1:11" ht="20.100000000000001" customHeight="1" thickBot="1">
      <c r="A8" s="1168" t="s">
        <v>1333</v>
      </c>
      <c r="B8" s="1171" t="s">
        <v>1334</v>
      </c>
      <c r="C8" s="1172"/>
      <c r="D8" s="1172"/>
      <c r="E8" s="1172"/>
      <c r="F8" s="1172"/>
      <c r="G8" s="1172"/>
      <c r="H8" s="1172"/>
      <c r="I8" s="1172"/>
    </row>
    <row r="9" spans="1:11" ht="20.100000000000001" customHeight="1">
      <c r="A9" s="1167"/>
      <c r="B9" s="1881" t="s">
        <v>1335</v>
      </c>
      <c r="C9" s="1883" t="s">
        <v>1336</v>
      </c>
      <c r="D9" s="1884"/>
      <c r="E9" s="1884"/>
      <c r="F9" s="1884"/>
      <c r="G9" s="1885" t="s">
        <v>2</v>
      </c>
      <c r="H9" s="1173"/>
      <c r="I9" s="1174"/>
    </row>
    <row r="10" spans="1:11" ht="20.100000000000001" customHeight="1">
      <c r="A10" s="1167"/>
      <c r="B10" s="1882"/>
      <c r="C10" s="1175" t="s">
        <v>1337</v>
      </c>
      <c r="D10" s="1175" t="s">
        <v>1338</v>
      </c>
      <c r="E10" s="1175" t="s">
        <v>1339</v>
      </c>
      <c r="F10" s="1175" t="s">
        <v>1340</v>
      </c>
      <c r="G10" s="1886"/>
      <c r="H10" s="1176"/>
      <c r="I10" s="1167"/>
    </row>
    <row r="11" spans="1:11" ht="20.100000000000001" customHeight="1">
      <c r="A11" s="1167"/>
      <c r="B11" s="1177" t="s">
        <v>1341</v>
      </c>
      <c r="C11" s="1310">
        <v>0.35</v>
      </c>
      <c r="D11" s="1310">
        <v>1.05</v>
      </c>
      <c r="E11" s="1310">
        <v>1.05</v>
      </c>
      <c r="F11" s="1310">
        <v>1.05</v>
      </c>
      <c r="G11" s="1179" t="s">
        <v>1419</v>
      </c>
      <c r="H11" s="1180"/>
      <c r="I11" s="1167"/>
    </row>
    <row r="12" spans="1:11" ht="20.100000000000001" customHeight="1">
      <c r="A12" s="1167"/>
      <c r="B12" s="1177" t="s">
        <v>1342</v>
      </c>
      <c r="C12" s="1178">
        <v>1</v>
      </c>
      <c r="D12" s="1178">
        <v>2</v>
      </c>
      <c r="E12" s="1178">
        <v>2</v>
      </c>
      <c r="F12" s="1178">
        <v>2</v>
      </c>
      <c r="G12" s="1179"/>
      <c r="H12" s="1180"/>
      <c r="I12" s="1167"/>
    </row>
    <row r="13" spans="1:11" ht="20.100000000000001" customHeight="1">
      <c r="A13" s="1167"/>
      <c r="B13" s="1177" t="s">
        <v>1343</v>
      </c>
      <c r="C13" s="1178">
        <v>1</v>
      </c>
      <c r="D13" s="1178">
        <v>2</v>
      </c>
      <c r="E13" s="1178">
        <v>2</v>
      </c>
      <c r="F13" s="1178">
        <v>2</v>
      </c>
      <c r="G13" s="1179"/>
      <c r="H13" s="1180"/>
      <c r="I13" s="1167"/>
    </row>
    <row r="14" spans="1:11" ht="20.100000000000001" customHeight="1">
      <c r="A14" s="1167"/>
      <c r="B14" s="1177" t="s">
        <v>1344</v>
      </c>
      <c r="C14" s="1178">
        <v>0.5</v>
      </c>
      <c r="D14" s="1178">
        <v>1.5</v>
      </c>
      <c r="E14" s="1178">
        <v>1.5</v>
      </c>
      <c r="F14" s="1178">
        <v>1.5</v>
      </c>
      <c r="G14" s="1179"/>
      <c r="H14" s="1180"/>
      <c r="I14" s="1167"/>
    </row>
    <row r="15" spans="1:11" ht="20.100000000000001" customHeight="1" thickBot="1">
      <c r="A15" s="1167"/>
      <c r="B15" s="1181" t="s">
        <v>3</v>
      </c>
      <c r="C15" s="1182">
        <f>SUM(C11:C14)</f>
        <v>2.85</v>
      </c>
      <c r="D15" s="1182">
        <f>SUM(D11:D14)</f>
        <v>6.55</v>
      </c>
      <c r="E15" s="1182">
        <f>SUM(E11:E14)</f>
        <v>6.55</v>
      </c>
      <c r="F15" s="1182">
        <f>SUM(F11:F14)</f>
        <v>6.55</v>
      </c>
      <c r="G15" s="1183"/>
      <c r="H15" s="1180"/>
      <c r="I15" s="1167"/>
    </row>
    <row r="16" spans="1:11" ht="20.100000000000001" customHeight="1">
      <c r="A16" s="1167"/>
      <c r="B16" s="1167"/>
      <c r="C16" s="1167"/>
      <c r="D16" s="1167"/>
      <c r="E16" s="1167"/>
      <c r="F16" s="1167"/>
      <c r="G16" s="1167"/>
      <c r="H16" s="1167"/>
      <c r="I16" s="1184"/>
    </row>
    <row r="17" spans="1:9" ht="20.100000000000001" customHeight="1">
      <c r="A17" s="1168" t="s">
        <v>1345</v>
      </c>
      <c r="B17" s="1185" t="s">
        <v>1346</v>
      </c>
      <c r="C17" s="1167" t="s">
        <v>1347</v>
      </c>
      <c r="D17" s="1167"/>
      <c r="E17" s="1167"/>
      <c r="F17" s="1186">
        <f>ROUNDDOWN(IF(C6&gt;50,ROUNDDOWN((C6/50)^0.3,3),ROUNDDOWN((50/50)^0.3,3)),2)</f>
        <v>1</v>
      </c>
      <c r="G17" s="1167"/>
      <c r="H17" s="1167"/>
      <c r="I17" s="1184"/>
    </row>
    <row r="18" spans="1:9" ht="20.100000000000001" customHeight="1">
      <c r="A18" s="1187"/>
      <c r="B18" s="1188"/>
      <c r="C18" s="1167"/>
      <c r="D18" s="1167"/>
      <c r="E18" s="1167"/>
      <c r="F18" s="1189"/>
      <c r="G18" s="1167"/>
      <c r="H18" s="1167"/>
      <c r="I18" s="1184"/>
    </row>
    <row r="19" spans="1:9" ht="20.100000000000001" customHeight="1">
      <c r="A19" s="1168">
        <v>4</v>
      </c>
      <c r="B19" s="1190" t="s">
        <v>1348</v>
      </c>
      <c r="C19" s="1191" t="s">
        <v>1349</v>
      </c>
      <c r="D19" s="1167"/>
      <c r="E19" s="1167"/>
      <c r="F19" s="1192">
        <v>1</v>
      </c>
      <c r="G19" s="1193" t="s">
        <v>1350</v>
      </c>
      <c r="H19" s="1167"/>
      <c r="I19" s="1184"/>
    </row>
    <row r="20" spans="1:9" ht="9.9499999999999993" customHeight="1">
      <c r="A20" s="1167"/>
      <c r="B20" s="1167"/>
      <c r="C20" s="1167"/>
      <c r="D20" s="1167"/>
      <c r="E20" s="1167"/>
      <c r="F20" s="1167"/>
      <c r="G20" s="1167"/>
      <c r="H20" s="1167"/>
      <c r="I20" s="1184"/>
    </row>
    <row r="21" spans="1:9" ht="20.100000000000001" customHeight="1">
      <c r="A21" s="1167"/>
      <c r="B21" s="1175" t="s">
        <v>1351</v>
      </c>
      <c r="C21" s="1878" t="s">
        <v>1352</v>
      </c>
      <c r="D21" s="1878"/>
      <c r="E21" s="1878"/>
      <c r="F21" s="1878"/>
      <c r="G21" s="1878" t="s">
        <v>1353</v>
      </c>
      <c r="H21" s="1878"/>
      <c r="I21" s="1175" t="s">
        <v>2</v>
      </c>
    </row>
    <row r="22" spans="1:9" ht="36.75" customHeight="1">
      <c r="A22" s="1167"/>
      <c r="B22" s="1194" t="s">
        <v>1354</v>
      </c>
      <c r="C22" s="1887" t="s">
        <v>1355</v>
      </c>
      <c r="D22" s="1888"/>
      <c r="E22" s="1888"/>
      <c r="F22" s="1889"/>
      <c r="G22" s="1890" t="s">
        <v>1356</v>
      </c>
      <c r="H22" s="1890"/>
      <c r="I22" s="1195"/>
    </row>
    <row r="23" spans="1:9" ht="20.100000000000001" customHeight="1">
      <c r="A23" s="1167"/>
      <c r="B23" s="1167"/>
      <c r="C23" s="1167"/>
      <c r="D23" s="1167"/>
      <c r="E23" s="1167"/>
      <c r="F23" s="1167"/>
      <c r="G23" s="1167"/>
      <c r="H23" s="1167"/>
      <c r="I23" s="1184"/>
    </row>
    <row r="24" spans="1:9" ht="20.100000000000001" customHeight="1">
      <c r="A24" s="1168">
        <v>5</v>
      </c>
      <c r="B24" s="1196" t="s">
        <v>1357</v>
      </c>
      <c r="C24" s="1197"/>
      <c r="D24" s="1197"/>
      <c r="E24" s="1197"/>
      <c r="F24" s="1197"/>
      <c r="G24" s="1197"/>
      <c r="H24" s="1197"/>
      <c r="I24" s="1184"/>
    </row>
    <row r="25" spans="1:9" ht="9.9499999999999993" customHeight="1" thickBot="1">
      <c r="A25" s="1168"/>
      <c r="B25" s="1196"/>
      <c r="C25" s="1197"/>
      <c r="D25" s="1197"/>
      <c r="E25" s="1197"/>
      <c r="F25" s="1197"/>
      <c r="G25" s="1197"/>
      <c r="H25" s="1197"/>
      <c r="I25" s="1184"/>
    </row>
    <row r="26" spans="1:9" ht="20.100000000000001" customHeight="1">
      <c r="A26" s="1197"/>
      <c r="B26" s="1891" t="s">
        <v>1335</v>
      </c>
      <c r="C26" s="1893" t="s">
        <v>1336</v>
      </c>
      <c r="D26" s="1894"/>
      <c r="E26" s="1894"/>
      <c r="F26" s="1894"/>
      <c r="G26" s="1894"/>
      <c r="H26" s="1895"/>
      <c r="I26" s="1896" t="s">
        <v>2</v>
      </c>
    </row>
    <row r="27" spans="1:9" ht="20.100000000000001" customHeight="1">
      <c r="A27" s="1197"/>
      <c r="B27" s="1892"/>
      <c r="C27" s="1198" t="s">
        <v>1337</v>
      </c>
      <c r="D27" s="1198" t="s">
        <v>1338</v>
      </c>
      <c r="E27" s="1198" t="s">
        <v>1339</v>
      </c>
      <c r="F27" s="1199" t="s">
        <v>1340</v>
      </c>
      <c r="G27" s="1200" t="s">
        <v>1358</v>
      </c>
      <c r="H27" s="1200" t="s">
        <v>1359</v>
      </c>
      <c r="I27" s="1897"/>
    </row>
    <row r="28" spans="1:9" ht="20.100000000000001" customHeight="1">
      <c r="A28" s="1197"/>
      <c r="B28" s="1201" t="s">
        <v>1341</v>
      </c>
      <c r="C28" s="1202">
        <f t="shared" ref="C28:F31" si="0">ROUNDDOWN(C11*$F$17*$F$19,2)</f>
        <v>0.35</v>
      </c>
      <c r="D28" s="1202">
        <f t="shared" si="0"/>
        <v>1.05</v>
      </c>
      <c r="E28" s="1202">
        <f t="shared" si="0"/>
        <v>1.05</v>
      </c>
      <c r="F28" s="1203">
        <f t="shared" si="0"/>
        <v>1.05</v>
      </c>
      <c r="G28" s="1204">
        <f>SUM(C28:F28)</f>
        <v>3.5</v>
      </c>
      <c r="H28" s="1205">
        <f>C28*($C$33+$C$34)+D28*($D$33+$D$34)+E28*($E$33+$E$34)+F28*($F$33+$F$34)</f>
        <v>8162852.0078546004</v>
      </c>
      <c r="I28" s="1206" t="s">
        <v>1360</v>
      </c>
    </row>
    <row r="29" spans="1:9" ht="20.100000000000001" customHeight="1">
      <c r="A29" s="1197"/>
      <c r="B29" s="1177" t="s">
        <v>1342</v>
      </c>
      <c r="C29" s="1202">
        <f t="shared" si="0"/>
        <v>1</v>
      </c>
      <c r="D29" s="1202">
        <f t="shared" si="0"/>
        <v>2</v>
      </c>
      <c r="E29" s="1202">
        <f t="shared" si="0"/>
        <v>2</v>
      </c>
      <c r="F29" s="1203">
        <f t="shared" si="0"/>
        <v>2</v>
      </c>
      <c r="G29" s="1204">
        <f>SUM(C29:F29)</f>
        <v>7</v>
      </c>
      <c r="H29" s="1205">
        <f>C29*($C$33+$C$34)+D29*($D$33+$D$34)+E29*($E$33+$E$34)+F29*($F$33+$F$34)</f>
        <v>16845841.144198667</v>
      </c>
      <c r="I29" s="1206" t="s">
        <v>1361</v>
      </c>
    </row>
    <row r="30" spans="1:9" ht="20.100000000000001" customHeight="1">
      <c r="A30" s="1197"/>
      <c r="B30" s="1177" t="s">
        <v>1343</v>
      </c>
      <c r="C30" s="1202">
        <f t="shared" si="0"/>
        <v>1</v>
      </c>
      <c r="D30" s="1202">
        <f t="shared" si="0"/>
        <v>2</v>
      </c>
      <c r="E30" s="1202">
        <f t="shared" si="0"/>
        <v>2</v>
      </c>
      <c r="F30" s="1203">
        <f t="shared" si="0"/>
        <v>2</v>
      </c>
      <c r="G30" s="1204">
        <f>SUM(C30:F30)</f>
        <v>7</v>
      </c>
      <c r="H30" s="1205">
        <f>C30*($C$33+$C$34)+D30*($D$33+$D$34)+E30*($E$33+$E$34)+F30*($F$33+$F$34)</f>
        <v>16845841.144198667</v>
      </c>
      <c r="I30" s="1206" t="s">
        <v>1362</v>
      </c>
    </row>
    <row r="31" spans="1:9" ht="20.100000000000001" customHeight="1">
      <c r="A31" s="1197"/>
      <c r="B31" s="1177" t="s">
        <v>1344</v>
      </c>
      <c r="C31" s="1202">
        <f t="shared" si="0"/>
        <v>0.5</v>
      </c>
      <c r="D31" s="1202">
        <f t="shared" si="0"/>
        <v>1.5</v>
      </c>
      <c r="E31" s="1202">
        <f t="shared" si="0"/>
        <v>1.5</v>
      </c>
      <c r="F31" s="1203">
        <f t="shared" si="0"/>
        <v>1.5</v>
      </c>
      <c r="G31" s="1204">
        <f>SUM(C31:F31)</f>
        <v>5</v>
      </c>
      <c r="H31" s="1205">
        <f>C31*($C$33+$C$34)+D31*($D$33+$D$34)+E31*($E$33+$E$34)+F31*($F$33+$F$34)</f>
        <v>11661217.154078001</v>
      </c>
      <c r="I31" s="1206" t="s">
        <v>1363</v>
      </c>
    </row>
    <row r="32" spans="1:9" ht="20.100000000000001" customHeight="1">
      <c r="A32" s="1197"/>
      <c r="B32" s="1207" t="s">
        <v>3</v>
      </c>
      <c r="C32" s="1208">
        <f>SUM(C28:C31)</f>
        <v>2.85</v>
      </c>
      <c r="D32" s="1208">
        <f>SUM(D28:D31)</f>
        <v>6.55</v>
      </c>
      <c r="E32" s="1208">
        <f>SUM(E28:E31)</f>
        <v>6.55</v>
      </c>
      <c r="F32" s="1203">
        <f>ROUNDDOWN(F15*$F$17*$F$19,2)</f>
        <v>6.55</v>
      </c>
      <c r="G32" s="1208">
        <f>SUM(G28:G31)</f>
        <v>22.5</v>
      </c>
      <c r="H32" s="1209">
        <f>SUM(H28:H31)</f>
        <v>53515751.450329937</v>
      </c>
      <c r="I32" s="1206" t="s">
        <v>1364</v>
      </c>
    </row>
    <row r="33" spans="1:9" ht="20.100000000000001" customHeight="1">
      <c r="A33" s="1197"/>
      <c r="B33" s="1210" t="s">
        <v>1365</v>
      </c>
      <c r="C33" s="1211">
        <f>3058029*K1</f>
        <v>2919491.1122130002</v>
      </c>
      <c r="D33" s="1211">
        <f>2344854*K1</f>
        <v>2238625.0792379999</v>
      </c>
      <c r="E33" s="1211">
        <f>1567457*K1</f>
        <v>1496446.4955289999</v>
      </c>
      <c r="F33" s="1212">
        <f>1175633*K1</f>
        <v>1122373.2982010001</v>
      </c>
      <c r="G33" s="1213"/>
      <c r="H33" s="1213"/>
      <c r="I33" s="1214" t="s">
        <v>1442</v>
      </c>
    </row>
    <row r="34" spans="1:9" ht="20.100000000000001" customHeight="1" thickBot="1">
      <c r="A34" s="1197"/>
      <c r="B34" s="1215" t="s">
        <v>1366</v>
      </c>
      <c r="C34" s="1216">
        <f>C33*4/12</f>
        <v>973163.7040710001</v>
      </c>
      <c r="D34" s="1216">
        <f>D33*4/12</f>
        <v>746208.35974599991</v>
      </c>
      <c r="E34" s="1216">
        <f>E33*4/12</f>
        <v>498815.49850966665</v>
      </c>
      <c r="F34" s="1217">
        <f>F33*4/12</f>
        <v>374124.43273366668</v>
      </c>
      <c r="G34" s="1213"/>
      <c r="H34" s="1213"/>
      <c r="I34" s="1218" t="s">
        <v>1367</v>
      </c>
    </row>
    <row r="35" spans="1:9" ht="20.100000000000001" customHeight="1">
      <c r="A35" s="1197"/>
      <c r="B35" s="1219" t="s">
        <v>1368</v>
      </c>
      <c r="C35" s="1220"/>
      <c r="D35" s="1221"/>
      <c r="E35" s="1221"/>
      <c r="F35" s="1222"/>
      <c r="G35" s="1223"/>
      <c r="H35" s="1224">
        <f>H32</f>
        <v>53515751.450329937</v>
      </c>
      <c r="I35" s="1225"/>
    </row>
    <row r="36" spans="1:9" ht="20.100000000000001" customHeight="1">
      <c r="A36" s="1167"/>
      <c r="B36" s="1226" t="s">
        <v>1369</v>
      </c>
      <c r="C36" s="1227"/>
      <c r="D36" s="1228"/>
      <c r="E36" s="1228"/>
      <c r="F36" s="1229"/>
      <c r="G36" s="1213"/>
      <c r="H36" s="1205">
        <f>'7-3.경비산출근거'!J10+'7-3.경비산출근거'!J20+'7-3.경비산출근거'!J28+'7-3.경비산출근거'!J35</f>
        <v>6833408.5920000002</v>
      </c>
      <c r="I36" s="1230"/>
    </row>
    <row r="37" spans="1:9" ht="20.100000000000001" customHeight="1">
      <c r="A37" s="1167"/>
      <c r="B37" s="1226" t="s">
        <v>1370</v>
      </c>
      <c r="C37" s="1227" t="s">
        <v>1371</v>
      </c>
      <c r="D37" s="1228"/>
      <c r="E37" s="1228"/>
      <c r="F37" s="1231"/>
      <c r="G37" s="1213"/>
      <c r="H37" s="1205">
        <f>(H36+H35)*5/100</f>
        <v>3017458.0021164967</v>
      </c>
      <c r="I37" s="1232" t="s">
        <v>1372</v>
      </c>
    </row>
    <row r="38" spans="1:9" ht="20.100000000000001" customHeight="1">
      <c r="A38" s="1167"/>
      <c r="B38" s="1226" t="s">
        <v>1373</v>
      </c>
      <c r="C38" s="1227" t="s">
        <v>1374</v>
      </c>
      <c r="D38" s="1228"/>
      <c r="E38" s="1228"/>
      <c r="F38" s="1231"/>
      <c r="G38" s="1213"/>
      <c r="H38" s="1205">
        <f>(H35+H36+H37)*10/100</f>
        <v>6336661.8044446437</v>
      </c>
      <c r="I38" s="1232" t="s">
        <v>1375</v>
      </c>
    </row>
    <row r="39" spans="1:9" ht="20.100000000000001" customHeight="1">
      <c r="A39" s="1167"/>
      <c r="B39" s="1226" t="s">
        <v>1376</v>
      </c>
      <c r="C39" s="1227"/>
      <c r="D39" s="1228"/>
      <c r="E39" s="1228"/>
      <c r="F39" s="1231"/>
      <c r="G39" s="1213"/>
      <c r="H39" s="1209">
        <f>ROUNDDOWN(SUM(H35:H38),-4)</f>
        <v>69700000</v>
      </c>
      <c r="I39" s="1232" t="s">
        <v>1377</v>
      </c>
    </row>
    <row r="40" spans="1:9" ht="20.100000000000001" customHeight="1">
      <c r="A40" s="1167"/>
      <c r="B40" s="1226" t="s">
        <v>1378</v>
      </c>
      <c r="C40" s="1227" t="s">
        <v>1379</v>
      </c>
      <c r="D40" s="1228"/>
      <c r="E40" s="1228"/>
      <c r="F40" s="1231"/>
      <c r="G40" s="1213"/>
      <c r="H40" s="1205">
        <f>H39*10/100</f>
        <v>6970000</v>
      </c>
      <c r="I40" s="1232"/>
    </row>
    <row r="41" spans="1:9" ht="20.100000000000001" customHeight="1" thickBot="1">
      <c r="A41" s="1167"/>
      <c r="B41" s="1233" t="s">
        <v>1380</v>
      </c>
      <c r="C41" s="1234"/>
      <c r="D41" s="1235"/>
      <c r="E41" s="1235"/>
      <c r="F41" s="1236"/>
      <c r="G41" s="1237"/>
      <c r="H41" s="1238">
        <f>H40+H39</f>
        <v>76670000</v>
      </c>
      <c r="I41" s="1239"/>
    </row>
    <row r="42" spans="1:9" ht="20.100000000000001" customHeight="1">
      <c r="A42" s="1167"/>
      <c r="B42" s="1167"/>
      <c r="C42" s="1167"/>
      <c r="D42" s="1167"/>
      <c r="E42" s="1167"/>
      <c r="F42" s="1167"/>
      <c r="G42" s="1167"/>
      <c r="H42" s="1167"/>
      <c r="I42" s="1167"/>
    </row>
    <row r="43" spans="1:9" ht="20.100000000000001" customHeight="1"/>
  </sheetData>
  <mergeCells count="12">
    <mergeCell ref="C22:F22"/>
    <mergeCell ref="G22:H22"/>
    <mergeCell ref="B26:B27"/>
    <mergeCell ref="C26:H26"/>
    <mergeCell ref="I26:I27"/>
    <mergeCell ref="C21:F21"/>
    <mergeCell ref="G21:H21"/>
    <mergeCell ref="A1:I1"/>
    <mergeCell ref="A2:I2"/>
    <mergeCell ref="B9:B10"/>
    <mergeCell ref="C9:F9"/>
    <mergeCell ref="G9:G10"/>
  </mergeCells>
  <phoneticPr fontId="2" type="noConversion"/>
  <pageMargins left="0.70866141732283472" right="0.70866141732283472" top="0.74803149606299213" bottom="0.39370078740157483" header="0.31496062992125984" footer="0.31496062992125984"/>
  <pageSetup paperSize="9" scale="6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zoomScaleNormal="100" zoomScaleSheetLayoutView="85" workbookViewId="0">
      <selection activeCell="I8" sqref="I8:K8"/>
    </sheetView>
  </sheetViews>
  <sheetFormatPr defaultRowHeight="13.5"/>
  <cols>
    <col min="1" max="1" width="26.625" style="276" customWidth="1"/>
    <col min="2" max="2" width="16.375" style="276" customWidth="1"/>
    <col min="3" max="3" width="9" style="276"/>
    <col min="4" max="4" width="17.125" style="276" bestFit="1" customWidth="1"/>
    <col min="5" max="5" width="9" style="276"/>
    <col min="6" max="6" width="12.75" style="276" bestFit="1" customWidth="1"/>
    <col min="7" max="7" width="9.625" style="276" bestFit="1" customWidth="1"/>
    <col min="8" max="9" width="5.5" style="276" bestFit="1" customWidth="1"/>
    <col min="10" max="10" width="12.875" style="276" bestFit="1" customWidth="1"/>
    <col min="11" max="11" width="39" style="276" customWidth="1"/>
    <col min="12" max="12" width="5.5" style="276" bestFit="1" customWidth="1"/>
    <col min="13" max="13" width="6.125" style="276" bestFit="1" customWidth="1"/>
    <col min="14" max="15" width="5.5" style="276" bestFit="1" customWidth="1"/>
    <col min="16" max="16384" width="9" style="276"/>
  </cols>
  <sheetData>
    <row r="1" spans="1:17" ht="20.100000000000001" customHeight="1">
      <c r="A1" s="1240"/>
      <c r="B1" s="1241"/>
      <c r="C1" s="1241"/>
      <c r="D1" s="1242"/>
      <c r="E1" s="1243"/>
      <c r="F1" s="1243"/>
      <c r="G1" s="1243"/>
      <c r="H1" s="1241"/>
      <c r="I1" s="1241"/>
      <c r="J1" s="1241"/>
      <c r="K1" s="276">
        <f>+용역비총괄표!O9</f>
        <v>0.95469700000000002</v>
      </c>
    </row>
    <row r="2" spans="1:17" ht="14.25" customHeight="1">
      <c r="A2" s="1244" t="s">
        <v>1381</v>
      </c>
      <c r="B2" s="1241"/>
      <c r="C2" s="1241"/>
      <c r="D2" s="1241"/>
      <c r="E2" s="1241"/>
      <c r="F2" s="1241"/>
      <c r="G2" s="1241"/>
      <c r="H2" s="1241"/>
      <c r="I2" s="1241"/>
      <c r="J2" s="1241"/>
      <c r="L2" s="1245"/>
      <c r="M2" s="1245"/>
      <c r="N2" s="1245"/>
      <c r="O2" s="1245"/>
      <c r="P2" s="1245"/>
      <c r="Q2" s="1245"/>
    </row>
    <row r="3" spans="1:17" ht="14.25" customHeight="1">
      <c r="A3" s="1246" t="s">
        <v>1382</v>
      </c>
      <c r="B3" s="1898" t="s">
        <v>1383</v>
      </c>
      <c r="C3" s="1899"/>
      <c r="D3" s="1899"/>
      <c r="E3" s="1899"/>
      <c r="F3" s="1899"/>
      <c r="G3" s="1899"/>
      <c r="H3" s="1899"/>
      <c r="I3" s="1900"/>
      <c r="J3" s="1247" t="s">
        <v>504</v>
      </c>
      <c r="L3" s="1245"/>
      <c r="M3" s="1245"/>
      <c r="N3" s="1245"/>
      <c r="O3" s="1245"/>
      <c r="P3" s="1245"/>
      <c r="Q3" s="1245"/>
    </row>
    <row r="4" spans="1:17" ht="14.25" customHeight="1">
      <c r="A4" s="1901" t="s">
        <v>264</v>
      </c>
      <c r="B4" s="1903" t="s">
        <v>1416</v>
      </c>
      <c r="C4" s="1904"/>
      <c r="D4" s="1904"/>
      <c r="E4" s="1904"/>
      <c r="F4" s="1904"/>
      <c r="G4" s="1904"/>
      <c r="H4" s="1904"/>
      <c r="I4" s="1904"/>
      <c r="J4" s="1248"/>
      <c r="L4" s="1245"/>
      <c r="M4" s="1245"/>
      <c r="N4" s="1245"/>
      <c r="O4" s="1245"/>
      <c r="P4" s="1245"/>
      <c r="Q4" s="1245"/>
    </row>
    <row r="5" spans="1:17" ht="14.25" customHeight="1">
      <c r="A5" s="1902"/>
      <c r="B5" s="1905" t="s">
        <v>1437</v>
      </c>
      <c r="C5" s="1906"/>
      <c r="D5" s="1906"/>
      <c r="E5" s="1906"/>
      <c r="F5" s="1906"/>
      <c r="G5" s="1906"/>
      <c r="H5" s="1906"/>
      <c r="I5" s="1906"/>
      <c r="J5" s="1249">
        <f>((20000+25000+47400)*1*2*4)*K1</f>
        <v>705712.02240000002</v>
      </c>
      <c r="L5" s="1245"/>
      <c r="M5" s="1245"/>
      <c r="N5" s="1245"/>
      <c r="O5" s="1245"/>
      <c r="P5" s="1245"/>
      <c r="Q5" s="1245"/>
    </row>
    <row r="6" spans="1:17" ht="14.25" customHeight="1">
      <c r="A6" s="1902"/>
      <c r="B6" s="1907" t="s">
        <v>1417</v>
      </c>
      <c r="C6" s="1907"/>
      <c r="D6" s="1907"/>
      <c r="E6" s="1907"/>
      <c r="F6" s="1907"/>
      <c r="G6" s="1907"/>
      <c r="H6" s="1907"/>
      <c r="I6" s="1907"/>
      <c r="J6" s="1250"/>
      <c r="L6" s="1245"/>
      <c r="M6" s="1245"/>
      <c r="N6" s="1245"/>
      <c r="O6" s="1245"/>
      <c r="P6" s="1245"/>
      <c r="Q6" s="1245"/>
    </row>
    <row r="7" spans="1:17" ht="14.25" customHeight="1">
      <c r="A7" s="1902"/>
      <c r="B7" s="1905" t="s">
        <v>1439</v>
      </c>
      <c r="C7" s="1906"/>
      <c r="D7" s="1906"/>
      <c r="E7" s="1906"/>
      <c r="F7" s="1906"/>
      <c r="G7" s="1906"/>
      <c r="H7" s="1906"/>
      <c r="I7" s="1906"/>
      <c r="J7" s="1249">
        <f>((20000+20000+47400)*2*2*4)*K1</f>
        <v>1335048.2848</v>
      </c>
      <c r="L7" s="1245"/>
      <c r="M7" s="1245"/>
      <c r="N7" s="1245"/>
      <c r="O7" s="1245"/>
      <c r="P7" s="1245"/>
      <c r="Q7" s="1245"/>
    </row>
    <row r="8" spans="1:17" ht="14.25" customHeight="1">
      <c r="A8" s="1902"/>
      <c r="B8" s="1907" t="s">
        <v>1418</v>
      </c>
      <c r="C8" s="1907"/>
      <c r="D8" s="1907"/>
      <c r="E8" s="1907"/>
      <c r="F8" s="1907"/>
      <c r="G8" s="1907"/>
      <c r="H8" s="1907"/>
      <c r="I8" s="1907"/>
      <c r="J8" s="1250"/>
      <c r="L8" s="1245"/>
      <c r="M8" s="1245"/>
      <c r="N8" s="1245"/>
      <c r="O8" s="1245"/>
      <c r="P8" s="1245"/>
      <c r="Q8" s="1245"/>
    </row>
    <row r="9" spans="1:17" ht="14.25" customHeight="1">
      <c r="A9" s="1902"/>
      <c r="B9" s="1903" t="s">
        <v>1438</v>
      </c>
      <c r="C9" s="1904"/>
      <c r="D9" s="1904"/>
      <c r="E9" s="1904"/>
      <c r="F9" s="1904"/>
      <c r="G9" s="1904"/>
      <c r="H9" s="1904"/>
      <c r="I9" s="1904"/>
      <c r="J9" s="1248">
        <f>((20000+20000+47400)*2*2*4)*K1</f>
        <v>1335048.2848</v>
      </c>
      <c r="L9" s="1245"/>
      <c r="M9" s="1245"/>
      <c r="N9" s="1245"/>
      <c r="O9" s="1245"/>
      <c r="P9" s="1245"/>
      <c r="Q9" s="1245"/>
    </row>
    <row r="10" spans="1:17" ht="14.25" customHeight="1">
      <c r="A10" s="1908" t="s">
        <v>1384</v>
      </c>
      <c r="B10" s="1909"/>
      <c r="C10" s="1909"/>
      <c r="D10" s="1909"/>
      <c r="E10" s="1909"/>
      <c r="F10" s="1909"/>
      <c r="G10" s="1909"/>
      <c r="H10" s="1909"/>
      <c r="I10" s="1909"/>
      <c r="J10" s="1251">
        <f>J5+J7+J9</f>
        <v>3375808.5920000002</v>
      </c>
    </row>
    <row r="11" spans="1:17" ht="14.25" customHeight="1">
      <c r="A11" s="1252" t="s">
        <v>1385</v>
      </c>
      <c r="B11" s="1253"/>
      <c r="C11" s="1253"/>
      <c r="D11" s="1253"/>
      <c r="E11" s="1253"/>
      <c r="F11" s="1253"/>
      <c r="G11" s="1253"/>
      <c r="H11" s="1253"/>
      <c r="I11" s="1253"/>
      <c r="J11" s="1254"/>
    </row>
    <row r="12" spans="1:17" ht="14.25" customHeight="1">
      <c r="A12" s="1252"/>
      <c r="B12" s="1253"/>
      <c r="C12" s="1253"/>
      <c r="D12" s="1253"/>
      <c r="E12" s="1253"/>
      <c r="F12" s="1253"/>
      <c r="G12" s="1253"/>
      <c r="H12" s="1253"/>
      <c r="I12" s="1253"/>
      <c r="J12" s="1254"/>
    </row>
    <row r="13" spans="1:17" ht="14.25" customHeight="1">
      <c r="A13" s="1252"/>
      <c r="B13" s="1243"/>
      <c r="C13" s="1255"/>
      <c r="D13" s="1256"/>
      <c r="E13" s="1243"/>
      <c r="F13" s="1243"/>
      <c r="G13" s="1243"/>
      <c r="H13" s="1243"/>
      <c r="I13" s="1243"/>
      <c r="J13" s="1243"/>
      <c r="K13" s="1065"/>
      <c r="L13" s="1065"/>
      <c r="M13" s="1065"/>
      <c r="N13" s="1065"/>
      <c r="O13" s="1065"/>
    </row>
    <row r="14" spans="1:17" ht="14.25" customHeight="1">
      <c r="A14" s="1244" t="s">
        <v>1386</v>
      </c>
      <c r="B14" s="1241"/>
      <c r="C14" s="1241"/>
      <c r="D14" s="1241"/>
      <c r="E14" s="1241"/>
      <c r="F14" s="1241"/>
      <c r="G14" s="1241"/>
      <c r="H14" s="1241"/>
      <c r="I14" s="1241"/>
      <c r="J14" s="1241"/>
    </row>
    <row r="15" spans="1:17" ht="14.25" customHeight="1">
      <c r="A15" s="1899" t="s">
        <v>633</v>
      </c>
      <c r="B15" s="1900"/>
      <c r="C15" s="1898" t="s">
        <v>1387</v>
      </c>
      <c r="D15" s="1899"/>
      <c r="E15" s="1899"/>
      <c r="F15" s="1899"/>
      <c r="G15" s="1899"/>
      <c r="H15" s="1899"/>
      <c r="I15" s="1900"/>
      <c r="J15" s="1247" t="s">
        <v>504</v>
      </c>
    </row>
    <row r="16" spans="1:17" ht="14.25" customHeight="1">
      <c r="A16" s="1910" t="s">
        <v>1388</v>
      </c>
      <c r="B16" s="1911"/>
      <c r="C16" s="1911"/>
      <c r="D16" s="1911"/>
      <c r="E16" s="1911"/>
      <c r="F16" s="1911"/>
      <c r="G16" s="1911"/>
      <c r="H16" s="1911"/>
      <c r="I16" s="1911"/>
      <c r="J16" s="1257">
        <f>SUM(J17:J17)</f>
        <v>234300</v>
      </c>
    </row>
    <row r="17" spans="1:11" ht="14.25" customHeight="1">
      <c r="A17" s="1912" t="s">
        <v>1389</v>
      </c>
      <c r="B17" s="1913"/>
      <c r="C17" s="1914" t="s">
        <v>1440</v>
      </c>
      <c r="D17" s="1907"/>
      <c r="E17" s="1907"/>
      <c r="F17" s="1907"/>
      <c r="G17" s="1907"/>
      <c r="H17" s="1907"/>
      <c r="I17" s="1907"/>
      <c r="J17" s="1258">
        <f>(7810)*30</f>
        <v>234300</v>
      </c>
      <c r="K17" s="1339">
        <f>8180*K1</f>
        <v>7809.4214600000005</v>
      </c>
    </row>
    <row r="18" spans="1:11" ht="14.25" customHeight="1">
      <c r="A18" s="1915" t="s">
        <v>1390</v>
      </c>
      <c r="B18" s="1916"/>
      <c r="C18" s="1916"/>
      <c r="D18" s="1916"/>
      <c r="E18" s="1916"/>
      <c r="F18" s="1916"/>
      <c r="G18" s="1916"/>
      <c r="H18" s="1916"/>
      <c r="I18" s="1916"/>
      <c r="J18" s="1259">
        <f>SUM(J19:J19)</f>
        <v>387600</v>
      </c>
    </row>
    <row r="19" spans="1:11" ht="14.25" customHeight="1">
      <c r="A19" s="1912" t="s">
        <v>1391</v>
      </c>
      <c r="B19" s="1913"/>
      <c r="C19" s="1914" t="s">
        <v>1441</v>
      </c>
      <c r="D19" s="1907"/>
      <c r="E19" s="1907"/>
      <c r="F19" s="1907"/>
      <c r="G19" s="1907"/>
      <c r="H19" s="1907"/>
      <c r="I19" s="1907"/>
      <c r="J19" s="1258">
        <f>(7752)*50</f>
        <v>387600</v>
      </c>
      <c r="K19" s="1339">
        <f>8120*K1</f>
        <v>7752.1396400000003</v>
      </c>
    </row>
    <row r="20" spans="1:11" ht="14.25" customHeight="1">
      <c r="A20" s="1908" t="s">
        <v>1384</v>
      </c>
      <c r="B20" s="1909"/>
      <c r="C20" s="1909"/>
      <c r="D20" s="1909"/>
      <c r="E20" s="1909"/>
      <c r="F20" s="1909"/>
      <c r="G20" s="1909"/>
      <c r="H20" s="1909"/>
      <c r="I20" s="1909"/>
      <c r="J20" s="1251">
        <f>J16+J18</f>
        <v>621900</v>
      </c>
    </row>
    <row r="21" spans="1:11" ht="14.25" customHeight="1">
      <c r="A21" s="1260" t="s">
        <v>1392</v>
      </c>
      <c r="B21" s="1261"/>
      <c r="C21" s="1261"/>
      <c r="D21" s="1261"/>
      <c r="E21" s="1261"/>
      <c r="F21" s="1261"/>
      <c r="G21" s="1261"/>
      <c r="H21" s="1261"/>
      <c r="I21" s="1261"/>
      <c r="J21" s="1261"/>
    </row>
    <row r="22" spans="1:11" ht="14.25" customHeight="1">
      <c r="A22" s="1241"/>
      <c r="B22" s="1261"/>
      <c r="C22" s="1261"/>
      <c r="D22" s="1261"/>
      <c r="E22" s="1261"/>
      <c r="F22" s="1261"/>
      <c r="G22" s="1261"/>
      <c r="H22" s="1261"/>
      <c r="I22" s="1261"/>
      <c r="J22" s="1261"/>
    </row>
    <row r="23" spans="1:11" ht="14.25" customHeight="1">
      <c r="A23" s="1244" t="s">
        <v>1393</v>
      </c>
      <c r="B23" s="1243"/>
      <c r="C23" s="1262"/>
      <c r="D23" s="1263"/>
      <c r="E23" s="1264"/>
      <c r="F23" s="1265"/>
      <c r="G23" s="1265"/>
      <c r="H23" s="1266"/>
      <c r="I23" s="1266"/>
      <c r="J23" s="1243"/>
    </row>
    <row r="24" spans="1:11" ht="14.25" customHeight="1">
      <c r="A24" s="1900" t="s">
        <v>801</v>
      </c>
      <c r="B24" s="1917"/>
      <c r="C24" s="1917"/>
      <c r="D24" s="1917"/>
      <c r="E24" s="1918" t="s">
        <v>1</v>
      </c>
      <c r="F24" s="1918"/>
      <c r="G24" s="1267" t="s">
        <v>1394</v>
      </c>
      <c r="H24" s="1917" t="s">
        <v>1395</v>
      </c>
      <c r="I24" s="1917"/>
      <c r="J24" s="1247" t="s">
        <v>504</v>
      </c>
    </row>
    <row r="25" spans="1:11" ht="14.25" customHeight="1">
      <c r="A25" s="1919" t="s">
        <v>1396</v>
      </c>
      <c r="B25" s="1919"/>
      <c r="C25" s="1919"/>
      <c r="D25" s="1920"/>
      <c r="E25" s="1921">
        <v>14321</v>
      </c>
      <c r="F25" s="1921"/>
      <c r="G25" s="1268">
        <v>2</v>
      </c>
      <c r="H25" s="1922">
        <v>4</v>
      </c>
      <c r="I25" s="1922"/>
      <c r="J25" s="1269">
        <f>E25*G25*H25</f>
        <v>114568</v>
      </c>
      <c r="K25" s="1339">
        <f>+E25*K1</f>
        <v>13672.215737</v>
      </c>
    </row>
    <row r="26" spans="1:11" ht="14.25" customHeight="1">
      <c r="A26" s="1923" t="s">
        <v>1397</v>
      </c>
      <c r="B26" s="1924"/>
      <c r="C26" s="1924"/>
      <c r="D26" s="1925"/>
      <c r="E26" s="1926">
        <v>5986</v>
      </c>
      <c r="F26" s="1927"/>
      <c r="G26" s="1270">
        <v>2</v>
      </c>
      <c r="H26" s="1928">
        <v>4</v>
      </c>
      <c r="I26" s="1929"/>
      <c r="J26" s="1271">
        <f>E26*G26*H26</f>
        <v>47888</v>
      </c>
      <c r="K26" s="1339">
        <f>+E26*K1</f>
        <v>5714.8162419999999</v>
      </c>
    </row>
    <row r="27" spans="1:11" ht="14.25" customHeight="1">
      <c r="A27" s="1930" t="s">
        <v>1325</v>
      </c>
      <c r="B27" s="1930"/>
      <c r="C27" s="1930"/>
      <c r="D27" s="1931"/>
      <c r="E27" s="1932">
        <v>95473</v>
      </c>
      <c r="F27" s="1933"/>
      <c r="G27" s="1270">
        <v>1</v>
      </c>
      <c r="H27" s="1934">
        <v>4</v>
      </c>
      <c r="I27" s="1935"/>
      <c r="J27" s="1272">
        <f>E27*G27*H27</f>
        <v>381892</v>
      </c>
      <c r="K27" s="1339">
        <f>+E27*K1</f>
        <v>91147.786680999998</v>
      </c>
    </row>
    <row r="28" spans="1:11" ht="14.25" customHeight="1">
      <c r="A28" s="1908" t="s">
        <v>1384</v>
      </c>
      <c r="B28" s="1909"/>
      <c r="C28" s="1909"/>
      <c r="D28" s="1909"/>
      <c r="E28" s="1909"/>
      <c r="F28" s="1909"/>
      <c r="G28" s="1909"/>
      <c r="H28" s="1909"/>
      <c r="I28" s="1909"/>
      <c r="J28" s="1251">
        <f>SUM(J25:J27)</f>
        <v>544348</v>
      </c>
    </row>
    <row r="29" spans="1:11" ht="14.25" customHeight="1">
      <c r="A29" s="1252" t="s">
        <v>1398</v>
      </c>
      <c r="B29" s="1241"/>
      <c r="C29" s="1241"/>
      <c r="D29" s="1241"/>
      <c r="E29" s="1241"/>
      <c r="F29" s="1241"/>
      <c r="G29" s="1241"/>
      <c r="H29" s="1241"/>
      <c r="I29" s="1241"/>
      <c r="J29" s="1241"/>
    </row>
    <row r="30" spans="1:11" ht="14.25" customHeight="1">
      <c r="A30" s="1261"/>
      <c r="B30" s="1241"/>
      <c r="C30" s="1241"/>
      <c r="D30" s="1241"/>
      <c r="E30" s="1241"/>
      <c r="F30" s="1241"/>
      <c r="G30" s="1241"/>
      <c r="H30" s="1241"/>
      <c r="I30" s="1241"/>
      <c r="J30" s="1241"/>
    </row>
    <row r="31" spans="1:11" ht="14.25" customHeight="1">
      <c r="A31" s="1244" t="s">
        <v>1399</v>
      </c>
      <c r="B31" s="1243"/>
      <c r="C31" s="1262"/>
      <c r="D31" s="1263"/>
      <c r="E31" s="1264"/>
      <c r="F31" s="1265"/>
      <c r="G31" s="1265"/>
      <c r="H31" s="1266"/>
      <c r="I31" s="1266"/>
      <c r="J31" s="1243"/>
    </row>
    <row r="32" spans="1:11" ht="14.25" customHeight="1">
      <c r="A32" s="1936" t="s">
        <v>809</v>
      </c>
      <c r="B32" s="1936"/>
      <c r="C32" s="1936"/>
      <c r="D32" s="1937"/>
      <c r="E32" s="1938" t="s">
        <v>1</v>
      </c>
      <c r="F32" s="1937"/>
      <c r="G32" s="1273" t="s">
        <v>10</v>
      </c>
      <c r="H32" s="1936" t="s">
        <v>1400</v>
      </c>
      <c r="I32" s="1937"/>
      <c r="J32" s="1247" t="s">
        <v>504</v>
      </c>
    </row>
    <row r="33" spans="1:11" ht="14.25" customHeight="1">
      <c r="A33" s="1939" t="s">
        <v>1327</v>
      </c>
      <c r="B33" s="1939"/>
      <c r="C33" s="1939"/>
      <c r="D33" s="1940"/>
      <c r="E33" s="1941">
        <v>190946</v>
      </c>
      <c r="F33" s="1942"/>
      <c r="G33" s="1274">
        <v>2</v>
      </c>
      <c r="H33" s="1943">
        <v>4</v>
      </c>
      <c r="I33" s="1942"/>
      <c r="J33" s="1269">
        <f>E33*G33*H33</f>
        <v>1527568</v>
      </c>
      <c r="K33" s="1339">
        <f>200000*K1</f>
        <v>190939.4</v>
      </c>
    </row>
    <row r="34" spans="1:11" ht="14.25" customHeight="1">
      <c r="A34" s="1944" t="s">
        <v>1401</v>
      </c>
      <c r="B34" s="1944"/>
      <c r="C34" s="1944"/>
      <c r="D34" s="1945"/>
      <c r="E34" s="1932">
        <f>+E33</f>
        <v>190946</v>
      </c>
      <c r="F34" s="1933"/>
      <c r="G34" s="1275"/>
      <c r="H34" s="1946">
        <v>4</v>
      </c>
      <c r="I34" s="1933"/>
      <c r="J34" s="1272">
        <f>E34*H34</f>
        <v>763784</v>
      </c>
    </row>
    <row r="35" spans="1:11" ht="14.25" customHeight="1">
      <c r="A35" s="1908" t="s">
        <v>1384</v>
      </c>
      <c r="B35" s="1909"/>
      <c r="C35" s="1909"/>
      <c r="D35" s="1909"/>
      <c r="E35" s="1909"/>
      <c r="F35" s="1909"/>
      <c r="G35" s="1909"/>
      <c r="H35" s="1909"/>
      <c r="I35" s="1909"/>
      <c r="J35" s="1251">
        <f>SUM(J33:J34)</f>
        <v>2291352</v>
      </c>
    </row>
    <row r="36" spans="1:11" ht="16.5">
      <c r="A36" s="1252"/>
      <c r="B36" s="1241"/>
      <c r="C36" s="1241"/>
      <c r="D36" s="1241"/>
      <c r="E36" s="1241"/>
      <c r="F36" s="1241"/>
      <c r="G36" s="1241"/>
      <c r="H36" s="1241"/>
      <c r="I36" s="1241"/>
      <c r="J36" s="1241"/>
    </row>
    <row r="37" spans="1:11">
      <c r="A37" s="1261"/>
      <c r="B37" s="1241"/>
      <c r="C37" s="1241"/>
      <c r="D37" s="1241"/>
      <c r="E37" s="1241"/>
      <c r="F37" s="1241"/>
      <c r="G37" s="1241"/>
      <c r="H37" s="1241"/>
      <c r="I37" s="1241"/>
      <c r="J37" s="1241"/>
    </row>
  </sheetData>
  <mergeCells count="41">
    <mergeCell ref="A35:I35"/>
    <mergeCell ref="A33:D33"/>
    <mergeCell ref="E33:F33"/>
    <mergeCell ref="H33:I33"/>
    <mergeCell ref="A34:D34"/>
    <mergeCell ref="E34:F34"/>
    <mergeCell ref="H34:I34"/>
    <mergeCell ref="A27:D27"/>
    <mergeCell ref="E27:F27"/>
    <mergeCell ref="H27:I27"/>
    <mergeCell ref="A28:I28"/>
    <mergeCell ref="A32:D32"/>
    <mergeCell ref="E32:F32"/>
    <mergeCell ref="H32:I32"/>
    <mergeCell ref="A25:D25"/>
    <mergeCell ref="E25:F25"/>
    <mergeCell ref="H25:I25"/>
    <mergeCell ref="A26:D26"/>
    <mergeCell ref="E26:F26"/>
    <mergeCell ref="H26:I26"/>
    <mergeCell ref="A18:I18"/>
    <mergeCell ref="A19:B19"/>
    <mergeCell ref="C19:I19"/>
    <mergeCell ref="A20:I20"/>
    <mergeCell ref="A24:D24"/>
    <mergeCell ref="E24:F24"/>
    <mergeCell ref="H24:I24"/>
    <mergeCell ref="A10:I10"/>
    <mergeCell ref="A15:B15"/>
    <mergeCell ref="C15:I15"/>
    <mergeCell ref="A16:I16"/>
    <mergeCell ref="A17:B17"/>
    <mergeCell ref="C17:I17"/>
    <mergeCell ref="B3:I3"/>
    <mergeCell ref="A4:A9"/>
    <mergeCell ref="B4:I4"/>
    <mergeCell ref="B5:I5"/>
    <mergeCell ref="B6:I6"/>
    <mergeCell ref="B7:I7"/>
    <mergeCell ref="B8:I8"/>
    <mergeCell ref="B9:I9"/>
  </mergeCells>
  <phoneticPr fontId="2" type="noConversion"/>
  <pageMargins left="0.75" right="0.75" top="0.62" bottom="0.26" header="0.5" footer="0.22"/>
  <pageSetup paperSize="9" scale="73" fitToHeight="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showGridLines="0" view="pageBreakPreview" zoomScaleNormal="85" zoomScaleSheetLayoutView="100" workbookViewId="0">
      <pane ySplit="4" topLeftCell="A5" activePane="bottomLeft" state="frozen"/>
      <selection activeCell="I8" sqref="I8:K8"/>
      <selection pane="bottomLeft" activeCell="I8" sqref="I8:K8"/>
    </sheetView>
  </sheetViews>
  <sheetFormatPr defaultRowHeight="13.5"/>
  <cols>
    <col min="1" max="1" width="36.875" style="1241" customWidth="1"/>
    <col min="2" max="2" width="8.75" style="1307" customWidth="1"/>
    <col min="3" max="4" width="8.75" style="1308" customWidth="1"/>
    <col min="5" max="6" width="8.75" style="1309" customWidth="1"/>
    <col min="7" max="16384" width="9" style="1241"/>
  </cols>
  <sheetData>
    <row r="1" spans="1:6" s="1276" customFormat="1" ht="27">
      <c r="A1" s="1949" t="s">
        <v>1402</v>
      </c>
      <c r="B1" s="1949"/>
      <c r="C1" s="1949"/>
      <c r="D1" s="1949"/>
      <c r="E1" s="1949"/>
      <c r="F1" s="1949"/>
    </row>
    <row r="2" spans="1:6" s="1279" customFormat="1" ht="8.1" customHeight="1">
      <c r="A2" s="1277"/>
      <c r="B2" s="1277"/>
      <c r="C2" s="1278"/>
      <c r="D2" s="1278"/>
      <c r="E2" s="1278"/>
      <c r="F2" s="1278"/>
    </row>
    <row r="3" spans="1:6" s="1280" customFormat="1" ht="17.25" customHeight="1">
      <c r="A3" s="1950" t="s">
        <v>1403</v>
      </c>
      <c r="B3" s="1951" t="s">
        <v>1269</v>
      </c>
      <c r="C3" s="1952" t="s">
        <v>1404</v>
      </c>
      <c r="D3" s="1952"/>
      <c r="E3" s="1952"/>
      <c r="F3" s="1952"/>
    </row>
    <row r="4" spans="1:6" s="1280" customFormat="1" ht="12" customHeight="1">
      <c r="A4" s="1950"/>
      <c r="B4" s="1952"/>
      <c r="C4" s="1281" t="s">
        <v>1405</v>
      </c>
      <c r="D4" s="1282" t="s">
        <v>1406</v>
      </c>
      <c r="E4" s="1282" t="s">
        <v>1407</v>
      </c>
      <c r="F4" s="1282" t="s">
        <v>1408</v>
      </c>
    </row>
    <row r="5" spans="1:6" s="1285" customFormat="1" ht="12.95" customHeight="1">
      <c r="A5" s="1283" t="s">
        <v>1409</v>
      </c>
      <c r="B5" s="1284">
        <f>SUM(C5:F5)</f>
        <v>22.5</v>
      </c>
      <c r="C5" s="1284">
        <f>SUM(C6:C9)</f>
        <v>1.85</v>
      </c>
      <c r="D5" s="1284">
        <f>SUM(D6:D9)</f>
        <v>8.65</v>
      </c>
      <c r="E5" s="1284">
        <f>SUM(E6:E9)</f>
        <v>7</v>
      </c>
      <c r="F5" s="1284">
        <f>SUM(F6:F9)</f>
        <v>5</v>
      </c>
    </row>
    <row r="6" spans="1:6" s="1280" customFormat="1" ht="12.95" customHeight="1">
      <c r="A6" s="1286" t="s">
        <v>1410</v>
      </c>
      <c r="B6" s="1284">
        <f>SUM(C6:F6)</f>
        <v>2.8499999999999996</v>
      </c>
      <c r="C6" s="1287">
        <f t="shared" ref="C6:F9" si="0">SUM(C13,C20,C27,C34,C41)</f>
        <v>0.2</v>
      </c>
      <c r="D6" s="1287">
        <f t="shared" si="0"/>
        <v>1.1499999999999999</v>
      </c>
      <c r="E6" s="1287">
        <f t="shared" si="0"/>
        <v>1</v>
      </c>
      <c r="F6" s="1287">
        <f t="shared" si="0"/>
        <v>0.5</v>
      </c>
    </row>
    <row r="7" spans="1:6" s="1280" customFormat="1" ht="12.95" customHeight="1">
      <c r="A7" s="1286" t="s">
        <v>1411</v>
      </c>
      <c r="B7" s="1284">
        <f t="shared" ref="B7:B9" si="1">SUM(C7:F7)</f>
        <v>6.55</v>
      </c>
      <c r="C7" s="1287">
        <f t="shared" si="0"/>
        <v>0.55000000000000004</v>
      </c>
      <c r="D7" s="1287">
        <f t="shared" si="0"/>
        <v>2.5</v>
      </c>
      <c r="E7" s="1287">
        <f t="shared" si="0"/>
        <v>2</v>
      </c>
      <c r="F7" s="1287">
        <f t="shared" si="0"/>
        <v>1.5</v>
      </c>
    </row>
    <row r="8" spans="1:6" s="1280" customFormat="1" ht="12.95" customHeight="1">
      <c r="A8" s="1286" t="s">
        <v>1412</v>
      </c>
      <c r="B8" s="1284">
        <f t="shared" si="1"/>
        <v>6.55</v>
      </c>
      <c r="C8" s="1287">
        <f t="shared" si="0"/>
        <v>0.55000000000000004</v>
      </c>
      <c r="D8" s="1287">
        <f t="shared" si="0"/>
        <v>2.5</v>
      </c>
      <c r="E8" s="1287">
        <f t="shared" si="0"/>
        <v>2</v>
      </c>
      <c r="F8" s="1287">
        <f t="shared" si="0"/>
        <v>1.5</v>
      </c>
    </row>
    <row r="9" spans="1:6" s="1280" customFormat="1" ht="12.95" customHeight="1">
      <c r="A9" s="1286" t="s">
        <v>1413</v>
      </c>
      <c r="B9" s="1284">
        <f t="shared" si="1"/>
        <v>6.55</v>
      </c>
      <c r="C9" s="1287">
        <f t="shared" si="0"/>
        <v>0.55000000000000004</v>
      </c>
      <c r="D9" s="1287">
        <f t="shared" si="0"/>
        <v>2.5</v>
      </c>
      <c r="E9" s="1287">
        <f t="shared" si="0"/>
        <v>2</v>
      </c>
      <c r="F9" s="1287">
        <f>SUM(F16,F23,F30,F37,F44,F45)</f>
        <v>1.5</v>
      </c>
    </row>
    <row r="10" spans="1:6" s="1280" customFormat="1" ht="6" customHeight="1">
      <c r="A10" s="1947" t="s">
        <v>1414</v>
      </c>
      <c r="B10" s="1948"/>
      <c r="C10" s="1288"/>
      <c r="D10" s="1288"/>
      <c r="E10" s="1289"/>
      <c r="F10" s="1289"/>
    </row>
    <row r="11" spans="1:6" s="1280" customFormat="1" ht="7.5" customHeight="1">
      <c r="A11" s="1947"/>
      <c r="B11" s="1948"/>
      <c r="C11" s="1290"/>
      <c r="D11" s="1290"/>
      <c r="E11" s="1291"/>
      <c r="F11" s="1291"/>
    </row>
    <row r="12" spans="1:6" s="1280" customFormat="1" ht="10.5" customHeight="1">
      <c r="A12" s="1947"/>
      <c r="B12" s="1948"/>
      <c r="C12" s="1292"/>
      <c r="D12" s="1292"/>
      <c r="E12" s="1293"/>
      <c r="F12" s="1293"/>
    </row>
    <row r="13" spans="1:6" s="1296" customFormat="1" ht="12.95" customHeight="1">
      <c r="A13" s="1294" t="s">
        <v>1410</v>
      </c>
      <c r="B13" s="1295">
        <f>'7-1.일위대가'!C6</f>
        <v>0.35</v>
      </c>
      <c r="C13" s="1295">
        <v>0.2</v>
      </c>
      <c r="D13" s="1295">
        <v>0.15</v>
      </c>
      <c r="E13" s="1295"/>
      <c r="F13" s="1295"/>
    </row>
    <row r="14" spans="1:6" s="1296" customFormat="1" ht="12.95" customHeight="1">
      <c r="A14" s="1294" t="s">
        <v>1411</v>
      </c>
      <c r="B14" s="1295">
        <f>'7-1.일위대가'!C7</f>
        <v>1.05</v>
      </c>
      <c r="C14" s="1295">
        <v>0.55000000000000004</v>
      </c>
      <c r="D14" s="1295">
        <v>0.5</v>
      </c>
      <c r="E14" s="1295"/>
      <c r="F14" s="1295"/>
    </row>
    <row r="15" spans="1:6" s="1296" customFormat="1" ht="12.95" customHeight="1">
      <c r="A15" s="1294" t="s">
        <v>1412</v>
      </c>
      <c r="B15" s="1295">
        <f>'7-1.일위대가'!C8</f>
        <v>1.05</v>
      </c>
      <c r="C15" s="1295">
        <v>0.55000000000000004</v>
      </c>
      <c r="D15" s="1295">
        <v>0.5</v>
      </c>
      <c r="E15" s="1295"/>
      <c r="F15" s="1295"/>
    </row>
    <row r="16" spans="1:6" s="1296" customFormat="1" ht="12.95" customHeight="1">
      <c r="A16" s="1294" t="s">
        <v>1413</v>
      </c>
      <c r="B16" s="1295">
        <f>'7-1.일위대가'!C9</f>
        <v>1.05</v>
      </c>
      <c r="C16" s="1295">
        <v>0.55000000000000004</v>
      </c>
      <c r="D16" s="1295">
        <v>0.5</v>
      </c>
      <c r="E16" s="1295"/>
      <c r="F16" s="1295"/>
    </row>
    <row r="17" spans="1:6" s="1280" customFormat="1" ht="6" customHeight="1">
      <c r="A17" s="1947" t="s">
        <v>1278</v>
      </c>
      <c r="B17" s="1948"/>
      <c r="C17" s="1289"/>
      <c r="D17" s="1288"/>
      <c r="E17" s="1288"/>
      <c r="F17" s="1289"/>
    </row>
    <row r="18" spans="1:6" s="1280" customFormat="1" ht="7.5" customHeight="1">
      <c r="A18" s="1947"/>
      <c r="B18" s="1948"/>
      <c r="C18" s="1291"/>
      <c r="D18" s="1290"/>
      <c r="E18" s="1297"/>
      <c r="F18" s="1291"/>
    </row>
    <row r="19" spans="1:6" s="1280" customFormat="1" ht="11.25" customHeight="1">
      <c r="A19" s="1947"/>
      <c r="B19" s="1948"/>
      <c r="C19" s="1293"/>
      <c r="D19" s="1292"/>
      <c r="E19" s="1292"/>
      <c r="F19" s="1293"/>
    </row>
    <row r="20" spans="1:6" s="1296" customFormat="1" ht="12.95" customHeight="1">
      <c r="A20" s="1294" t="s">
        <v>1410</v>
      </c>
      <c r="B20" s="1295">
        <f>'7-1.일위대가'!C13</f>
        <v>1</v>
      </c>
      <c r="C20" s="1298"/>
      <c r="D20" s="1298">
        <v>0.5</v>
      </c>
      <c r="E20" s="1298">
        <v>0.5</v>
      </c>
      <c r="F20" s="1298"/>
    </row>
    <row r="21" spans="1:6" s="1296" customFormat="1" ht="12.95" customHeight="1">
      <c r="A21" s="1294" t="s">
        <v>1411</v>
      </c>
      <c r="B21" s="1295">
        <f>'7-1.일위대가'!C14</f>
        <v>2</v>
      </c>
      <c r="C21" s="1298"/>
      <c r="D21" s="1298">
        <v>1</v>
      </c>
      <c r="E21" s="1298">
        <v>1</v>
      </c>
      <c r="F21" s="1298"/>
    </row>
    <row r="22" spans="1:6" s="1296" customFormat="1" ht="12.95" customHeight="1">
      <c r="A22" s="1294" t="s">
        <v>1412</v>
      </c>
      <c r="B22" s="1295">
        <f>'7-1.일위대가'!C15</f>
        <v>2</v>
      </c>
      <c r="C22" s="1298"/>
      <c r="D22" s="1298">
        <v>1</v>
      </c>
      <c r="E22" s="1298">
        <v>1</v>
      </c>
      <c r="F22" s="1298"/>
    </row>
    <row r="23" spans="1:6" s="1296" customFormat="1" ht="12.95" customHeight="1">
      <c r="A23" s="1294" t="s">
        <v>1413</v>
      </c>
      <c r="B23" s="1295">
        <f>'7-1.일위대가'!C16</f>
        <v>2</v>
      </c>
      <c r="C23" s="1298"/>
      <c r="D23" s="1298">
        <v>1</v>
      </c>
      <c r="E23" s="1298">
        <v>1</v>
      </c>
      <c r="F23" s="1298"/>
    </row>
    <row r="24" spans="1:6" s="1280" customFormat="1" ht="5.25" customHeight="1">
      <c r="A24" s="1947" t="s">
        <v>1280</v>
      </c>
      <c r="B24" s="1948"/>
      <c r="C24" s="1289"/>
      <c r="D24" s="1288"/>
      <c r="E24" s="1288"/>
      <c r="F24" s="1288"/>
    </row>
    <row r="25" spans="1:6" s="1280" customFormat="1" ht="7.5" customHeight="1">
      <c r="A25" s="1947"/>
      <c r="B25" s="1948"/>
      <c r="C25" s="1299"/>
      <c r="D25" s="1297"/>
      <c r="E25" s="1297"/>
      <c r="F25" s="1297"/>
    </row>
    <row r="26" spans="1:6" s="1280" customFormat="1" ht="6.75" customHeight="1">
      <c r="A26" s="1947"/>
      <c r="B26" s="1948"/>
      <c r="C26" s="1293"/>
      <c r="D26" s="1292"/>
      <c r="E26" s="1292"/>
      <c r="F26" s="1292"/>
    </row>
    <row r="27" spans="1:6" s="1296" customFormat="1" ht="12.95" customHeight="1">
      <c r="A27" s="1294" t="s">
        <v>1410</v>
      </c>
      <c r="B27" s="1295">
        <f>'7-1.일위대가'!C20</f>
        <v>1</v>
      </c>
      <c r="C27" s="1298"/>
      <c r="D27" s="1298">
        <v>0.5</v>
      </c>
      <c r="E27" s="1298">
        <v>0.5</v>
      </c>
      <c r="F27" s="1298"/>
    </row>
    <row r="28" spans="1:6" s="1296" customFormat="1" ht="12.95" customHeight="1">
      <c r="A28" s="1294" t="s">
        <v>1411</v>
      </c>
      <c r="B28" s="1295">
        <f>'7-1.일위대가'!C21</f>
        <v>2</v>
      </c>
      <c r="C28" s="1298"/>
      <c r="D28" s="1298">
        <v>1</v>
      </c>
      <c r="E28" s="1298">
        <v>1</v>
      </c>
      <c r="F28" s="1298"/>
    </row>
    <row r="29" spans="1:6" s="1296" customFormat="1" ht="12.95" customHeight="1">
      <c r="A29" s="1294" t="s">
        <v>1412</v>
      </c>
      <c r="B29" s="1295">
        <f>'7-1.일위대가'!C22</f>
        <v>2</v>
      </c>
      <c r="C29" s="1298"/>
      <c r="D29" s="1298">
        <v>1</v>
      </c>
      <c r="E29" s="1298">
        <v>1</v>
      </c>
      <c r="F29" s="1298"/>
    </row>
    <row r="30" spans="1:6" s="1296" customFormat="1" ht="12.95" customHeight="1">
      <c r="A30" s="1294" t="s">
        <v>1413</v>
      </c>
      <c r="B30" s="1295">
        <f>'7-1.일위대가'!C23</f>
        <v>2</v>
      </c>
      <c r="C30" s="1298"/>
      <c r="D30" s="1298">
        <v>1</v>
      </c>
      <c r="E30" s="1298">
        <v>1</v>
      </c>
      <c r="F30" s="1298"/>
    </row>
    <row r="31" spans="1:6" s="1280" customFormat="1" ht="5.25" customHeight="1">
      <c r="A31" s="1947" t="s">
        <v>1281</v>
      </c>
      <c r="B31" s="1947"/>
      <c r="C31" s="1289"/>
      <c r="D31" s="1289"/>
      <c r="E31" s="1289"/>
      <c r="F31" s="1288"/>
    </row>
    <row r="32" spans="1:6" s="1280" customFormat="1" ht="7.5" customHeight="1">
      <c r="A32" s="1947"/>
      <c r="B32" s="1947"/>
      <c r="C32" s="1299"/>
      <c r="D32" s="1299"/>
      <c r="E32" s="1299"/>
      <c r="F32" s="1297"/>
    </row>
    <row r="33" spans="1:6" s="1280" customFormat="1" ht="6.75" customHeight="1">
      <c r="A33" s="1947"/>
      <c r="B33" s="1947"/>
      <c r="C33" s="1293"/>
      <c r="D33" s="1293"/>
      <c r="E33" s="1293"/>
      <c r="F33" s="1292"/>
    </row>
    <row r="34" spans="1:6" s="1296" customFormat="1" ht="12.95" customHeight="1">
      <c r="A34" s="1294" t="s">
        <v>1410</v>
      </c>
      <c r="B34" s="1295">
        <f>'7-1.일위대가'!C26</f>
        <v>0.5</v>
      </c>
      <c r="C34" s="1298"/>
      <c r="D34" s="1298"/>
      <c r="E34" s="1298"/>
      <c r="F34" s="1298">
        <v>0.5</v>
      </c>
    </row>
    <row r="35" spans="1:6" s="1296" customFormat="1" ht="12.95" customHeight="1">
      <c r="A35" s="1294" t="s">
        <v>1411</v>
      </c>
      <c r="B35" s="1295">
        <f>'7-1.일위대가'!C27</f>
        <v>1.5</v>
      </c>
      <c r="C35" s="1298"/>
      <c r="D35" s="1298"/>
      <c r="E35" s="1298"/>
      <c r="F35" s="1298">
        <v>1.5</v>
      </c>
    </row>
    <row r="36" spans="1:6" s="1296" customFormat="1" ht="12.95" customHeight="1">
      <c r="A36" s="1294" t="s">
        <v>1412</v>
      </c>
      <c r="B36" s="1295">
        <f>'7-1.일위대가'!C28</f>
        <v>1.5</v>
      </c>
      <c r="C36" s="1298"/>
      <c r="D36" s="1298"/>
      <c r="E36" s="1298"/>
      <c r="F36" s="1298">
        <v>1.5</v>
      </c>
    </row>
    <row r="37" spans="1:6" s="1296" customFormat="1" ht="12.95" hidden="1" customHeight="1" thickBot="1">
      <c r="A37" s="1294" t="s">
        <v>1413</v>
      </c>
      <c r="B37" s="1295"/>
      <c r="C37" s="1298"/>
      <c r="D37" s="1298"/>
      <c r="E37" s="1298"/>
      <c r="F37" s="1298"/>
    </row>
    <row r="38" spans="1:6" s="1280" customFormat="1" ht="5.25" hidden="1" customHeight="1">
      <c r="A38" s="1947"/>
      <c r="B38" s="1948"/>
      <c r="C38" s="1288"/>
      <c r="D38" s="1288"/>
      <c r="E38" s="1288"/>
      <c r="F38" s="1288"/>
    </row>
    <row r="39" spans="1:6" s="1280" customFormat="1" ht="7.5" hidden="1" customHeight="1">
      <c r="A39" s="1947"/>
      <c r="B39" s="1948"/>
      <c r="C39" s="1292"/>
      <c r="D39" s="1292"/>
      <c r="E39" s="1292"/>
      <c r="F39" s="1311"/>
    </row>
    <row r="40" spans="1:6" s="1280" customFormat="1" ht="6.75" hidden="1" customHeight="1">
      <c r="A40" s="1947"/>
      <c r="B40" s="1948"/>
      <c r="C40" s="1292"/>
      <c r="D40" s="1292"/>
      <c r="E40" s="1292"/>
      <c r="F40" s="1288"/>
    </row>
    <row r="41" spans="1:6" s="1296" customFormat="1" ht="12.95" hidden="1" customHeight="1">
      <c r="A41" s="1294" t="s">
        <v>1410</v>
      </c>
      <c r="B41" s="1295"/>
      <c r="C41" s="1298"/>
      <c r="D41" s="1298"/>
      <c r="E41" s="1298"/>
      <c r="F41" s="1298"/>
    </row>
    <row r="42" spans="1:6" s="1296" customFormat="1" ht="12.95" hidden="1" customHeight="1">
      <c r="A42" s="1294" t="s">
        <v>1411</v>
      </c>
      <c r="B42" s="1295"/>
      <c r="C42" s="1298"/>
      <c r="D42" s="1298"/>
      <c r="E42" s="1298"/>
      <c r="F42" s="1298"/>
    </row>
    <row r="43" spans="1:6" s="1296" customFormat="1" ht="12.95" hidden="1" customHeight="1">
      <c r="A43" s="1294" t="s">
        <v>1412</v>
      </c>
      <c r="B43" s="1295"/>
      <c r="C43" s="1298"/>
      <c r="D43" s="1298"/>
      <c r="E43" s="1298"/>
      <c r="F43" s="1298"/>
    </row>
    <row r="44" spans="1:6" s="1296" customFormat="1" ht="12.95" hidden="1" customHeight="1">
      <c r="A44" s="1294" t="s">
        <v>1413</v>
      </c>
      <c r="B44" s="1295"/>
      <c r="C44" s="1298"/>
      <c r="D44" s="1298"/>
      <c r="E44" s="1298"/>
      <c r="F44" s="1298"/>
    </row>
    <row r="45" spans="1:6" s="1302" customFormat="1">
      <c r="A45" s="1294" t="s">
        <v>1413</v>
      </c>
      <c r="B45" s="1295">
        <f>'7-1.일위대가'!C29</f>
        <v>1.5</v>
      </c>
      <c r="C45" s="1300"/>
      <c r="D45" s="1300"/>
      <c r="E45" s="1301"/>
      <c r="F45" s="1312">
        <v>1.5</v>
      </c>
    </row>
    <row r="46" spans="1:6" s="1302" customFormat="1">
      <c r="A46" s="1303" t="s">
        <v>1415</v>
      </c>
      <c r="B46" s="1304"/>
      <c r="C46" s="1305"/>
      <c r="D46" s="1305"/>
      <c r="E46" s="1306"/>
      <c r="F46" s="1306"/>
    </row>
    <row r="47" spans="1:6" s="1302" customFormat="1">
      <c r="B47" s="1304"/>
      <c r="C47" s="1305"/>
      <c r="D47" s="1305"/>
      <c r="E47" s="1306"/>
      <c r="F47" s="1306"/>
    </row>
  </sheetData>
  <mergeCells count="13">
    <mergeCell ref="A38:A40"/>
    <mergeCell ref="B38:B40"/>
    <mergeCell ref="A1:F1"/>
    <mergeCell ref="A3:A4"/>
    <mergeCell ref="B3:B4"/>
    <mergeCell ref="C3:F3"/>
    <mergeCell ref="A10:A12"/>
    <mergeCell ref="B10:B12"/>
    <mergeCell ref="A17:A19"/>
    <mergeCell ref="B17:B19"/>
    <mergeCell ref="A24:A26"/>
    <mergeCell ref="B24:B26"/>
    <mergeCell ref="A31:B33"/>
  </mergeCells>
  <phoneticPr fontId="2" type="noConversion"/>
  <pageMargins left="0.89" right="0.75" top="0.84" bottom="0.48" header="0.5" footer="0.4"/>
  <pageSetup paperSize="9" fitToHeight="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1"/>
  <sheetViews>
    <sheetView view="pageBreakPreview" zoomScale="115" zoomScaleSheetLayoutView="115" workbookViewId="0">
      <selection activeCell="I8" sqref="I8:K8"/>
    </sheetView>
  </sheetViews>
  <sheetFormatPr defaultRowHeight="16.5"/>
  <cols>
    <col min="1" max="1" width="26.625" customWidth="1"/>
    <col min="6" max="6" width="15.125" customWidth="1"/>
    <col min="8" max="8" width="15.125" customWidth="1"/>
    <col min="10" max="10" width="15.125" customWidth="1"/>
    <col min="12" max="12" width="15.125" customWidth="1"/>
  </cols>
  <sheetData>
    <row r="1" spans="1:14" ht="25.5">
      <c r="A1" s="1953" t="s">
        <v>517</v>
      </c>
      <c r="B1" s="1953"/>
      <c r="C1" s="1953"/>
      <c r="D1" s="1953"/>
      <c r="E1" s="1953"/>
      <c r="F1" s="1953"/>
      <c r="G1" s="1953"/>
      <c r="H1" s="1953"/>
      <c r="I1" s="1953"/>
      <c r="J1" s="1953"/>
      <c r="K1" s="1953"/>
      <c r="L1" s="1953"/>
      <c r="M1" s="1953"/>
      <c r="N1" s="525"/>
    </row>
    <row r="2" spans="1:14">
      <c r="A2" s="525"/>
      <c r="B2" s="525"/>
      <c r="C2" s="525"/>
      <c r="D2" s="525"/>
      <c r="E2" s="525"/>
      <c r="F2" s="525"/>
      <c r="G2" s="525"/>
      <c r="H2" s="525"/>
      <c r="I2" s="525"/>
      <c r="J2" s="525"/>
      <c r="K2" s="525"/>
      <c r="L2" s="525"/>
      <c r="M2" s="525"/>
      <c r="N2" s="525"/>
    </row>
    <row r="3" spans="1:14">
      <c r="A3" s="1954" t="s">
        <v>518</v>
      </c>
      <c r="B3" s="1954" t="s">
        <v>519</v>
      </c>
      <c r="C3" s="1954" t="s">
        <v>4</v>
      </c>
      <c r="D3" s="1954" t="s">
        <v>5</v>
      </c>
      <c r="E3" s="1954" t="s">
        <v>3</v>
      </c>
      <c r="F3" s="1954"/>
      <c r="G3" s="1954" t="s">
        <v>520</v>
      </c>
      <c r="H3" s="1954"/>
      <c r="I3" s="1954" t="s">
        <v>521</v>
      </c>
      <c r="J3" s="1954"/>
      <c r="K3" s="1954" t="s">
        <v>522</v>
      </c>
      <c r="L3" s="1954"/>
      <c r="M3" s="1954" t="s">
        <v>523</v>
      </c>
      <c r="N3" s="526"/>
    </row>
    <row r="4" spans="1:14">
      <c r="A4" s="1954"/>
      <c r="B4" s="1954"/>
      <c r="C4" s="1954"/>
      <c r="D4" s="1954"/>
      <c r="E4" s="545" t="s">
        <v>524</v>
      </c>
      <c r="F4" s="545" t="s">
        <v>525</v>
      </c>
      <c r="G4" s="545" t="s">
        <v>524</v>
      </c>
      <c r="H4" s="545" t="s">
        <v>525</v>
      </c>
      <c r="I4" s="545" t="s">
        <v>524</v>
      </c>
      <c r="J4" s="545" t="s">
        <v>525</v>
      </c>
      <c r="K4" s="545" t="s">
        <v>524</v>
      </c>
      <c r="L4" s="545" t="s">
        <v>525</v>
      </c>
      <c r="M4" s="1954"/>
      <c r="N4" s="526"/>
    </row>
    <row r="5" spans="1:14">
      <c r="A5" s="527"/>
      <c r="B5" s="527"/>
      <c r="C5" s="527"/>
      <c r="D5" s="527"/>
      <c r="E5" s="527"/>
      <c r="F5" s="528"/>
      <c r="G5" s="529"/>
      <c r="H5" s="529"/>
      <c r="I5" s="529"/>
      <c r="J5" s="529"/>
      <c r="K5" s="529"/>
      <c r="L5" s="529"/>
      <c r="M5" s="529"/>
      <c r="N5" s="524"/>
    </row>
    <row r="6" spans="1:14">
      <c r="A6" s="530" t="s">
        <v>526</v>
      </c>
      <c r="B6" s="530"/>
      <c r="C6" s="531">
        <v>1</v>
      </c>
      <c r="D6" s="531" t="s">
        <v>167</v>
      </c>
      <c r="E6" s="530"/>
      <c r="F6" s="532">
        <f>'8-1.산출내역'!C19</f>
        <v>101560000</v>
      </c>
      <c r="G6" s="529"/>
      <c r="H6" s="533"/>
      <c r="I6" s="529"/>
      <c r="J6" s="529"/>
      <c r="K6" s="529"/>
      <c r="L6" s="529"/>
      <c r="M6" s="529"/>
      <c r="N6" s="524"/>
    </row>
    <row r="7" spans="1:14">
      <c r="A7" s="531" t="s">
        <v>527</v>
      </c>
      <c r="B7" s="530"/>
      <c r="C7" s="531"/>
      <c r="D7" s="531"/>
      <c r="E7" s="530"/>
      <c r="F7" s="532">
        <f>ROUNDDOWN(SUM(F6:F6),-4)</f>
        <v>101560000</v>
      </c>
      <c r="G7" s="530"/>
      <c r="H7" s="534"/>
      <c r="I7" s="530"/>
      <c r="J7" s="530"/>
      <c r="K7" s="530"/>
      <c r="L7" s="530"/>
      <c r="M7" s="535"/>
      <c r="N7" s="536"/>
    </row>
    <row r="8" spans="1:14">
      <c r="A8" s="537"/>
      <c r="B8" s="538"/>
      <c r="C8" s="537"/>
      <c r="D8" s="537"/>
      <c r="E8" s="538"/>
      <c r="F8" s="539"/>
      <c r="G8" s="538"/>
      <c r="H8" s="540"/>
      <c r="I8" s="538"/>
      <c r="J8" s="538"/>
      <c r="K8" s="538"/>
      <c r="L8" s="538"/>
      <c r="M8" s="538"/>
      <c r="N8" s="541"/>
    </row>
    <row r="9" spans="1:14">
      <c r="A9" s="530" t="s">
        <v>528</v>
      </c>
      <c r="B9" s="530"/>
      <c r="C9" s="531">
        <v>1</v>
      </c>
      <c r="D9" s="531" t="s">
        <v>167</v>
      </c>
      <c r="E9" s="530"/>
      <c r="F9" s="532">
        <f>F7*0.1</f>
        <v>10156000</v>
      </c>
      <c r="G9" s="530"/>
      <c r="H9" s="534"/>
      <c r="I9" s="530"/>
      <c r="J9" s="530"/>
      <c r="K9" s="530"/>
      <c r="L9" s="530"/>
      <c r="M9" s="530"/>
      <c r="N9" s="542"/>
    </row>
    <row r="10" spans="1:14">
      <c r="A10" s="530"/>
      <c r="B10" s="530"/>
      <c r="C10" s="531"/>
      <c r="D10" s="531"/>
      <c r="E10" s="530"/>
      <c r="F10" s="532"/>
      <c r="G10" s="530"/>
      <c r="H10" s="534"/>
      <c r="I10" s="530"/>
      <c r="J10" s="530"/>
      <c r="K10" s="530"/>
      <c r="L10" s="530"/>
      <c r="M10" s="530"/>
      <c r="N10" s="543"/>
    </row>
    <row r="11" spans="1:14">
      <c r="A11" s="531" t="s">
        <v>529</v>
      </c>
      <c r="B11" s="530"/>
      <c r="C11" s="530"/>
      <c r="D11" s="531"/>
      <c r="E11" s="530"/>
      <c r="F11" s="532">
        <f>F7+F9</f>
        <v>111716000</v>
      </c>
      <c r="G11" s="530"/>
      <c r="H11" s="534"/>
      <c r="I11" s="530"/>
      <c r="J11" s="530"/>
      <c r="K11" s="530"/>
      <c r="L11" s="530"/>
      <c r="M11" s="530"/>
      <c r="N11" s="544"/>
    </row>
  </sheetData>
  <mergeCells count="10">
    <mergeCell ref="A1:M1"/>
    <mergeCell ref="A3:A4"/>
    <mergeCell ref="B3:B4"/>
    <mergeCell ref="C3:C4"/>
    <mergeCell ref="D3:D4"/>
    <mergeCell ref="E3:F3"/>
    <mergeCell ref="G3:H3"/>
    <mergeCell ref="I3:J3"/>
    <mergeCell ref="K3:L3"/>
    <mergeCell ref="M3:M4"/>
  </mergeCells>
  <phoneticPr fontId="2" type="noConversion"/>
  <pageMargins left="0.7" right="0.7" top="0.75" bottom="0.75" header="0.3" footer="0.3"/>
  <pageSetup paperSize="9" scale="50" orientation="portrait" r:id="rId1"/>
  <colBreaks count="1" manualBreakCount="1">
    <brk id="13"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
  <sheetViews>
    <sheetView view="pageBreakPreview" zoomScaleSheetLayoutView="100" workbookViewId="0">
      <selection activeCell="I8" sqref="I8:K8"/>
    </sheetView>
  </sheetViews>
  <sheetFormatPr defaultRowHeight="16.5"/>
  <cols>
    <col min="2" max="2" width="23.625" customWidth="1"/>
    <col min="3" max="3" width="15.625" customWidth="1"/>
  </cols>
  <sheetData>
    <row r="2" spans="1:8" ht="26.25">
      <c r="A2" s="1958" t="s">
        <v>530</v>
      </c>
      <c r="B2" s="1959"/>
      <c r="C2" s="1959"/>
      <c r="D2" s="1959"/>
      <c r="E2" s="1959"/>
      <c r="F2" s="1959"/>
      <c r="G2" s="1959"/>
      <c r="H2" s="1959"/>
    </row>
    <row r="4" spans="1:8">
      <c r="A4" s="549" t="s">
        <v>531</v>
      </c>
      <c r="B4" s="546"/>
      <c r="C4" s="546"/>
      <c r="D4" s="546"/>
      <c r="E4" s="546"/>
      <c r="F4" s="546"/>
      <c r="G4" s="546"/>
      <c r="H4" s="546"/>
    </row>
    <row r="5" spans="1:8">
      <c r="A5" s="546" t="s">
        <v>532</v>
      </c>
      <c r="B5" s="546"/>
      <c r="C5" s="546"/>
      <c r="D5" s="546"/>
      <c r="E5" s="546"/>
      <c r="F5" s="546"/>
      <c r="G5" s="546"/>
      <c r="H5" s="546"/>
    </row>
    <row r="7" spans="1:8">
      <c r="A7" s="546"/>
      <c r="B7" s="550" t="s">
        <v>533</v>
      </c>
      <c r="C7" s="1957" t="s">
        <v>534</v>
      </c>
      <c r="D7" s="1956"/>
      <c r="E7" s="1956"/>
      <c r="F7" s="1956"/>
      <c r="G7" s="1956"/>
      <c r="H7" s="1956"/>
    </row>
    <row r="8" spans="1:8">
      <c r="A8" s="546"/>
      <c r="B8" s="703" t="s">
        <v>535</v>
      </c>
      <c r="C8" s="1960" t="s">
        <v>536</v>
      </c>
      <c r="D8" s="1961"/>
      <c r="E8" s="1961"/>
      <c r="F8" s="1961"/>
      <c r="G8" s="1961"/>
      <c r="H8" s="1961"/>
    </row>
    <row r="9" spans="1:8">
      <c r="A9" s="546"/>
      <c r="B9" s="689" t="s">
        <v>537</v>
      </c>
      <c r="C9" s="1962" t="s">
        <v>538</v>
      </c>
      <c r="D9" s="1963"/>
      <c r="E9" s="1963"/>
      <c r="F9" s="1963"/>
      <c r="G9" s="1963"/>
      <c r="H9" s="1963"/>
    </row>
    <row r="10" spans="1:8">
      <c r="A10" s="546"/>
      <c r="B10" s="550" t="s">
        <v>539</v>
      </c>
      <c r="C10" s="1957" t="s">
        <v>540</v>
      </c>
      <c r="D10" s="1956"/>
      <c r="E10" s="1956"/>
      <c r="F10" s="1956"/>
      <c r="G10" s="1956"/>
      <c r="H10" s="1956"/>
    </row>
    <row r="11" spans="1:8">
      <c r="A11" s="546"/>
      <c r="B11" s="550" t="s">
        <v>541</v>
      </c>
      <c r="C11" s="1955" t="s">
        <v>542</v>
      </c>
      <c r="D11" s="1956"/>
      <c r="E11" s="1956"/>
      <c r="F11" s="1956"/>
      <c r="G11" s="1956"/>
      <c r="H11" s="1956"/>
    </row>
    <row r="12" spans="1:8">
      <c r="A12" s="546"/>
      <c r="B12" s="550" t="s">
        <v>543</v>
      </c>
      <c r="C12" s="1957" t="s">
        <v>544</v>
      </c>
      <c r="D12" s="1956"/>
      <c r="E12" s="1956"/>
      <c r="F12" s="1956"/>
      <c r="G12" s="1956"/>
      <c r="H12" s="1956"/>
    </row>
    <row r="14" spans="1:8">
      <c r="A14" s="549" t="s">
        <v>545</v>
      </c>
      <c r="B14" s="546"/>
      <c r="C14" s="546"/>
      <c r="D14" s="546"/>
      <c r="E14" s="546"/>
      <c r="F14" s="546"/>
      <c r="G14" s="546"/>
      <c r="H14" s="546"/>
    </row>
    <row r="16" spans="1:8">
      <c r="A16" s="546"/>
      <c r="B16" s="548" t="s">
        <v>546</v>
      </c>
      <c r="C16" s="547">
        <f>'예산내역서 (총괄)'!F13-'예산내역서 (총괄)'!F12</f>
        <v>507828182</v>
      </c>
      <c r="D16" s="552" t="s">
        <v>547</v>
      </c>
      <c r="E16" s="546"/>
      <c r="F16" s="546"/>
      <c r="G16" s="546"/>
      <c r="H16" s="546"/>
    </row>
    <row r="17" spans="2:3">
      <c r="B17" s="548" t="s">
        <v>548</v>
      </c>
      <c r="C17" s="698" t="s">
        <v>967</v>
      </c>
    </row>
    <row r="18" spans="2:3">
      <c r="B18" s="546"/>
      <c r="C18" s="547">
        <f>200000000-(1000000000-C16)*0.2</f>
        <v>101565636.39999999</v>
      </c>
    </row>
    <row r="19" spans="2:3">
      <c r="B19" s="548" t="s">
        <v>549</v>
      </c>
      <c r="C19" s="551">
        <f>ROUNDDOWN(C18, -4)</f>
        <v>101560000</v>
      </c>
    </row>
  </sheetData>
  <mergeCells count="7">
    <mergeCell ref="C11:H11"/>
    <mergeCell ref="C12:H12"/>
    <mergeCell ref="A2:H2"/>
    <mergeCell ref="C7:H7"/>
    <mergeCell ref="C8:H8"/>
    <mergeCell ref="C9:H9"/>
    <mergeCell ref="C10:H10"/>
  </mergeCells>
  <phoneticPr fontId="2" type="noConversion"/>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view="pageBreakPreview" zoomScale="85" zoomScaleNormal="85" zoomScaleSheetLayoutView="85" workbookViewId="0">
      <selection activeCell="O9" sqref="O9"/>
    </sheetView>
  </sheetViews>
  <sheetFormatPr defaultRowHeight="13.5"/>
  <cols>
    <col min="1" max="1" width="6.875" style="6" customWidth="1"/>
    <col min="2" max="2" width="19.75" style="6" customWidth="1"/>
    <col min="3" max="3" width="5.5" style="6" customWidth="1"/>
    <col min="4" max="4" width="5.375" style="6" customWidth="1"/>
    <col min="5" max="5" width="9" style="6" customWidth="1"/>
    <col min="6" max="6" width="10.375" style="6" customWidth="1"/>
    <col min="7" max="7" width="5.125" style="6" customWidth="1"/>
    <col min="8" max="8" width="4" style="6" customWidth="1"/>
    <col min="9" max="9" width="11.875" style="6" customWidth="1"/>
    <col min="10" max="10" width="4.875" style="6" customWidth="1"/>
    <col min="11" max="11" width="13.375" style="6" customWidth="1"/>
    <col min="12" max="12" width="5.375" style="6" customWidth="1"/>
    <col min="13" max="13" width="1.5" style="6" customWidth="1"/>
    <col min="14" max="14" width="9" style="6"/>
    <col min="15" max="15" width="11.375" style="6" bestFit="1" customWidth="1"/>
    <col min="16" max="16" width="16.625" style="6" bestFit="1" customWidth="1"/>
    <col min="17" max="18" width="9" style="6"/>
    <col min="19" max="19" width="13.625" style="6" bestFit="1" customWidth="1"/>
    <col min="20" max="255" width="9" style="6"/>
    <col min="256" max="256" width="6.875" style="6" customWidth="1"/>
    <col min="257" max="257" width="0.75" style="6" customWidth="1"/>
    <col min="258" max="258" width="16.125" style="6" customWidth="1"/>
    <col min="259" max="259" width="5.5" style="6" customWidth="1"/>
    <col min="260" max="260" width="5.375" style="6" customWidth="1"/>
    <col min="261" max="261" width="1.75" style="6" customWidth="1"/>
    <col min="262" max="262" width="10.375" style="6" customWidth="1"/>
    <col min="263" max="263" width="5.125" style="6" customWidth="1"/>
    <col min="264" max="264" width="4" style="6" customWidth="1"/>
    <col min="265" max="265" width="12.5" style="6" customWidth="1"/>
    <col min="266" max="266" width="4.875" style="6" customWidth="1"/>
    <col min="267" max="267" width="13.25" style="6" customWidth="1"/>
    <col min="268" max="268" width="5.375" style="6" customWidth="1"/>
    <col min="269" max="269" width="1.5" style="6" customWidth="1"/>
    <col min="270" max="270" width="9" style="6"/>
    <col min="271" max="271" width="15.5" style="6" bestFit="1" customWidth="1"/>
    <col min="272" max="511" width="9" style="6"/>
    <col min="512" max="512" width="6.875" style="6" customWidth="1"/>
    <col min="513" max="513" width="0.75" style="6" customWidth="1"/>
    <col min="514" max="514" width="16.125" style="6" customWidth="1"/>
    <col min="515" max="515" width="5.5" style="6" customWidth="1"/>
    <col min="516" max="516" width="5.375" style="6" customWidth="1"/>
    <col min="517" max="517" width="1.75" style="6" customWidth="1"/>
    <col min="518" max="518" width="10.375" style="6" customWidth="1"/>
    <col min="519" max="519" width="5.125" style="6" customWidth="1"/>
    <col min="520" max="520" width="4" style="6" customWidth="1"/>
    <col min="521" max="521" width="12.5" style="6" customWidth="1"/>
    <col min="522" max="522" width="4.875" style="6" customWidth="1"/>
    <col min="523" max="523" width="13.25" style="6" customWidth="1"/>
    <col min="524" max="524" width="5.375" style="6" customWidth="1"/>
    <col min="525" max="525" width="1.5" style="6" customWidth="1"/>
    <col min="526" max="526" width="9" style="6"/>
    <col min="527" max="527" width="15.5" style="6" bestFit="1" customWidth="1"/>
    <col min="528" max="767" width="9" style="6"/>
    <col min="768" max="768" width="6.875" style="6" customWidth="1"/>
    <col min="769" max="769" width="0.75" style="6" customWidth="1"/>
    <col min="770" max="770" width="16.125" style="6" customWidth="1"/>
    <col min="771" max="771" width="5.5" style="6" customWidth="1"/>
    <col min="772" max="772" width="5.375" style="6" customWidth="1"/>
    <col min="773" max="773" width="1.75" style="6" customWidth="1"/>
    <col min="774" max="774" width="10.375" style="6" customWidth="1"/>
    <col min="775" max="775" width="5.125" style="6" customWidth="1"/>
    <col min="776" max="776" width="4" style="6" customWidth="1"/>
    <col min="777" max="777" width="12.5" style="6" customWidth="1"/>
    <col min="778" max="778" width="4.875" style="6" customWidth="1"/>
    <col min="779" max="779" width="13.25" style="6" customWidth="1"/>
    <col min="780" max="780" width="5.375" style="6" customWidth="1"/>
    <col min="781" max="781" width="1.5" style="6" customWidth="1"/>
    <col min="782" max="782" width="9" style="6"/>
    <col min="783" max="783" width="15.5" style="6" bestFit="1" customWidth="1"/>
    <col min="784" max="1023" width="9" style="6"/>
    <col min="1024" max="1024" width="6.875" style="6" customWidth="1"/>
    <col min="1025" max="1025" width="0.75" style="6" customWidth="1"/>
    <col min="1026" max="1026" width="16.125" style="6" customWidth="1"/>
    <col min="1027" max="1027" width="5.5" style="6" customWidth="1"/>
    <col min="1028" max="1028" width="5.375" style="6" customWidth="1"/>
    <col min="1029" max="1029" width="1.75" style="6" customWidth="1"/>
    <col min="1030" max="1030" width="10.375" style="6" customWidth="1"/>
    <col min="1031" max="1031" width="5.125" style="6" customWidth="1"/>
    <col min="1032" max="1032" width="4" style="6" customWidth="1"/>
    <col min="1033" max="1033" width="12.5" style="6" customWidth="1"/>
    <col min="1034" max="1034" width="4.875" style="6" customWidth="1"/>
    <col min="1035" max="1035" width="13.25" style="6" customWidth="1"/>
    <col min="1036" max="1036" width="5.375" style="6" customWidth="1"/>
    <col min="1037" max="1037" width="1.5" style="6" customWidth="1"/>
    <col min="1038" max="1038" width="9" style="6"/>
    <col min="1039" max="1039" width="15.5" style="6" bestFit="1" customWidth="1"/>
    <col min="1040" max="1279" width="9" style="6"/>
    <col min="1280" max="1280" width="6.875" style="6" customWidth="1"/>
    <col min="1281" max="1281" width="0.75" style="6" customWidth="1"/>
    <col min="1282" max="1282" width="16.125" style="6" customWidth="1"/>
    <col min="1283" max="1283" width="5.5" style="6" customWidth="1"/>
    <col min="1284" max="1284" width="5.375" style="6" customWidth="1"/>
    <col min="1285" max="1285" width="1.75" style="6" customWidth="1"/>
    <col min="1286" max="1286" width="10.375" style="6" customWidth="1"/>
    <col min="1287" max="1287" width="5.125" style="6" customWidth="1"/>
    <col min="1288" max="1288" width="4" style="6" customWidth="1"/>
    <col min="1289" max="1289" width="12.5" style="6" customWidth="1"/>
    <col min="1290" max="1290" width="4.875" style="6" customWidth="1"/>
    <col min="1291" max="1291" width="13.25" style="6" customWidth="1"/>
    <col min="1292" max="1292" width="5.375" style="6" customWidth="1"/>
    <col min="1293" max="1293" width="1.5" style="6" customWidth="1"/>
    <col min="1294" max="1294" width="9" style="6"/>
    <col min="1295" max="1295" width="15.5" style="6" bestFit="1" customWidth="1"/>
    <col min="1296" max="1535" width="9" style="6"/>
    <col min="1536" max="1536" width="6.875" style="6" customWidth="1"/>
    <col min="1537" max="1537" width="0.75" style="6" customWidth="1"/>
    <col min="1538" max="1538" width="16.125" style="6" customWidth="1"/>
    <col min="1539" max="1539" width="5.5" style="6" customWidth="1"/>
    <col min="1540" max="1540" width="5.375" style="6" customWidth="1"/>
    <col min="1541" max="1541" width="1.75" style="6" customWidth="1"/>
    <col min="1542" max="1542" width="10.375" style="6" customWidth="1"/>
    <col min="1543" max="1543" width="5.125" style="6" customWidth="1"/>
    <col min="1544" max="1544" width="4" style="6" customWidth="1"/>
    <col min="1545" max="1545" width="12.5" style="6" customWidth="1"/>
    <col min="1546" max="1546" width="4.875" style="6" customWidth="1"/>
    <col min="1547" max="1547" width="13.25" style="6" customWidth="1"/>
    <col min="1548" max="1548" width="5.375" style="6" customWidth="1"/>
    <col min="1549" max="1549" width="1.5" style="6" customWidth="1"/>
    <col min="1550" max="1550" width="9" style="6"/>
    <col min="1551" max="1551" width="15.5" style="6" bestFit="1" customWidth="1"/>
    <col min="1552" max="1791" width="9" style="6"/>
    <col min="1792" max="1792" width="6.875" style="6" customWidth="1"/>
    <col min="1793" max="1793" width="0.75" style="6" customWidth="1"/>
    <col min="1794" max="1794" width="16.125" style="6" customWidth="1"/>
    <col min="1795" max="1795" width="5.5" style="6" customWidth="1"/>
    <col min="1796" max="1796" width="5.375" style="6" customWidth="1"/>
    <col min="1797" max="1797" width="1.75" style="6" customWidth="1"/>
    <col min="1798" max="1798" width="10.375" style="6" customWidth="1"/>
    <col min="1799" max="1799" width="5.125" style="6" customWidth="1"/>
    <col min="1800" max="1800" width="4" style="6" customWidth="1"/>
    <col min="1801" max="1801" width="12.5" style="6" customWidth="1"/>
    <col min="1802" max="1802" width="4.875" style="6" customWidth="1"/>
    <col min="1803" max="1803" width="13.25" style="6" customWidth="1"/>
    <col min="1804" max="1804" width="5.375" style="6" customWidth="1"/>
    <col min="1805" max="1805" width="1.5" style="6" customWidth="1"/>
    <col min="1806" max="1806" width="9" style="6"/>
    <col min="1807" max="1807" width="15.5" style="6" bestFit="1" customWidth="1"/>
    <col min="1808" max="2047" width="9" style="6"/>
    <col min="2048" max="2048" width="6.875" style="6" customWidth="1"/>
    <col min="2049" max="2049" width="0.75" style="6" customWidth="1"/>
    <col min="2050" max="2050" width="16.125" style="6" customWidth="1"/>
    <col min="2051" max="2051" width="5.5" style="6" customWidth="1"/>
    <col min="2052" max="2052" width="5.375" style="6" customWidth="1"/>
    <col min="2053" max="2053" width="1.75" style="6" customWidth="1"/>
    <col min="2054" max="2054" width="10.375" style="6" customWidth="1"/>
    <col min="2055" max="2055" width="5.125" style="6" customWidth="1"/>
    <col min="2056" max="2056" width="4" style="6" customWidth="1"/>
    <col min="2057" max="2057" width="12.5" style="6" customWidth="1"/>
    <col min="2058" max="2058" width="4.875" style="6" customWidth="1"/>
    <col min="2059" max="2059" width="13.25" style="6" customWidth="1"/>
    <col min="2060" max="2060" width="5.375" style="6" customWidth="1"/>
    <col min="2061" max="2061" width="1.5" style="6" customWidth="1"/>
    <col min="2062" max="2062" width="9" style="6"/>
    <col min="2063" max="2063" width="15.5" style="6" bestFit="1" customWidth="1"/>
    <col min="2064" max="2303" width="9" style="6"/>
    <col min="2304" max="2304" width="6.875" style="6" customWidth="1"/>
    <col min="2305" max="2305" width="0.75" style="6" customWidth="1"/>
    <col min="2306" max="2306" width="16.125" style="6" customWidth="1"/>
    <col min="2307" max="2307" width="5.5" style="6" customWidth="1"/>
    <col min="2308" max="2308" width="5.375" style="6" customWidth="1"/>
    <col min="2309" max="2309" width="1.75" style="6" customWidth="1"/>
    <col min="2310" max="2310" width="10.375" style="6" customWidth="1"/>
    <col min="2311" max="2311" width="5.125" style="6" customWidth="1"/>
    <col min="2312" max="2312" width="4" style="6" customWidth="1"/>
    <col min="2313" max="2313" width="12.5" style="6" customWidth="1"/>
    <col min="2314" max="2314" width="4.875" style="6" customWidth="1"/>
    <col min="2315" max="2315" width="13.25" style="6" customWidth="1"/>
    <col min="2316" max="2316" width="5.375" style="6" customWidth="1"/>
    <col min="2317" max="2317" width="1.5" style="6" customWidth="1"/>
    <col min="2318" max="2318" width="9" style="6"/>
    <col min="2319" max="2319" width="15.5" style="6" bestFit="1" customWidth="1"/>
    <col min="2320" max="2559" width="9" style="6"/>
    <col min="2560" max="2560" width="6.875" style="6" customWidth="1"/>
    <col min="2561" max="2561" width="0.75" style="6" customWidth="1"/>
    <col min="2562" max="2562" width="16.125" style="6" customWidth="1"/>
    <col min="2563" max="2563" width="5.5" style="6" customWidth="1"/>
    <col min="2564" max="2564" width="5.375" style="6" customWidth="1"/>
    <col min="2565" max="2565" width="1.75" style="6" customWidth="1"/>
    <col min="2566" max="2566" width="10.375" style="6" customWidth="1"/>
    <col min="2567" max="2567" width="5.125" style="6" customWidth="1"/>
    <col min="2568" max="2568" width="4" style="6" customWidth="1"/>
    <col min="2569" max="2569" width="12.5" style="6" customWidth="1"/>
    <col min="2570" max="2570" width="4.875" style="6" customWidth="1"/>
    <col min="2571" max="2571" width="13.25" style="6" customWidth="1"/>
    <col min="2572" max="2572" width="5.375" style="6" customWidth="1"/>
    <col min="2573" max="2573" width="1.5" style="6" customWidth="1"/>
    <col min="2574" max="2574" width="9" style="6"/>
    <col min="2575" max="2575" width="15.5" style="6" bestFit="1" customWidth="1"/>
    <col min="2576" max="2815" width="9" style="6"/>
    <col min="2816" max="2816" width="6.875" style="6" customWidth="1"/>
    <col min="2817" max="2817" width="0.75" style="6" customWidth="1"/>
    <col min="2818" max="2818" width="16.125" style="6" customWidth="1"/>
    <col min="2819" max="2819" width="5.5" style="6" customWidth="1"/>
    <col min="2820" max="2820" width="5.375" style="6" customWidth="1"/>
    <col min="2821" max="2821" width="1.75" style="6" customWidth="1"/>
    <col min="2822" max="2822" width="10.375" style="6" customWidth="1"/>
    <col min="2823" max="2823" width="5.125" style="6" customWidth="1"/>
    <col min="2824" max="2824" width="4" style="6" customWidth="1"/>
    <col min="2825" max="2825" width="12.5" style="6" customWidth="1"/>
    <col min="2826" max="2826" width="4.875" style="6" customWidth="1"/>
    <col min="2827" max="2827" width="13.25" style="6" customWidth="1"/>
    <col min="2828" max="2828" width="5.375" style="6" customWidth="1"/>
    <col min="2829" max="2829" width="1.5" style="6" customWidth="1"/>
    <col min="2830" max="2830" width="9" style="6"/>
    <col min="2831" max="2831" width="15.5" style="6" bestFit="1" customWidth="1"/>
    <col min="2832" max="3071" width="9" style="6"/>
    <col min="3072" max="3072" width="6.875" style="6" customWidth="1"/>
    <col min="3073" max="3073" width="0.75" style="6" customWidth="1"/>
    <col min="3074" max="3074" width="16.125" style="6" customWidth="1"/>
    <col min="3075" max="3075" width="5.5" style="6" customWidth="1"/>
    <col min="3076" max="3076" width="5.375" style="6" customWidth="1"/>
    <col min="3077" max="3077" width="1.75" style="6" customWidth="1"/>
    <col min="3078" max="3078" width="10.375" style="6" customWidth="1"/>
    <col min="3079" max="3079" width="5.125" style="6" customWidth="1"/>
    <col min="3080" max="3080" width="4" style="6" customWidth="1"/>
    <col min="3081" max="3081" width="12.5" style="6" customWidth="1"/>
    <col min="3082" max="3082" width="4.875" style="6" customWidth="1"/>
    <col min="3083" max="3083" width="13.25" style="6" customWidth="1"/>
    <col min="3084" max="3084" width="5.375" style="6" customWidth="1"/>
    <col min="3085" max="3085" width="1.5" style="6" customWidth="1"/>
    <col min="3086" max="3086" width="9" style="6"/>
    <col min="3087" max="3087" width="15.5" style="6" bestFit="1" customWidth="1"/>
    <col min="3088" max="3327" width="9" style="6"/>
    <col min="3328" max="3328" width="6.875" style="6" customWidth="1"/>
    <col min="3329" max="3329" width="0.75" style="6" customWidth="1"/>
    <col min="3330" max="3330" width="16.125" style="6" customWidth="1"/>
    <col min="3331" max="3331" width="5.5" style="6" customWidth="1"/>
    <col min="3332" max="3332" width="5.375" style="6" customWidth="1"/>
    <col min="3333" max="3333" width="1.75" style="6" customWidth="1"/>
    <col min="3334" max="3334" width="10.375" style="6" customWidth="1"/>
    <col min="3335" max="3335" width="5.125" style="6" customWidth="1"/>
    <col min="3336" max="3336" width="4" style="6" customWidth="1"/>
    <col min="3337" max="3337" width="12.5" style="6" customWidth="1"/>
    <col min="3338" max="3338" width="4.875" style="6" customWidth="1"/>
    <col min="3339" max="3339" width="13.25" style="6" customWidth="1"/>
    <col min="3340" max="3340" width="5.375" style="6" customWidth="1"/>
    <col min="3341" max="3341" width="1.5" style="6" customWidth="1"/>
    <col min="3342" max="3342" width="9" style="6"/>
    <col min="3343" max="3343" width="15.5" style="6" bestFit="1" customWidth="1"/>
    <col min="3344" max="3583" width="9" style="6"/>
    <col min="3584" max="3584" width="6.875" style="6" customWidth="1"/>
    <col min="3585" max="3585" width="0.75" style="6" customWidth="1"/>
    <col min="3586" max="3586" width="16.125" style="6" customWidth="1"/>
    <col min="3587" max="3587" width="5.5" style="6" customWidth="1"/>
    <col min="3588" max="3588" width="5.375" style="6" customWidth="1"/>
    <col min="3589" max="3589" width="1.75" style="6" customWidth="1"/>
    <col min="3590" max="3590" width="10.375" style="6" customWidth="1"/>
    <col min="3591" max="3591" width="5.125" style="6" customWidth="1"/>
    <col min="3592" max="3592" width="4" style="6" customWidth="1"/>
    <col min="3593" max="3593" width="12.5" style="6" customWidth="1"/>
    <col min="3594" max="3594" width="4.875" style="6" customWidth="1"/>
    <col min="3595" max="3595" width="13.25" style="6" customWidth="1"/>
    <col min="3596" max="3596" width="5.375" style="6" customWidth="1"/>
    <col min="3597" max="3597" width="1.5" style="6" customWidth="1"/>
    <col min="3598" max="3598" width="9" style="6"/>
    <col min="3599" max="3599" width="15.5" style="6" bestFit="1" customWidth="1"/>
    <col min="3600" max="3839" width="9" style="6"/>
    <col min="3840" max="3840" width="6.875" style="6" customWidth="1"/>
    <col min="3841" max="3841" width="0.75" style="6" customWidth="1"/>
    <col min="3842" max="3842" width="16.125" style="6" customWidth="1"/>
    <col min="3843" max="3843" width="5.5" style="6" customWidth="1"/>
    <col min="3844" max="3844" width="5.375" style="6" customWidth="1"/>
    <col min="3845" max="3845" width="1.75" style="6" customWidth="1"/>
    <col min="3846" max="3846" width="10.375" style="6" customWidth="1"/>
    <col min="3847" max="3847" width="5.125" style="6" customWidth="1"/>
    <col min="3848" max="3848" width="4" style="6" customWidth="1"/>
    <col min="3849" max="3849" width="12.5" style="6" customWidth="1"/>
    <col min="3850" max="3850" width="4.875" style="6" customWidth="1"/>
    <col min="3851" max="3851" width="13.25" style="6" customWidth="1"/>
    <col min="3852" max="3852" width="5.375" style="6" customWidth="1"/>
    <col min="3853" max="3853" width="1.5" style="6" customWidth="1"/>
    <col min="3854" max="3854" width="9" style="6"/>
    <col min="3855" max="3855" width="15.5" style="6" bestFit="1" customWidth="1"/>
    <col min="3856" max="4095" width="9" style="6"/>
    <col min="4096" max="4096" width="6.875" style="6" customWidth="1"/>
    <col min="4097" max="4097" width="0.75" style="6" customWidth="1"/>
    <col min="4098" max="4098" width="16.125" style="6" customWidth="1"/>
    <col min="4099" max="4099" width="5.5" style="6" customWidth="1"/>
    <col min="4100" max="4100" width="5.375" style="6" customWidth="1"/>
    <col min="4101" max="4101" width="1.75" style="6" customWidth="1"/>
    <col min="4102" max="4102" width="10.375" style="6" customWidth="1"/>
    <col min="4103" max="4103" width="5.125" style="6" customWidth="1"/>
    <col min="4104" max="4104" width="4" style="6" customWidth="1"/>
    <col min="4105" max="4105" width="12.5" style="6" customWidth="1"/>
    <col min="4106" max="4106" width="4.875" style="6" customWidth="1"/>
    <col min="4107" max="4107" width="13.25" style="6" customWidth="1"/>
    <col min="4108" max="4108" width="5.375" style="6" customWidth="1"/>
    <col min="4109" max="4109" width="1.5" style="6" customWidth="1"/>
    <col min="4110" max="4110" width="9" style="6"/>
    <col min="4111" max="4111" width="15.5" style="6" bestFit="1" customWidth="1"/>
    <col min="4112" max="4351" width="9" style="6"/>
    <col min="4352" max="4352" width="6.875" style="6" customWidth="1"/>
    <col min="4353" max="4353" width="0.75" style="6" customWidth="1"/>
    <col min="4354" max="4354" width="16.125" style="6" customWidth="1"/>
    <col min="4355" max="4355" width="5.5" style="6" customWidth="1"/>
    <col min="4356" max="4356" width="5.375" style="6" customWidth="1"/>
    <col min="4357" max="4357" width="1.75" style="6" customWidth="1"/>
    <col min="4358" max="4358" width="10.375" style="6" customWidth="1"/>
    <col min="4359" max="4359" width="5.125" style="6" customWidth="1"/>
    <col min="4360" max="4360" width="4" style="6" customWidth="1"/>
    <col min="4361" max="4361" width="12.5" style="6" customWidth="1"/>
    <col min="4362" max="4362" width="4.875" style="6" customWidth="1"/>
    <col min="4363" max="4363" width="13.25" style="6" customWidth="1"/>
    <col min="4364" max="4364" width="5.375" style="6" customWidth="1"/>
    <col min="4365" max="4365" width="1.5" style="6" customWidth="1"/>
    <col min="4366" max="4366" width="9" style="6"/>
    <col min="4367" max="4367" width="15.5" style="6" bestFit="1" customWidth="1"/>
    <col min="4368" max="4607" width="9" style="6"/>
    <col min="4608" max="4608" width="6.875" style="6" customWidth="1"/>
    <col min="4609" max="4609" width="0.75" style="6" customWidth="1"/>
    <col min="4610" max="4610" width="16.125" style="6" customWidth="1"/>
    <col min="4611" max="4611" width="5.5" style="6" customWidth="1"/>
    <col min="4612" max="4612" width="5.375" style="6" customWidth="1"/>
    <col min="4613" max="4613" width="1.75" style="6" customWidth="1"/>
    <col min="4614" max="4614" width="10.375" style="6" customWidth="1"/>
    <col min="4615" max="4615" width="5.125" style="6" customWidth="1"/>
    <col min="4616" max="4616" width="4" style="6" customWidth="1"/>
    <col min="4617" max="4617" width="12.5" style="6" customWidth="1"/>
    <col min="4618" max="4618" width="4.875" style="6" customWidth="1"/>
    <col min="4619" max="4619" width="13.25" style="6" customWidth="1"/>
    <col min="4620" max="4620" width="5.375" style="6" customWidth="1"/>
    <col min="4621" max="4621" width="1.5" style="6" customWidth="1"/>
    <col min="4622" max="4622" width="9" style="6"/>
    <col min="4623" max="4623" width="15.5" style="6" bestFit="1" customWidth="1"/>
    <col min="4624" max="4863" width="9" style="6"/>
    <col min="4864" max="4864" width="6.875" style="6" customWidth="1"/>
    <col min="4865" max="4865" width="0.75" style="6" customWidth="1"/>
    <col min="4866" max="4866" width="16.125" style="6" customWidth="1"/>
    <col min="4867" max="4867" width="5.5" style="6" customWidth="1"/>
    <col min="4868" max="4868" width="5.375" style="6" customWidth="1"/>
    <col min="4869" max="4869" width="1.75" style="6" customWidth="1"/>
    <col min="4870" max="4870" width="10.375" style="6" customWidth="1"/>
    <col min="4871" max="4871" width="5.125" style="6" customWidth="1"/>
    <col min="4872" max="4872" width="4" style="6" customWidth="1"/>
    <col min="4873" max="4873" width="12.5" style="6" customWidth="1"/>
    <col min="4874" max="4874" width="4.875" style="6" customWidth="1"/>
    <col min="4875" max="4875" width="13.25" style="6" customWidth="1"/>
    <col min="4876" max="4876" width="5.375" style="6" customWidth="1"/>
    <col min="4877" max="4877" width="1.5" style="6" customWidth="1"/>
    <col min="4878" max="4878" width="9" style="6"/>
    <col min="4879" max="4879" width="15.5" style="6" bestFit="1" customWidth="1"/>
    <col min="4880" max="5119" width="9" style="6"/>
    <col min="5120" max="5120" width="6.875" style="6" customWidth="1"/>
    <col min="5121" max="5121" width="0.75" style="6" customWidth="1"/>
    <col min="5122" max="5122" width="16.125" style="6" customWidth="1"/>
    <col min="5123" max="5123" width="5.5" style="6" customWidth="1"/>
    <col min="5124" max="5124" width="5.375" style="6" customWidth="1"/>
    <col min="5125" max="5125" width="1.75" style="6" customWidth="1"/>
    <col min="5126" max="5126" width="10.375" style="6" customWidth="1"/>
    <col min="5127" max="5127" width="5.125" style="6" customWidth="1"/>
    <col min="5128" max="5128" width="4" style="6" customWidth="1"/>
    <col min="5129" max="5129" width="12.5" style="6" customWidth="1"/>
    <col min="5130" max="5130" width="4.875" style="6" customWidth="1"/>
    <col min="5131" max="5131" width="13.25" style="6" customWidth="1"/>
    <col min="5132" max="5132" width="5.375" style="6" customWidth="1"/>
    <col min="5133" max="5133" width="1.5" style="6" customWidth="1"/>
    <col min="5134" max="5134" width="9" style="6"/>
    <col min="5135" max="5135" width="15.5" style="6" bestFit="1" customWidth="1"/>
    <col min="5136" max="5375" width="9" style="6"/>
    <col min="5376" max="5376" width="6.875" style="6" customWidth="1"/>
    <col min="5377" max="5377" width="0.75" style="6" customWidth="1"/>
    <col min="5378" max="5378" width="16.125" style="6" customWidth="1"/>
    <col min="5379" max="5379" width="5.5" style="6" customWidth="1"/>
    <col min="5380" max="5380" width="5.375" style="6" customWidth="1"/>
    <col min="5381" max="5381" width="1.75" style="6" customWidth="1"/>
    <col min="5382" max="5382" width="10.375" style="6" customWidth="1"/>
    <col min="5383" max="5383" width="5.125" style="6" customWidth="1"/>
    <col min="5384" max="5384" width="4" style="6" customWidth="1"/>
    <col min="5385" max="5385" width="12.5" style="6" customWidth="1"/>
    <col min="5386" max="5386" width="4.875" style="6" customWidth="1"/>
    <col min="5387" max="5387" width="13.25" style="6" customWidth="1"/>
    <col min="5388" max="5388" width="5.375" style="6" customWidth="1"/>
    <col min="5389" max="5389" width="1.5" style="6" customWidth="1"/>
    <col min="5390" max="5390" width="9" style="6"/>
    <col min="5391" max="5391" width="15.5" style="6" bestFit="1" customWidth="1"/>
    <col min="5392" max="5631" width="9" style="6"/>
    <col min="5632" max="5632" width="6.875" style="6" customWidth="1"/>
    <col min="5633" max="5633" width="0.75" style="6" customWidth="1"/>
    <col min="5634" max="5634" width="16.125" style="6" customWidth="1"/>
    <col min="5635" max="5635" width="5.5" style="6" customWidth="1"/>
    <col min="5636" max="5636" width="5.375" style="6" customWidth="1"/>
    <col min="5637" max="5637" width="1.75" style="6" customWidth="1"/>
    <col min="5638" max="5638" width="10.375" style="6" customWidth="1"/>
    <col min="5639" max="5639" width="5.125" style="6" customWidth="1"/>
    <col min="5640" max="5640" width="4" style="6" customWidth="1"/>
    <col min="5641" max="5641" width="12.5" style="6" customWidth="1"/>
    <col min="5642" max="5642" width="4.875" style="6" customWidth="1"/>
    <col min="5643" max="5643" width="13.25" style="6" customWidth="1"/>
    <col min="5644" max="5644" width="5.375" style="6" customWidth="1"/>
    <col min="5645" max="5645" width="1.5" style="6" customWidth="1"/>
    <col min="5646" max="5646" width="9" style="6"/>
    <col min="5647" max="5647" width="15.5" style="6" bestFit="1" customWidth="1"/>
    <col min="5648" max="5887" width="9" style="6"/>
    <col min="5888" max="5888" width="6.875" style="6" customWidth="1"/>
    <col min="5889" max="5889" width="0.75" style="6" customWidth="1"/>
    <col min="5890" max="5890" width="16.125" style="6" customWidth="1"/>
    <col min="5891" max="5891" width="5.5" style="6" customWidth="1"/>
    <col min="5892" max="5892" width="5.375" style="6" customWidth="1"/>
    <col min="5893" max="5893" width="1.75" style="6" customWidth="1"/>
    <col min="5894" max="5894" width="10.375" style="6" customWidth="1"/>
    <col min="5895" max="5895" width="5.125" style="6" customWidth="1"/>
    <col min="5896" max="5896" width="4" style="6" customWidth="1"/>
    <col min="5897" max="5897" width="12.5" style="6" customWidth="1"/>
    <col min="5898" max="5898" width="4.875" style="6" customWidth="1"/>
    <col min="5899" max="5899" width="13.25" style="6" customWidth="1"/>
    <col min="5900" max="5900" width="5.375" style="6" customWidth="1"/>
    <col min="5901" max="5901" width="1.5" style="6" customWidth="1"/>
    <col min="5902" max="5902" width="9" style="6"/>
    <col min="5903" max="5903" width="15.5" style="6" bestFit="1" customWidth="1"/>
    <col min="5904" max="6143" width="9" style="6"/>
    <col min="6144" max="6144" width="6.875" style="6" customWidth="1"/>
    <col min="6145" max="6145" width="0.75" style="6" customWidth="1"/>
    <col min="6146" max="6146" width="16.125" style="6" customWidth="1"/>
    <col min="6147" max="6147" width="5.5" style="6" customWidth="1"/>
    <col min="6148" max="6148" width="5.375" style="6" customWidth="1"/>
    <col min="6149" max="6149" width="1.75" style="6" customWidth="1"/>
    <col min="6150" max="6150" width="10.375" style="6" customWidth="1"/>
    <col min="6151" max="6151" width="5.125" style="6" customWidth="1"/>
    <col min="6152" max="6152" width="4" style="6" customWidth="1"/>
    <col min="6153" max="6153" width="12.5" style="6" customWidth="1"/>
    <col min="6154" max="6154" width="4.875" style="6" customWidth="1"/>
    <col min="6155" max="6155" width="13.25" style="6" customWidth="1"/>
    <col min="6156" max="6156" width="5.375" style="6" customWidth="1"/>
    <col min="6157" max="6157" width="1.5" style="6" customWidth="1"/>
    <col min="6158" max="6158" width="9" style="6"/>
    <col min="6159" max="6159" width="15.5" style="6" bestFit="1" customWidth="1"/>
    <col min="6160" max="6399" width="9" style="6"/>
    <col min="6400" max="6400" width="6.875" style="6" customWidth="1"/>
    <col min="6401" max="6401" width="0.75" style="6" customWidth="1"/>
    <col min="6402" max="6402" width="16.125" style="6" customWidth="1"/>
    <col min="6403" max="6403" width="5.5" style="6" customWidth="1"/>
    <col min="6404" max="6404" width="5.375" style="6" customWidth="1"/>
    <col min="6405" max="6405" width="1.75" style="6" customWidth="1"/>
    <col min="6406" max="6406" width="10.375" style="6" customWidth="1"/>
    <col min="6407" max="6407" width="5.125" style="6" customWidth="1"/>
    <col min="6408" max="6408" width="4" style="6" customWidth="1"/>
    <col min="6409" max="6409" width="12.5" style="6" customWidth="1"/>
    <col min="6410" max="6410" width="4.875" style="6" customWidth="1"/>
    <col min="6411" max="6411" width="13.25" style="6" customWidth="1"/>
    <col min="6412" max="6412" width="5.375" style="6" customWidth="1"/>
    <col min="6413" max="6413" width="1.5" style="6" customWidth="1"/>
    <col min="6414" max="6414" width="9" style="6"/>
    <col min="6415" max="6415" width="15.5" style="6" bestFit="1" customWidth="1"/>
    <col min="6416" max="6655" width="9" style="6"/>
    <col min="6656" max="6656" width="6.875" style="6" customWidth="1"/>
    <col min="6657" max="6657" width="0.75" style="6" customWidth="1"/>
    <col min="6658" max="6658" width="16.125" style="6" customWidth="1"/>
    <col min="6659" max="6659" width="5.5" style="6" customWidth="1"/>
    <col min="6660" max="6660" width="5.375" style="6" customWidth="1"/>
    <col min="6661" max="6661" width="1.75" style="6" customWidth="1"/>
    <col min="6662" max="6662" width="10.375" style="6" customWidth="1"/>
    <col min="6663" max="6663" width="5.125" style="6" customWidth="1"/>
    <col min="6664" max="6664" width="4" style="6" customWidth="1"/>
    <col min="6665" max="6665" width="12.5" style="6" customWidth="1"/>
    <col min="6666" max="6666" width="4.875" style="6" customWidth="1"/>
    <col min="6667" max="6667" width="13.25" style="6" customWidth="1"/>
    <col min="6668" max="6668" width="5.375" style="6" customWidth="1"/>
    <col min="6669" max="6669" width="1.5" style="6" customWidth="1"/>
    <col min="6670" max="6670" width="9" style="6"/>
    <col min="6671" max="6671" width="15.5" style="6" bestFit="1" customWidth="1"/>
    <col min="6672" max="6911" width="9" style="6"/>
    <col min="6912" max="6912" width="6.875" style="6" customWidth="1"/>
    <col min="6913" max="6913" width="0.75" style="6" customWidth="1"/>
    <col min="6914" max="6914" width="16.125" style="6" customWidth="1"/>
    <col min="6915" max="6915" width="5.5" style="6" customWidth="1"/>
    <col min="6916" max="6916" width="5.375" style="6" customWidth="1"/>
    <col min="6917" max="6917" width="1.75" style="6" customWidth="1"/>
    <col min="6918" max="6918" width="10.375" style="6" customWidth="1"/>
    <col min="6919" max="6919" width="5.125" style="6" customWidth="1"/>
    <col min="6920" max="6920" width="4" style="6" customWidth="1"/>
    <col min="6921" max="6921" width="12.5" style="6" customWidth="1"/>
    <col min="6922" max="6922" width="4.875" style="6" customWidth="1"/>
    <col min="6923" max="6923" width="13.25" style="6" customWidth="1"/>
    <col min="6924" max="6924" width="5.375" style="6" customWidth="1"/>
    <col min="6925" max="6925" width="1.5" style="6" customWidth="1"/>
    <col min="6926" max="6926" width="9" style="6"/>
    <col min="6927" max="6927" width="15.5" style="6" bestFit="1" customWidth="1"/>
    <col min="6928" max="7167" width="9" style="6"/>
    <col min="7168" max="7168" width="6.875" style="6" customWidth="1"/>
    <col min="7169" max="7169" width="0.75" style="6" customWidth="1"/>
    <col min="7170" max="7170" width="16.125" style="6" customWidth="1"/>
    <col min="7171" max="7171" width="5.5" style="6" customWidth="1"/>
    <col min="7172" max="7172" width="5.375" style="6" customWidth="1"/>
    <col min="7173" max="7173" width="1.75" style="6" customWidth="1"/>
    <col min="7174" max="7174" width="10.375" style="6" customWidth="1"/>
    <col min="7175" max="7175" width="5.125" style="6" customWidth="1"/>
    <col min="7176" max="7176" width="4" style="6" customWidth="1"/>
    <col min="7177" max="7177" width="12.5" style="6" customWidth="1"/>
    <col min="7178" max="7178" width="4.875" style="6" customWidth="1"/>
    <col min="7179" max="7179" width="13.25" style="6" customWidth="1"/>
    <col min="7180" max="7180" width="5.375" style="6" customWidth="1"/>
    <col min="7181" max="7181" width="1.5" style="6" customWidth="1"/>
    <col min="7182" max="7182" width="9" style="6"/>
    <col min="7183" max="7183" width="15.5" style="6" bestFit="1" customWidth="1"/>
    <col min="7184" max="7423" width="9" style="6"/>
    <col min="7424" max="7424" width="6.875" style="6" customWidth="1"/>
    <col min="7425" max="7425" width="0.75" style="6" customWidth="1"/>
    <col min="7426" max="7426" width="16.125" style="6" customWidth="1"/>
    <col min="7427" max="7427" width="5.5" style="6" customWidth="1"/>
    <col min="7428" max="7428" width="5.375" style="6" customWidth="1"/>
    <col min="7429" max="7429" width="1.75" style="6" customWidth="1"/>
    <col min="7430" max="7430" width="10.375" style="6" customWidth="1"/>
    <col min="7431" max="7431" width="5.125" style="6" customWidth="1"/>
    <col min="7432" max="7432" width="4" style="6" customWidth="1"/>
    <col min="7433" max="7433" width="12.5" style="6" customWidth="1"/>
    <col min="7434" max="7434" width="4.875" style="6" customWidth="1"/>
    <col min="7435" max="7435" width="13.25" style="6" customWidth="1"/>
    <col min="7436" max="7436" width="5.375" style="6" customWidth="1"/>
    <col min="7437" max="7437" width="1.5" style="6" customWidth="1"/>
    <col min="7438" max="7438" width="9" style="6"/>
    <col min="7439" max="7439" width="15.5" style="6" bestFit="1" customWidth="1"/>
    <col min="7440" max="7679" width="9" style="6"/>
    <col min="7680" max="7680" width="6.875" style="6" customWidth="1"/>
    <col min="7681" max="7681" width="0.75" style="6" customWidth="1"/>
    <col min="7682" max="7682" width="16.125" style="6" customWidth="1"/>
    <col min="7683" max="7683" width="5.5" style="6" customWidth="1"/>
    <col min="7684" max="7684" width="5.375" style="6" customWidth="1"/>
    <col min="7685" max="7685" width="1.75" style="6" customWidth="1"/>
    <col min="7686" max="7686" width="10.375" style="6" customWidth="1"/>
    <col min="7687" max="7687" width="5.125" style="6" customWidth="1"/>
    <col min="7688" max="7688" width="4" style="6" customWidth="1"/>
    <col min="7689" max="7689" width="12.5" style="6" customWidth="1"/>
    <col min="7690" max="7690" width="4.875" style="6" customWidth="1"/>
    <col min="7691" max="7691" width="13.25" style="6" customWidth="1"/>
    <col min="7692" max="7692" width="5.375" style="6" customWidth="1"/>
    <col min="7693" max="7693" width="1.5" style="6" customWidth="1"/>
    <col min="7694" max="7694" width="9" style="6"/>
    <col min="7695" max="7695" width="15.5" style="6" bestFit="1" customWidth="1"/>
    <col min="7696" max="7935" width="9" style="6"/>
    <col min="7936" max="7936" width="6.875" style="6" customWidth="1"/>
    <col min="7937" max="7937" width="0.75" style="6" customWidth="1"/>
    <col min="7938" max="7938" width="16.125" style="6" customWidth="1"/>
    <col min="7939" max="7939" width="5.5" style="6" customWidth="1"/>
    <col min="7940" max="7940" width="5.375" style="6" customWidth="1"/>
    <col min="7941" max="7941" width="1.75" style="6" customWidth="1"/>
    <col min="7942" max="7942" width="10.375" style="6" customWidth="1"/>
    <col min="7943" max="7943" width="5.125" style="6" customWidth="1"/>
    <col min="7944" max="7944" width="4" style="6" customWidth="1"/>
    <col min="7945" max="7945" width="12.5" style="6" customWidth="1"/>
    <col min="7946" max="7946" width="4.875" style="6" customWidth="1"/>
    <col min="7947" max="7947" width="13.25" style="6" customWidth="1"/>
    <col min="7948" max="7948" width="5.375" style="6" customWidth="1"/>
    <col min="7949" max="7949" width="1.5" style="6" customWidth="1"/>
    <col min="7950" max="7950" width="9" style="6"/>
    <col min="7951" max="7951" width="15.5" style="6" bestFit="1" customWidth="1"/>
    <col min="7952" max="8191" width="9" style="6"/>
    <col min="8192" max="8192" width="6.875" style="6" customWidth="1"/>
    <col min="8193" max="8193" width="0.75" style="6" customWidth="1"/>
    <col min="8194" max="8194" width="16.125" style="6" customWidth="1"/>
    <col min="8195" max="8195" width="5.5" style="6" customWidth="1"/>
    <col min="8196" max="8196" width="5.375" style="6" customWidth="1"/>
    <col min="8197" max="8197" width="1.75" style="6" customWidth="1"/>
    <col min="8198" max="8198" width="10.375" style="6" customWidth="1"/>
    <col min="8199" max="8199" width="5.125" style="6" customWidth="1"/>
    <col min="8200" max="8200" width="4" style="6" customWidth="1"/>
    <col min="8201" max="8201" width="12.5" style="6" customWidth="1"/>
    <col min="8202" max="8202" width="4.875" style="6" customWidth="1"/>
    <col min="8203" max="8203" width="13.25" style="6" customWidth="1"/>
    <col min="8204" max="8204" width="5.375" style="6" customWidth="1"/>
    <col min="8205" max="8205" width="1.5" style="6" customWidth="1"/>
    <col min="8206" max="8206" width="9" style="6"/>
    <col min="8207" max="8207" width="15.5" style="6" bestFit="1" customWidth="1"/>
    <col min="8208" max="8447" width="9" style="6"/>
    <col min="8448" max="8448" width="6.875" style="6" customWidth="1"/>
    <col min="8449" max="8449" width="0.75" style="6" customWidth="1"/>
    <col min="8450" max="8450" width="16.125" style="6" customWidth="1"/>
    <col min="8451" max="8451" width="5.5" style="6" customWidth="1"/>
    <col min="8452" max="8452" width="5.375" style="6" customWidth="1"/>
    <col min="8453" max="8453" width="1.75" style="6" customWidth="1"/>
    <col min="8454" max="8454" width="10.375" style="6" customWidth="1"/>
    <col min="8455" max="8455" width="5.125" style="6" customWidth="1"/>
    <col min="8456" max="8456" width="4" style="6" customWidth="1"/>
    <col min="8457" max="8457" width="12.5" style="6" customWidth="1"/>
    <col min="8458" max="8458" width="4.875" style="6" customWidth="1"/>
    <col min="8459" max="8459" width="13.25" style="6" customWidth="1"/>
    <col min="8460" max="8460" width="5.375" style="6" customWidth="1"/>
    <col min="8461" max="8461" width="1.5" style="6" customWidth="1"/>
    <col min="8462" max="8462" width="9" style="6"/>
    <col min="8463" max="8463" width="15.5" style="6" bestFit="1" customWidth="1"/>
    <col min="8464" max="8703" width="9" style="6"/>
    <col min="8704" max="8704" width="6.875" style="6" customWidth="1"/>
    <col min="8705" max="8705" width="0.75" style="6" customWidth="1"/>
    <col min="8706" max="8706" width="16.125" style="6" customWidth="1"/>
    <col min="8707" max="8707" width="5.5" style="6" customWidth="1"/>
    <col min="8708" max="8708" width="5.375" style="6" customWidth="1"/>
    <col min="8709" max="8709" width="1.75" style="6" customWidth="1"/>
    <col min="8710" max="8710" width="10.375" style="6" customWidth="1"/>
    <col min="8711" max="8711" width="5.125" style="6" customWidth="1"/>
    <col min="8712" max="8712" width="4" style="6" customWidth="1"/>
    <col min="8713" max="8713" width="12.5" style="6" customWidth="1"/>
    <col min="8714" max="8714" width="4.875" style="6" customWidth="1"/>
    <col min="8715" max="8715" width="13.25" style="6" customWidth="1"/>
    <col min="8716" max="8716" width="5.375" style="6" customWidth="1"/>
    <col min="8717" max="8717" width="1.5" style="6" customWidth="1"/>
    <col min="8718" max="8718" width="9" style="6"/>
    <col min="8719" max="8719" width="15.5" style="6" bestFit="1" customWidth="1"/>
    <col min="8720" max="8959" width="9" style="6"/>
    <col min="8960" max="8960" width="6.875" style="6" customWidth="1"/>
    <col min="8961" max="8961" width="0.75" style="6" customWidth="1"/>
    <col min="8962" max="8962" width="16.125" style="6" customWidth="1"/>
    <col min="8963" max="8963" width="5.5" style="6" customWidth="1"/>
    <col min="8964" max="8964" width="5.375" style="6" customWidth="1"/>
    <col min="8965" max="8965" width="1.75" style="6" customWidth="1"/>
    <col min="8966" max="8966" width="10.375" style="6" customWidth="1"/>
    <col min="8967" max="8967" width="5.125" style="6" customWidth="1"/>
    <col min="8968" max="8968" width="4" style="6" customWidth="1"/>
    <col min="8969" max="8969" width="12.5" style="6" customWidth="1"/>
    <col min="8970" max="8970" width="4.875" style="6" customWidth="1"/>
    <col min="8971" max="8971" width="13.25" style="6" customWidth="1"/>
    <col min="8972" max="8972" width="5.375" style="6" customWidth="1"/>
    <col min="8973" max="8973" width="1.5" style="6" customWidth="1"/>
    <col min="8974" max="8974" width="9" style="6"/>
    <col min="8975" max="8975" width="15.5" style="6" bestFit="1" customWidth="1"/>
    <col min="8976" max="9215" width="9" style="6"/>
    <col min="9216" max="9216" width="6.875" style="6" customWidth="1"/>
    <col min="9217" max="9217" width="0.75" style="6" customWidth="1"/>
    <col min="9218" max="9218" width="16.125" style="6" customWidth="1"/>
    <col min="9219" max="9219" width="5.5" style="6" customWidth="1"/>
    <col min="9220" max="9220" width="5.375" style="6" customWidth="1"/>
    <col min="9221" max="9221" width="1.75" style="6" customWidth="1"/>
    <col min="9222" max="9222" width="10.375" style="6" customWidth="1"/>
    <col min="9223" max="9223" width="5.125" style="6" customWidth="1"/>
    <col min="9224" max="9224" width="4" style="6" customWidth="1"/>
    <col min="9225" max="9225" width="12.5" style="6" customWidth="1"/>
    <col min="9226" max="9226" width="4.875" style="6" customWidth="1"/>
    <col min="9227" max="9227" width="13.25" style="6" customWidth="1"/>
    <col min="9228" max="9228" width="5.375" style="6" customWidth="1"/>
    <col min="9229" max="9229" width="1.5" style="6" customWidth="1"/>
    <col min="9230" max="9230" width="9" style="6"/>
    <col min="9231" max="9231" width="15.5" style="6" bestFit="1" customWidth="1"/>
    <col min="9232" max="9471" width="9" style="6"/>
    <col min="9472" max="9472" width="6.875" style="6" customWidth="1"/>
    <col min="9473" max="9473" width="0.75" style="6" customWidth="1"/>
    <col min="9474" max="9474" width="16.125" style="6" customWidth="1"/>
    <col min="9475" max="9475" width="5.5" style="6" customWidth="1"/>
    <col min="9476" max="9476" width="5.375" style="6" customWidth="1"/>
    <col min="9477" max="9477" width="1.75" style="6" customWidth="1"/>
    <col min="9478" max="9478" width="10.375" style="6" customWidth="1"/>
    <col min="9479" max="9479" width="5.125" style="6" customWidth="1"/>
    <col min="9480" max="9480" width="4" style="6" customWidth="1"/>
    <col min="9481" max="9481" width="12.5" style="6" customWidth="1"/>
    <col min="9482" max="9482" width="4.875" style="6" customWidth="1"/>
    <col min="9483" max="9483" width="13.25" style="6" customWidth="1"/>
    <col min="9484" max="9484" width="5.375" style="6" customWidth="1"/>
    <col min="9485" max="9485" width="1.5" style="6" customWidth="1"/>
    <col min="9486" max="9486" width="9" style="6"/>
    <col min="9487" max="9487" width="15.5" style="6" bestFit="1" customWidth="1"/>
    <col min="9488" max="9727" width="9" style="6"/>
    <col min="9728" max="9728" width="6.875" style="6" customWidth="1"/>
    <col min="9729" max="9729" width="0.75" style="6" customWidth="1"/>
    <col min="9730" max="9730" width="16.125" style="6" customWidth="1"/>
    <col min="9731" max="9731" width="5.5" style="6" customWidth="1"/>
    <col min="9732" max="9732" width="5.375" style="6" customWidth="1"/>
    <col min="9733" max="9733" width="1.75" style="6" customWidth="1"/>
    <col min="9734" max="9734" width="10.375" style="6" customWidth="1"/>
    <col min="9735" max="9735" width="5.125" style="6" customWidth="1"/>
    <col min="9736" max="9736" width="4" style="6" customWidth="1"/>
    <col min="9737" max="9737" width="12.5" style="6" customWidth="1"/>
    <col min="9738" max="9738" width="4.875" style="6" customWidth="1"/>
    <col min="9739" max="9739" width="13.25" style="6" customWidth="1"/>
    <col min="9740" max="9740" width="5.375" style="6" customWidth="1"/>
    <col min="9741" max="9741" width="1.5" style="6" customWidth="1"/>
    <col min="9742" max="9742" width="9" style="6"/>
    <col min="9743" max="9743" width="15.5" style="6" bestFit="1" customWidth="1"/>
    <col min="9744" max="9983" width="9" style="6"/>
    <col min="9984" max="9984" width="6.875" style="6" customWidth="1"/>
    <col min="9985" max="9985" width="0.75" style="6" customWidth="1"/>
    <col min="9986" max="9986" width="16.125" style="6" customWidth="1"/>
    <col min="9987" max="9987" width="5.5" style="6" customWidth="1"/>
    <col min="9988" max="9988" width="5.375" style="6" customWidth="1"/>
    <col min="9989" max="9989" width="1.75" style="6" customWidth="1"/>
    <col min="9990" max="9990" width="10.375" style="6" customWidth="1"/>
    <col min="9991" max="9991" width="5.125" style="6" customWidth="1"/>
    <col min="9992" max="9992" width="4" style="6" customWidth="1"/>
    <col min="9993" max="9993" width="12.5" style="6" customWidth="1"/>
    <col min="9994" max="9994" width="4.875" style="6" customWidth="1"/>
    <col min="9995" max="9995" width="13.25" style="6" customWidth="1"/>
    <col min="9996" max="9996" width="5.375" style="6" customWidth="1"/>
    <col min="9997" max="9997" width="1.5" style="6" customWidth="1"/>
    <col min="9998" max="9998" width="9" style="6"/>
    <col min="9999" max="9999" width="15.5" style="6" bestFit="1" customWidth="1"/>
    <col min="10000" max="10239" width="9" style="6"/>
    <col min="10240" max="10240" width="6.875" style="6" customWidth="1"/>
    <col min="10241" max="10241" width="0.75" style="6" customWidth="1"/>
    <col min="10242" max="10242" width="16.125" style="6" customWidth="1"/>
    <col min="10243" max="10243" width="5.5" style="6" customWidth="1"/>
    <col min="10244" max="10244" width="5.375" style="6" customWidth="1"/>
    <col min="10245" max="10245" width="1.75" style="6" customWidth="1"/>
    <col min="10246" max="10246" width="10.375" style="6" customWidth="1"/>
    <col min="10247" max="10247" width="5.125" style="6" customWidth="1"/>
    <col min="10248" max="10248" width="4" style="6" customWidth="1"/>
    <col min="10249" max="10249" width="12.5" style="6" customWidth="1"/>
    <col min="10250" max="10250" width="4.875" style="6" customWidth="1"/>
    <col min="10251" max="10251" width="13.25" style="6" customWidth="1"/>
    <col min="10252" max="10252" width="5.375" style="6" customWidth="1"/>
    <col min="10253" max="10253" width="1.5" style="6" customWidth="1"/>
    <col min="10254" max="10254" width="9" style="6"/>
    <col min="10255" max="10255" width="15.5" style="6" bestFit="1" customWidth="1"/>
    <col min="10256" max="10495" width="9" style="6"/>
    <col min="10496" max="10496" width="6.875" style="6" customWidth="1"/>
    <col min="10497" max="10497" width="0.75" style="6" customWidth="1"/>
    <col min="10498" max="10498" width="16.125" style="6" customWidth="1"/>
    <col min="10499" max="10499" width="5.5" style="6" customWidth="1"/>
    <col min="10500" max="10500" width="5.375" style="6" customWidth="1"/>
    <col min="10501" max="10501" width="1.75" style="6" customWidth="1"/>
    <col min="10502" max="10502" width="10.375" style="6" customWidth="1"/>
    <col min="10503" max="10503" width="5.125" style="6" customWidth="1"/>
    <col min="10504" max="10504" width="4" style="6" customWidth="1"/>
    <col min="10505" max="10505" width="12.5" style="6" customWidth="1"/>
    <col min="10506" max="10506" width="4.875" style="6" customWidth="1"/>
    <col min="10507" max="10507" width="13.25" style="6" customWidth="1"/>
    <col min="10508" max="10508" width="5.375" style="6" customWidth="1"/>
    <col min="10509" max="10509" width="1.5" style="6" customWidth="1"/>
    <col min="10510" max="10510" width="9" style="6"/>
    <col min="10511" max="10511" width="15.5" style="6" bestFit="1" customWidth="1"/>
    <col min="10512" max="10751" width="9" style="6"/>
    <col min="10752" max="10752" width="6.875" style="6" customWidth="1"/>
    <col min="10753" max="10753" width="0.75" style="6" customWidth="1"/>
    <col min="10754" max="10754" width="16.125" style="6" customWidth="1"/>
    <col min="10755" max="10755" width="5.5" style="6" customWidth="1"/>
    <col min="10756" max="10756" width="5.375" style="6" customWidth="1"/>
    <col min="10757" max="10757" width="1.75" style="6" customWidth="1"/>
    <col min="10758" max="10758" width="10.375" style="6" customWidth="1"/>
    <col min="10759" max="10759" width="5.125" style="6" customWidth="1"/>
    <col min="10760" max="10760" width="4" style="6" customWidth="1"/>
    <col min="10761" max="10761" width="12.5" style="6" customWidth="1"/>
    <col min="10762" max="10762" width="4.875" style="6" customWidth="1"/>
    <col min="10763" max="10763" width="13.25" style="6" customWidth="1"/>
    <col min="10764" max="10764" width="5.375" style="6" customWidth="1"/>
    <col min="10765" max="10765" width="1.5" style="6" customWidth="1"/>
    <col min="10766" max="10766" width="9" style="6"/>
    <col min="10767" max="10767" width="15.5" style="6" bestFit="1" customWidth="1"/>
    <col min="10768" max="11007" width="9" style="6"/>
    <col min="11008" max="11008" width="6.875" style="6" customWidth="1"/>
    <col min="11009" max="11009" width="0.75" style="6" customWidth="1"/>
    <col min="11010" max="11010" width="16.125" style="6" customWidth="1"/>
    <col min="11011" max="11011" width="5.5" style="6" customWidth="1"/>
    <col min="11012" max="11012" width="5.375" style="6" customWidth="1"/>
    <col min="11013" max="11013" width="1.75" style="6" customWidth="1"/>
    <col min="11014" max="11014" width="10.375" style="6" customWidth="1"/>
    <col min="11015" max="11015" width="5.125" style="6" customWidth="1"/>
    <col min="11016" max="11016" width="4" style="6" customWidth="1"/>
    <col min="11017" max="11017" width="12.5" style="6" customWidth="1"/>
    <col min="11018" max="11018" width="4.875" style="6" customWidth="1"/>
    <col min="11019" max="11019" width="13.25" style="6" customWidth="1"/>
    <col min="11020" max="11020" width="5.375" style="6" customWidth="1"/>
    <col min="11021" max="11021" width="1.5" style="6" customWidth="1"/>
    <col min="11022" max="11022" width="9" style="6"/>
    <col min="11023" max="11023" width="15.5" style="6" bestFit="1" customWidth="1"/>
    <col min="11024" max="11263" width="9" style="6"/>
    <col min="11264" max="11264" width="6.875" style="6" customWidth="1"/>
    <col min="11265" max="11265" width="0.75" style="6" customWidth="1"/>
    <col min="11266" max="11266" width="16.125" style="6" customWidth="1"/>
    <col min="11267" max="11267" width="5.5" style="6" customWidth="1"/>
    <col min="11268" max="11268" width="5.375" style="6" customWidth="1"/>
    <col min="11269" max="11269" width="1.75" style="6" customWidth="1"/>
    <col min="11270" max="11270" width="10.375" style="6" customWidth="1"/>
    <col min="11271" max="11271" width="5.125" style="6" customWidth="1"/>
    <col min="11272" max="11272" width="4" style="6" customWidth="1"/>
    <col min="11273" max="11273" width="12.5" style="6" customWidth="1"/>
    <col min="11274" max="11274" width="4.875" style="6" customWidth="1"/>
    <col min="11275" max="11275" width="13.25" style="6" customWidth="1"/>
    <col min="11276" max="11276" width="5.375" style="6" customWidth="1"/>
    <col min="11277" max="11277" width="1.5" style="6" customWidth="1"/>
    <col min="11278" max="11278" width="9" style="6"/>
    <col min="11279" max="11279" width="15.5" style="6" bestFit="1" customWidth="1"/>
    <col min="11280" max="11519" width="9" style="6"/>
    <col min="11520" max="11520" width="6.875" style="6" customWidth="1"/>
    <col min="11521" max="11521" width="0.75" style="6" customWidth="1"/>
    <col min="11522" max="11522" width="16.125" style="6" customWidth="1"/>
    <col min="11523" max="11523" width="5.5" style="6" customWidth="1"/>
    <col min="11524" max="11524" width="5.375" style="6" customWidth="1"/>
    <col min="11525" max="11525" width="1.75" style="6" customWidth="1"/>
    <col min="11526" max="11526" width="10.375" style="6" customWidth="1"/>
    <col min="11527" max="11527" width="5.125" style="6" customWidth="1"/>
    <col min="11528" max="11528" width="4" style="6" customWidth="1"/>
    <col min="11529" max="11529" width="12.5" style="6" customWidth="1"/>
    <col min="11530" max="11530" width="4.875" style="6" customWidth="1"/>
    <col min="11531" max="11531" width="13.25" style="6" customWidth="1"/>
    <col min="11532" max="11532" width="5.375" style="6" customWidth="1"/>
    <col min="11533" max="11533" width="1.5" style="6" customWidth="1"/>
    <col min="11534" max="11534" width="9" style="6"/>
    <col min="11535" max="11535" width="15.5" style="6" bestFit="1" customWidth="1"/>
    <col min="11536" max="11775" width="9" style="6"/>
    <col min="11776" max="11776" width="6.875" style="6" customWidth="1"/>
    <col min="11777" max="11777" width="0.75" style="6" customWidth="1"/>
    <col min="11778" max="11778" width="16.125" style="6" customWidth="1"/>
    <col min="11779" max="11779" width="5.5" style="6" customWidth="1"/>
    <col min="11780" max="11780" width="5.375" style="6" customWidth="1"/>
    <col min="11781" max="11781" width="1.75" style="6" customWidth="1"/>
    <col min="11782" max="11782" width="10.375" style="6" customWidth="1"/>
    <col min="11783" max="11783" width="5.125" style="6" customWidth="1"/>
    <col min="11784" max="11784" width="4" style="6" customWidth="1"/>
    <col min="11785" max="11785" width="12.5" style="6" customWidth="1"/>
    <col min="11786" max="11786" width="4.875" style="6" customWidth="1"/>
    <col min="11787" max="11787" width="13.25" style="6" customWidth="1"/>
    <col min="11788" max="11788" width="5.375" style="6" customWidth="1"/>
    <col min="11789" max="11789" width="1.5" style="6" customWidth="1"/>
    <col min="11790" max="11790" width="9" style="6"/>
    <col min="11791" max="11791" width="15.5" style="6" bestFit="1" customWidth="1"/>
    <col min="11792" max="12031" width="9" style="6"/>
    <col min="12032" max="12032" width="6.875" style="6" customWidth="1"/>
    <col min="12033" max="12033" width="0.75" style="6" customWidth="1"/>
    <col min="12034" max="12034" width="16.125" style="6" customWidth="1"/>
    <col min="12035" max="12035" width="5.5" style="6" customWidth="1"/>
    <col min="12036" max="12036" width="5.375" style="6" customWidth="1"/>
    <col min="12037" max="12037" width="1.75" style="6" customWidth="1"/>
    <col min="12038" max="12038" width="10.375" style="6" customWidth="1"/>
    <col min="12039" max="12039" width="5.125" style="6" customWidth="1"/>
    <col min="12040" max="12040" width="4" style="6" customWidth="1"/>
    <col min="12041" max="12041" width="12.5" style="6" customWidth="1"/>
    <col min="12042" max="12042" width="4.875" style="6" customWidth="1"/>
    <col min="12043" max="12043" width="13.25" style="6" customWidth="1"/>
    <col min="12044" max="12044" width="5.375" style="6" customWidth="1"/>
    <col min="12045" max="12045" width="1.5" style="6" customWidth="1"/>
    <col min="12046" max="12046" width="9" style="6"/>
    <col min="12047" max="12047" width="15.5" style="6" bestFit="1" customWidth="1"/>
    <col min="12048" max="12287" width="9" style="6"/>
    <col min="12288" max="12288" width="6.875" style="6" customWidth="1"/>
    <col min="12289" max="12289" width="0.75" style="6" customWidth="1"/>
    <col min="12290" max="12290" width="16.125" style="6" customWidth="1"/>
    <col min="12291" max="12291" width="5.5" style="6" customWidth="1"/>
    <col min="12292" max="12292" width="5.375" style="6" customWidth="1"/>
    <col min="12293" max="12293" width="1.75" style="6" customWidth="1"/>
    <col min="12294" max="12294" width="10.375" style="6" customWidth="1"/>
    <col min="12295" max="12295" width="5.125" style="6" customWidth="1"/>
    <col min="12296" max="12296" width="4" style="6" customWidth="1"/>
    <col min="12297" max="12297" width="12.5" style="6" customWidth="1"/>
    <col min="12298" max="12298" width="4.875" style="6" customWidth="1"/>
    <col min="12299" max="12299" width="13.25" style="6" customWidth="1"/>
    <col min="12300" max="12300" width="5.375" style="6" customWidth="1"/>
    <col min="12301" max="12301" width="1.5" style="6" customWidth="1"/>
    <col min="12302" max="12302" width="9" style="6"/>
    <col min="12303" max="12303" width="15.5" style="6" bestFit="1" customWidth="1"/>
    <col min="12304" max="12543" width="9" style="6"/>
    <col min="12544" max="12544" width="6.875" style="6" customWidth="1"/>
    <col min="12545" max="12545" width="0.75" style="6" customWidth="1"/>
    <col min="12546" max="12546" width="16.125" style="6" customWidth="1"/>
    <col min="12547" max="12547" width="5.5" style="6" customWidth="1"/>
    <col min="12548" max="12548" width="5.375" style="6" customWidth="1"/>
    <col min="12549" max="12549" width="1.75" style="6" customWidth="1"/>
    <col min="12550" max="12550" width="10.375" style="6" customWidth="1"/>
    <col min="12551" max="12551" width="5.125" style="6" customWidth="1"/>
    <col min="12552" max="12552" width="4" style="6" customWidth="1"/>
    <col min="12553" max="12553" width="12.5" style="6" customWidth="1"/>
    <col min="12554" max="12554" width="4.875" style="6" customWidth="1"/>
    <col min="12555" max="12555" width="13.25" style="6" customWidth="1"/>
    <col min="12556" max="12556" width="5.375" style="6" customWidth="1"/>
    <col min="12557" max="12557" width="1.5" style="6" customWidth="1"/>
    <col min="12558" max="12558" width="9" style="6"/>
    <col min="12559" max="12559" width="15.5" style="6" bestFit="1" customWidth="1"/>
    <col min="12560" max="12799" width="9" style="6"/>
    <col min="12800" max="12800" width="6.875" style="6" customWidth="1"/>
    <col min="12801" max="12801" width="0.75" style="6" customWidth="1"/>
    <col min="12802" max="12802" width="16.125" style="6" customWidth="1"/>
    <col min="12803" max="12803" width="5.5" style="6" customWidth="1"/>
    <col min="12804" max="12804" width="5.375" style="6" customWidth="1"/>
    <col min="12805" max="12805" width="1.75" style="6" customWidth="1"/>
    <col min="12806" max="12806" width="10.375" style="6" customWidth="1"/>
    <col min="12807" max="12807" width="5.125" style="6" customWidth="1"/>
    <col min="12808" max="12808" width="4" style="6" customWidth="1"/>
    <col min="12809" max="12809" width="12.5" style="6" customWidth="1"/>
    <col min="12810" max="12810" width="4.875" style="6" customWidth="1"/>
    <col min="12811" max="12811" width="13.25" style="6" customWidth="1"/>
    <col min="12812" max="12812" width="5.375" style="6" customWidth="1"/>
    <col min="12813" max="12813" width="1.5" style="6" customWidth="1"/>
    <col min="12814" max="12814" width="9" style="6"/>
    <col min="12815" max="12815" width="15.5" style="6" bestFit="1" customWidth="1"/>
    <col min="12816" max="13055" width="9" style="6"/>
    <col min="13056" max="13056" width="6.875" style="6" customWidth="1"/>
    <col min="13057" max="13057" width="0.75" style="6" customWidth="1"/>
    <col min="13058" max="13058" width="16.125" style="6" customWidth="1"/>
    <col min="13059" max="13059" width="5.5" style="6" customWidth="1"/>
    <col min="13060" max="13060" width="5.375" style="6" customWidth="1"/>
    <col min="13061" max="13061" width="1.75" style="6" customWidth="1"/>
    <col min="13062" max="13062" width="10.375" style="6" customWidth="1"/>
    <col min="13063" max="13063" width="5.125" style="6" customWidth="1"/>
    <col min="13064" max="13064" width="4" style="6" customWidth="1"/>
    <col min="13065" max="13065" width="12.5" style="6" customWidth="1"/>
    <col min="13066" max="13066" width="4.875" style="6" customWidth="1"/>
    <col min="13067" max="13067" width="13.25" style="6" customWidth="1"/>
    <col min="13068" max="13068" width="5.375" style="6" customWidth="1"/>
    <col min="13069" max="13069" width="1.5" style="6" customWidth="1"/>
    <col min="13070" max="13070" width="9" style="6"/>
    <col min="13071" max="13071" width="15.5" style="6" bestFit="1" customWidth="1"/>
    <col min="13072" max="13311" width="9" style="6"/>
    <col min="13312" max="13312" width="6.875" style="6" customWidth="1"/>
    <col min="13313" max="13313" width="0.75" style="6" customWidth="1"/>
    <col min="13314" max="13314" width="16.125" style="6" customWidth="1"/>
    <col min="13315" max="13315" width="5.5" style="6" customWidth="1"/>
    <col min="13316" max="13316" width="5.375" style="6" customWidth="1"/>
    <col min="13317" max="13317" width="1.75" style="6" customWidth="1"/>
    <col min="13318" max="13318" width="10.375" style="6" customWidth="1"/>
    <col min="13319" max="13319" width="5.125" style="6" customWidth="1"/>
    <col min="13320" max="13320" width="4" style="6" customWidth="1"/>
    <col min="13321" max="13321" width="12.5" style="6" customWidth="1"/>
    <col min="13322" max="13322" width="4.875" style="6" customWidth="1"/>
    <col min="13323" max="13323" width="13.25" style="6" customWidth="1"/>
    <col min="13324" max="13324" width="5.375" style="6" customWidth="1"/>
    <col min="13325" max="13325" width="1.5" style="6" customWidth="1"/>
    <col min="13326" max="13326" width="9" style="6"/>
    <col min="13327" max="13327" width="15.5" style="6" bestFit="1" customWidth="1"/>
    <col min="13328" max="13567" width="9" style="6"/>
    <col min="13568" max="13568" width="6.875" style="6" customWidth="1"/>
    <col min="13569" max="13569" width="0.75" style="6" customWidth="1"/>
    <col min="13570" max="13570" width="16.125" style="6" customWidth="1"/>
    <col min="13571" max="13571" width="5.5" style="6" customWidth="1"/>
    <col min="13572" max="13572" width="5.375" style="6" customWidth="1"/>
    <col min="13573" max="13573" width="1.75" style="6" customWidth="1"/>
    <col min="13574" max="13574" width="10.375" style="6" customWidth="1"/>
    <col min="13575" max="13575" width="5.125" style="6" customWidth="1"/>
    <col min="13576" max="13576" width="4" style="6" customWidth="1"/>
    <col min="13577" max="13577" width="12.5" style="6" customWidth="1"/>
    <col min="13578" max="13578" width="4.875" style="6" customWidth="1"/>
    <col min="13579" max="13579" width="13.25" style="6" customWidth="1"/>
    <col min="13580" max="13580" width="5.375" style="6" customWidth="1"/>
    <col min="13581" max="13581" width="1.5" style="6" customWidth="1"/>
    <col min="13582" max="13582" width="9" style="6"/>
    <col min="13583" max="13583" width="15.5" style="6" bestFit="1" customWidth="1"/>
    <col min="13584" max="13823" width="9" style="6"/>
    <col min="13824" max="13824" width="6.875" style="6" customWidth="1"/>
    <col min="13825" max="13825" width="0.75" style="6" customWidth="1"/>
    <col min="13826" max="13826" width="16.125" style="6" customWidth="1"/>
    <col min="13827" max="13827" width="5.5" style="6" customWidth="1"/>
    <col min="13828" max="13828" width="5.375" style="6" customWidth="1"/>
    <col min="13829" max="13829" width="1.75" style="6" customWidth="1"/>
    <col min="13830" max="13830" width="10.375" style="6" customWidth="1"/>
    <col min="13831" max="13831" width="5.125" style="6" customWidth="1"/>
    <col min="13832" max="13832" width="4" style="6" customWidth="1"/>
    <col min="13833" max="13833" width="12.5" style="6" customWidth="1"/>
    <col min="13834" max="13834" width="4.875" style="6" customWidth="1"/>
    <col min="13835" max="13835" width="13.25" style="6" customWidth="1"/>
    <col min="13836" max="13836" width="5.375" style="6" customWidth="1"/>
    <col min="13837" max="13837" width="1.5" style="6" customWidth="1"/>
    <col min="13838" max="13838" width="9" style="6"/>
    <col min="13839" max="13839" width="15.5" style="6" bestFit="1" customWidth="1"/>
    <col min="13840" max="14079" width="9" style="6"/>
    <col min="14080" max="14080" width="6.875" style="6" customWidth="1"/>
    <col min="14081" max="14081" width="0.75" style="6" customWidth="1"/>
    <col min="14082" max="14082" width="16.125" style="6" customWidth="1"/>
    <col min="14083" max="14083" width="5.5" style="6" customWidth="1"/>
    <col min="14084" max="14084" width="5.375" style="6" customWidth="1"/>
    <col min="14085" max="14085" width="1.75" style="6" customWidth="1"/>
    <col min="14086" max="14086" width="10.375" style="6" customWidth="1"/>
    <col min="14087" max="14087" width="5.125" style="6" customWidth="1"/>
    <col min="14088" max="14088" width="4" style="6" customWidth="1"/>
    <col min="14089" max="14089" width="12.5" style="6" customWidth="1"/>
    <col min="14090" max="14090" width="4.875" style="6" customWidth="1"/>
    <col min="14091" max="14091" width="13.25" style="6" customWidth="1"/>
    <col min="14092" max="14092" width="5.375" style="6" customWidth="1"/>
    <col min="14093" max="14093" width="1.5" style="6" customWidth="1"/>
    <col min="14094" max="14094" width="9" style="6"/>
    <col min="14095" max="14095" width="15.5" style="6" bestFit="1" customWidth="1"/>
    <col min="14096" max="14335" width="9" style="6"/>
    <col min="14336" max="14336" width="6.875" style="6" customWidth="1"/>
    <col min="14337" max="14337" width="0.75" style="6" customWidth="1"/>
    <col min="14338" max="14338" width="16.125" style="6" customWidth="1"/>
    <col min="14339" max="14339" width="5.5" style="6" customWidth="1"/>
    <col min="14340" max="14340" width="5.375" style="6" customWidth="1"/>
    <col min="14341" max="14341" width="1.75" style="6" customWidth="1"/>
    <col min="14342" max="14342" width="10.375" style="6" customWidth="1"/>
    <col min="14343" max="14343" width="5.125" style="6" customWidth="1"/>
    <col min="14344" max="14344" width="4" style="6" customWidth="1"/>
    <col min="14345" max="14345" width="12.5" style="6" customWidth="1"/>
    <col min="14346" max="14346" width="4.875" style="6" customWidth="1"/>
    <col min="14347" max="14347" width="13.25" style="6" customWidth="1"/>
    <col min="14348" max="14348" width="5.375" style="6" customWidth="1"/>
    <col min="14349" max="14349" width="1.5" style="6" customWidth="1"/>
    <col min="14350" max="14350" width="9" style="6"/>
    <col min="14351" max="14351" width="15.5" style="6" bestFit="1" customWidth="1"/>
    <col min="14352" max="14591" width="9" style="6"/>
    <col min="14592" max="14592" width="6.875" style="6" customWidth="1"/>
    <col min="14593" max="14593" width="0.75" style="6" customWidth="1"/>
    <col min="14594" max="14594" width="16.125" style="6" customWidth="1"/>
    <col min="14595" max="14595" width="5.5" style="6" customWidth="1"/>
    <col min="14596" max="14596" width="5.375" style="6" customWidth="1"/>
    <col min="14597" max="14597" width="1.75" style="6" customWidth="1"/>
    <col min="14598" max="14598" width="10.375" style="6" customWidth="1"/>
    <col min="14599" max="14599" width="5.125" style="6" customWidth="1"/>
    <col min="14600" max="14600" width="4" style="6" customWidth="1"/>
    <col min="14601" max="14601" width="12.5" style="6" customWidth="1"/>
    <col min="14602" max="14602" width="4.875" style="6" customWidth="1"/>
    <col min="14603" max="14603" width="13.25" style="6" customWidth="1"/>
    <col min="14604" max="14604" width="5.375" style="6" customWidth="1"/>
    <col min="14605" max="14605" width="1.5" style="6" customWidth="1"/>
    <col min="14606" max="14606" width="9" style="6"/>
    <col min="14607" max="14607" width="15.5" style="6" bestFit="1" customWidth="1"/>
    <col min="14608" max="14847" width="9" style="6"/>
    <col min="14848" max="14848" width="6.875" style="6" customWidth="1"/>
    <col min="14849" max="14849" width="0.75" style="6" customWidth="1"/>
    <col min="14850" max="14850" width="16.125" style="6" customWidth="1"/>
    <col min="14851" max="14851" width="5.5" style="6" customWidth="1"/>
    <col min="14852" max="14852" width="5.375" style="6" customWidth="1"/>
    <col min="14853" max="14853" width="1.75" style="6" customWidth="1"/>
    <col min="14854" max="14854" width="10.375" style="6" customWidth="1"/>
    <col min="14855" max="14855" width="5.125" style="6" customWidth="1"/>
    <col min="14856" max="14856" width="4" style="6" customWidth="1"/>
    <col min="14857" max="14857" width="12.5" style="6" customWidth="1"/>
    <col min="14858" max="14858" width="4.875" style="6" customWidth="1"/>
    <col min="14859" max="14859" width="13.25" style="6" customWidth="1"/>
    <col min="14860" max="14860" width="5.375" style="6" customWidth="1"/>
    <col min="14861" max="14861" width="1.5" style="6" customWidth="1"/>
    <col min="14862" max="14862" width="9" style="6"/>
    <col min="14863" max="14863" width="15.5" style="6" bestFit="1" customWidth="1"/>
    <col min="14864" max="15103" width="9" style="6"/>
    <col min="15104" max="15104" width="6.875" style="6" customWidth="1"/>
    <col min="15105" max="15105" width="0.75" style="6" customWidth="1"/>
    <col min="15106" max="15106" width="16.125" style="6" customWidth="1"/>
    <col min="15107" max="15107" width="5.5" style="6" customWidth="1"/>
    <col min="15108" max="15108" width="5.375" style="6" customWidth="1"/>
    <col min="15109" max="15109" width="1.75" style="6" customWidth="1"/>
    <col min="15110" max="15110" width="10.375" style="6" customWidth="1"/>
    <col min="15111" max="15111" width="5.125" style="6" customWidth="1"/>
    <col min="15112" max="15112" width="4" style="6" customWidth="1"/>
    <col min="15113" max="15113" width="12.5" style="6" customWidth="1"/>
    <col min="15114" max="15114" width="4.875" style="6" customWidth="1"/>
    <col min="15115" max="15115" width="13.25" style="6" customWidth="1"/>
    <col min="15116" max="15116" width="5.375" style="6" customWidth="1"/>
    <col min="15117" max="15117" width="1.5" style="6" customWidth="1"/>
    <col min="15118" max="15118" width="9" style="6"/>
    <col min="15119" max="15119" width="15.5" style="6" bestFit="1" customWidth="1"/>
    <col min="15120" max="15359" width="9" style="6"/>
    <col min="15360" max="15360" width="6.875" style="6" customWidth="1"/>
    <col min="15361" max="15361" width="0.75" style="6" customWidth="1"/>
    <col min="15362" max="15362" width="16.125" style="6" customWidth="1"/>
    <col min="15363" max="15363" width="5.5" style="6" customWidth="1"/>
    <col min="15364" max="15364" width="5.375" style="6" customWidth="1"/>
    <col min="15365" max="15365" width="1.75" style="6" customWidth="1"/>
    <col min="15366" max="15366" width="10.375" style="6" customWidth="1"/>
    <col min="15367" max="15367" width="5.125" style="6" customWidth="1"/>
    <col min="15368" max="15368" width="4" style="6" customWidth="1"/>
    <col min="15369" max="15369" width="12.5" style="6" customWidth="1"/>
    <col min="15370" max="15370" width="4.875" style="6" customWidth="1"/>
    <col min="15371" max="15371" width="13.25" style="6" customWidth="1"/>
    <col min="15372" max="15372" width="5.375" style="6" customWidth="1"/>
    <col min="15373" max="15373" width="1.5" style="6" customWidth="1"/>
    <col min="15374" max="15374" width="9" style="6"/>
    <col min="15375" max="15375" width="15.5" style="6" bestFit="1" customWidth="1"/>
    <col min="15376" max="15615" width="9" style="6"/>
    <col min="15616" max="15616" width="6.875" style="6" customWidth="1"/>
    <col min="15617" max="15617" width="0.75" style="6" customWidth="1"/>
    <col min="15618" max="15618" width="16.125" style="6" customWidth="1"/>
    <col min="15619" max="15619" width="5.5" style="6" customWidth="1"/>
    <col min="15620" max="15620" width="5.375" style="6" customWidth="1"/>
    <col min="15621" max="15621" width="1.75" style="6" customWidth="1"/>
    <col min="15622" max="15622" width="10.375" style="6" customWidth="1"/>
    <col min="15623" max="15623" width="5.125" style="6" customWidth="1"/>
    <col min="15624" max="15624" width="4" style="6" customWidth="1"/>
    <col min="15625" max="15625" width="12.5" style="6" customWidth="1"/>
    <col min="15626" max="15626" width="4.875" style="6" customWidth="1"/>
    <col min="15627" max="15627" width="13.25" style="6" customWidth="1"/>
    <col min="15628" max="15628" width="5.375" style="6" customWidth="1"/>
    <col min="15629" max="15629" width="1.5" style="6" customWidth="1"/>
    <col min="15630" max="15630" width="9" style="6"/>
    <col min="15631" max="15631" width="15.5" style="6" bestFit="1" customWidth="1"/>
    <col min="15632" max="15871" width="9" style="6"/>
    <col min="15872" max="15872" width="6.875" style="6" customWidth="1"/>
    <col min="15873" max="15873" width="0.75" style="6" customWidth="1"/>
    <col min="15874" max="15874" width="16.125" style="6" customWidth="1"/>
    <col min="15875" max="15875" width="5.5" style="6" customWidth="1"/>
    <col min="15876" max="15876" width="5.375" style="6" customWidth="1"/>
    <col min="15877" max="15877" width="1.75" style="6" customWidth="1"/>
    <col min="15878" max="15878" width="10.375" style="6" customWidth="1"/>
    <col min="15879" max="15879" width="5.125" style="6" customWidth="1"/>
    <col min="15880" max="15880" width="4" style="6" customWidth="1"/>
    <col min="15881" max="15881" width="12.5" style="6" customWidth="1"/>
    <col min="15882" max="15882" width="4.875" style="6" customWidth="1"/>
    <col min="15883" max="15883" width="13.25" style="6" customWidth="1"/>
    <col min="15884" max="15884" width="5.375" style="6" customWidth="1"/>
    <col min="15885" max="15885" width="1.5" style="6" customWidth="1"/>
    <col min="15886" max="15886" width="9" style="6"/>
    <col min="15887" max="15887" width="15.5" style="6" bestFit="1" customWidth="1"/>
    <col min="15888" max="16127" width="9" style="6"/>
    <col min="16128" max="16128" width="6.875" style="6" customWidth="1"/>
    <col min="16129" max="16129" width="0.75" style="6" customWidth="1"/>
    <col min="16130" max="16130" width="16.125" style="6" customWidth="1"/>
    <col min="16131" max="16131" width="5.5" style="6" customWidth="1"/>
    <col min="16132" max="16132" width="5.375" style="6" customWidth="1"/>
    <col min="16133" max="16133" width="1.75" style="6" customWidth="1"/>
    <col min="16134" max="16134" width="10.375" style="6" customWidth="1"/>
    <col min="16135" max="16135" width="5.125" style="6" customWidth="1"/>
    <col min="16136" max="16136" width="4" style="6" customWidth="1"/>
    <col min="16137" max="16137" width="12.5" style="6" customWidth="1"/>
    <col min="16138" max="16138" width="4.875" style="6" customWidth="1"/>
    <col min="16139" max="16139" width="13.25" style="6" customWidth="1"/>
    <col min="16140" max="16140" width="5.375" style="6" customWidth="1"/>
    <col min="16141" max="16141" width="1.5" style="6" customWidth="1"/>
    <col min="16142" max="16142" width="9" style="6"/>
    <col min="16143" max="16143" width="15.5" style="6" bestFit="1" customWidth="1"/>
    <col min="16144" max="16384" width="9" style="6"/>
  </cols>
  <sheetData>
    <row r="1" spans="1:16" s="3" customFormat="1" ht="18" customHeight="1">
      <c r="A1" s="1455" t="s">
        <v>7</v>
      </c>
      <c r="B1" s="1456"/>
      <c r="C1" s="1456"/>
      <c r="D1" s="1456"/>
      <c r="E1" s="1456"/>
      <c r="F1" s="1456"/>
      <c r="G1" s="1456"/>
      <c r="H1" s="1456"/>
      <c r="I1" s="1456"/>
      <c r="J1" s="1456"/>
      <c r="K1" s="1456"/>
      <c r="L1" s="1456"/>
      <c r="M1" s="1457"/>
    </row>
    <row r="2" spans="1:16" s="4" customFormat="1" ht="15.75" customHeight="1">
      <c r="A2" s="1458"/>
      <c r="B2" s="1459"/>
      <c r="C2" s="1460"/>
      <c r="D2" s="1461"/>
      <c r="E2" s="1462"/>
      <c r="F2" s="1462"/>
      <c r="G2" s="1462"/>
      <c r="H2" s="1462"/>
      <c r="I2" s="1462"/>
      <c r="J2" s="1462"/>
      <c r="K2" s="1463"/>
      <c r="L2" s="1463"/>
      <c r="M2" s="1464"/>
    </row>
    <row r="3" spans="1:16" s="5" customFormat="1" ht="14.25" customHeight="1">
      <c r="A3" s="1465"/>
      <c r="B3" s="1466"/>
      <c r="C3" s="1466"/>
      <c r="D3" s="1466"/>
      <c r="E3" s="1466"/>
      <c r="F3" s="1467"/>
      <c r="G3" s="1468"/>
      <c r="H3" s="1468"/>
      <c r="I3" s="1466"/>
      <c r="J3" s="1466"/>
      <c r="K3" s="1466"/>
      <c r="L3" s="1466"/>
      <c r="M3" s="1469"/>
    </row>
    <row r="4" spans="1:16" s="12" customFormat="1" ht="28.5" customHeight="1">
      <c r="A4" s="1470" t="s">
        <v>267</v>
      </c>
      <c r="B4" s="1471"/>
      <c r="C4" s="1442" t="s">
        <v>1421</v>
      </c>
      <c r="D4" s="1442"/>
      <c r="E4" s="1442"/>
      <c r="F4" s="1442"/>
      <c r="G4" s="1442"/>
      <c r="H4" s="1442"/>
      <c r="I4" s="1442"/>
      <c r="J4" s="1442"/>
      <c r="K4" s="1442"/>
      <c r="L4" s="1442"/>
      <c r="M4" s="1472"/>
    </row>
    <row r="5" spans="1:16" s="12" customFormat="1" ht="62.25" customHeight="1">
      <c r="A5" s="383" t="s">
        <v>268</v>
      </c>
      <c r="B5" s="384"/>
      <c r="C5" s="384" t="s">
        <v>269</v>
      </c>
      <c r="D5" s="1442"/>
      <c r="E5" s="1442"/>
      <c r="F5" s="1442"/>
      <c r="G5" s="384" t="s">
        <v>270</v>
      </c>
      <c r="H5" s="1473"/>
      <c r="I5" s="1473"/>
      <c r="J5" s="384" t="s">
        <v>271</v>
      </c>
      <c r="K5" s="1442"/>
      <c r="L5" s="1442"/>
      <c r="M5" s="1472"/>
    </row>
    <row r="6" spans="1:16" s="13" customFormat="1" ht="38.25" customHeight="1">
      <c r="A6" s="385" t="s">
        <v>272</v>
      </c>
      <c r="B6" s="1441" t="s">
        <v>1256</v>
      </c>
      <c r="C6" s="1441"/>
      <c r="D6" s="1441"/>
      <c r="E6" s="1441"/>
      <c r="F6" s="1441"/>
      <c r="G6" s="1442" t="s">
        <v>273</v>
      </c>
      <c r="H6" s="1442"/>
      <c r="I6" s="1441" t="s">
        <v>1257</v>
      </c>
      <c r="J6" s="1441"/>
      <c r="K6" s="1441"/>
      <c r="L6" s="1441"/>
      <c r="M6" s="1443"/>
    </row>
    <row r="7" spans="1:16" s="13" customFormat="1" ht="337.5" hidden="1" customHeight="1">
      <c r="A7" s="1448" t="s">
        <v>1420</v>
      </c>
      <c r="B7" s="1449"/>
      <c r="C7" s="1449"/>
      <c r="D7" s="1449"/>
      <c r="E7" s="1449"/>
      <c r="F7" s="1449"/>
      <c r="G7" s="1449"/>
      <c r="H7" s="1449"/>
      <c r="I7" s="1449"/>
      <c r="J7" s="1449"/>
      <c r="K7" s="1449"/>
      <c r="L7" s="1449"/>
      <c r="M7" s="1450"/>
    </row>
    <row r="8" spans="1:16" s="13" customFormat="1" ht="24.75" customHeight="1">
      <c r="A8" s="1451"/>
      <c r="B8" s="1452"/>
      <c r="C8" s="1452"/>
      <c r="D8" s="1452"/>
      <c r="E8" s="1452"/>
      <c r="F8" s="1452"/>
      <c r="G8" s="1452"/>
      <c r="H8" s="1452"/>
      <c r="I8" s="1452"/>
      <c r="J8" s="1452"/>
      <c r="K8" s="1452"/>
      <c r="L8" s="1452"/>
      <c r="M8" s="1453"/>
      <c r="O8" s="12" t="s">
        <v>1430</v>
      </c>
    </row>
    <row r="9" spans="1:16" s="13" customFormat="1" ht="25.5" customHeight="1">
      <c r="A9" s="386"/>
      <c r="B9" s="387"/>
      <c r="C9" s="387"/>
      <c r="D9" s="387"/>
      <c r="E9" s="387"/>
      <c r="F9" s="387"/>
      <c r="G9" s="387"/>
      <c r="H9" s="387"/>
      <c r="I9" s="387"/>
      <c r="J9" s="387"/>
      <c r="K9" s="1446" t="s">
        <v>274</v>
      </c>
      <c r="L9" s="1446"/>
      <c r="M9" s="1447"/>
      <c r="O9" s="1320">
        <v>0.95469700000000002</v>
      </c>
      <c r="P9" s="14">
        <f>'예산내역서 (총괄)'!F22</f>
        <v>747000000</v>
      </c>
    </row>
    <row r="10" spans="1:16" s="13" customFormat="1" ht="27.75" customHeight="1">
      <c r="A10" s="1427" t="s">
        <v>275</v>
      </c>
      <c r="B10" s="1428"/>
      <c r="C10" s="1428"/>
      <c r="D10" s="1428"/>
      <c r="E10" s="1428"/>
      <c r="F10" s="388" t="s">
        <v>276</v>
      </c>
      <c r="G10" s="1428" t="s">
        <v>277</v>
      </c>
      <c r="H10" s="1428"/>
      <c r="I10" s="388" t="s">
        <v>278</v>
      </c>
      <c r="J10" s="1428" t="s">
        <v>279</v>
      </c>
      <c r="K10" s="1428"/>
      <c r="L10" s="1430" t="s">
        <v>280</v>
      </c>
      <c r="M10" s="1454"/>
    </row>
    <row r="11" spans="1:16" s="13" customFormat="1" ht="27.75" customHeight="1">
      <c r="A11" s="1432" t="s">
        <v>506</v>
      </c>
      <c r="B11" s="1444"/>
      <c r="C11" s="1444"/>
      <c r="D11" s="1444"/>
      <c r="E11" s="1445"/>
      <c r="F11" s="514"/>
      <c r="G11" s="1435"/>
      <c r="H11" s="1431"/>
      <c r="I11" s="514"/>
      <c r="J11" s="1435"/>
      <c r="K11" s="1431"/>
      <c r="L11" s="517"/>
      <c r="M11" s="518"/>
      <c r="O11" s="12"/>
    </row>
    <row r="12" spans="1:16" s="13" customFormat="1" ht="27.75" customHeight="1">
      <c r="A12" s="1425" t="s">
        <v>507</v>
      </c>
      <c r="B12" s="1426"/>
      <c r="C12" s="1426"/>
      <c r="D12" s="1426"/>
      <c r="E12" s="1426"/>
      <c r="F12" s="389"/>
      <c r="G12" s="1428">
        <v>1</v>
      </c>
      <c r="H12" s="1428"/>
      <c r="I12" s="388" t="s">
        <v>281</v>
      </c>
      <c r="J12" s="1437">
        <f>'1.기본계획'!F35</f>
        <v>110310909.95300543</v>
      </c>
      <c r="K12" s="1437"/>
      <c r="L12" s="1439"/>
      <c r="M12" s="1440"/>
      <c r="O12" s="1319">
        <f>+J30/J29</f>
        <v>1.0000000004855711</v>
      </c>
      <c r="P12" s="1318">
        <f>+'1.기본계획'!F35</f>
        <v>110310909.95300543</v>
      </c>
    </row>
    <row r="13" spans="1:16" s="13" customFormat="1" ht="27.75" customHeight="1">
      <c r="A13" s="1438" t="s">
        <v>508</v>
      </c>
      <c r="B13" s="1426"/>
      <c r="C13" s="1426"/>
      <c r="D13" s="1426"/>
      <c r="E13" s="1426"/>
      <c r="F13" s="389"/>
      <c r="G13" s="1428">
        <v>1</v>
      </c>
      <c r="H13" s="1428"/>
      <c r="I13" s="388" t="s">
        <v>281</v>
      </c>
      <c r="J13" s="1437">
        <f>'2.조경기본계획'!F18</f>
        <v>12650000</v>
      </c>
      <c r="K13" s="1437"/>
      <c r="L13" s="1439"/>
      <c r="M13" s="1440"/>
      <c r="P13" s="1318">
        <f>+'2.조경기본계획'!F18</f>
        <v>12650000</v>
      </c>
    </row>
    <row r="14" spans="1:16" s="13" customFormat="1" ht="27.75" customHeight="1">
      <c r="A14" s="1438" t="s">
        <v>509</v>
      </c>
      <c r="B14" s="1426"/>
      <c r="C14" s="1426"/>
      <c r="D14" s="1426"/>
      <c r="E14" s="1426"/>
      <c r="F14" s="389"/>
      <c r="G14" s="1428">
        <v>1</v>
      </c>
      <c r="H14" s="1428"/>
      <c r="I14" s="388" t="s">
        <v>281</v>
      </c>
      <c r="J14" s="1437">
        <f>'3.농지전용'!E15</f>
        <v>2861818.0800000005</v>
      </c>
      <c r="K14" s="1437"/>
      <c r="L14" s="1439"/>
      <c r="M14" s="1440"/>
      <c r="P14" s="1318">
        <f>+'3.농지전용'!E15</f>
        <v>2861818.0800000005</v>
      </c>
    </row>
    <row r="15" spans="1:16" s="13" customFormat="1" ht="27.75" customHeight="1">
      <c r="A15" s="1438" t="s">
        <v>510</v>
      </c>
      <c r="B15" s="1426"/>
      <c r="C15" s="1426"/>
      <c r="D15" s="1426"/>
      <c r="E15" s="1426"/>
      <c r="F15" s="389"/>
      <c r="G15" s="1428">
        <v>1</v>
      </c>
      <c r="H15" s="1428"/>
      <c r="I15" s="388" t="s">
        <v>281</v>
      </c>
      <c r="J15" s="1437">
        <f>'4.산지전용'!F10</f>
        <v>982726.93871671846</v>
      </c>
      <c r="K15" s="1437"/>
      <c r="L15" s="1439"/>
      <c r="M15" s="1440"/>
      <c r="P15" s="1318">
        <f>+'4.산지전용'!F10</f>
        <v>982726.93871671846</v>
      </c>
    </row>
    <row r="16" spans="1:16" s="13" customFormat="1" ht="27.75" customHeight="1">
      <c r="A16" s="1425" t="s">
        <v>1423</v>
      </c>
      <c r="B16" s="1426"/>
      <c r="C16" s="1426"/>
      <c r="D16" s="1426"/>
      <c r="E16" s="1426"/>
      <c r="F16" s="389"/>
      <c r="G16" s="1428">
        <v>1</v>
      </c>
      <c r="H16" s="1428"/>
      <c r="I16" s="388" t="s">
        <v>282</v>
      </c>
      <c r="J16" s="1437">
        <f>'5.지구단위계획'!F21</f>
        <v>26027272.785675</v>
      </c>
      <c r="K16" s="1437"/>
      <c r="L16" s="1439"/>
      <c r="M16" s="1440"/>
      <c r="P16" s="1318">
        <f>+'5.지구단위계획'!F21</f>
        <v>26027272.785675</v>
      </c>
    </row>
    <row r="17" spans="1:19" s="13" customFormat="1" ht="27.75" customHeight="1">
      <c r="A17" s="1438" t="s">
        <v>1424</v>
      </c>
      <c r="B17" s="1426"/>
      <c r="C17" s="1426"/>
      <c r="D17" s="1426"/>
      <c r="E17" s="1426"/>
      <c r="F17" s="397"/>
      <c r="G17" s="1428">
        <v>1</v>
      </c>
      <c r="H17" s="1428"/>
      <c r="I17" s="398" t="s">
        <v>6</v>
      </c>
      <c r="J17" s="1437">
        <f>'6.(기본및실시)예산내역서'!H20</f>
        <v>354995454.13707495</v>
      </c>
      <c r="K17" s="1437"/>
      <c r="L17" s="1439"/>
      <c r="M17" s="1440"/>
      <c r="P17" s="1318">
        <f>+J17*$O$12</f>
        <v>354995454.30945051</v>
      </c>
    </row>
    <row r="18" spans="1:19" s="13" customFormat="1" ht="27.75" customHeight="1">
      <c r="A18" s="1438" t="s">
        <v>1425</v>
      </c>
      <c r="B18" s="1426"/>
      <c r="C18" s="1426"/>
      <c r="D18" s="1426"/>
      <c r="E18" s="1426"/>
      <c r="F18" s="507"/>
      <c r="G18" s="1428">
        <v>1</v>
      </c>
      <c r="H18" s="1428"/>
      <c r="I18" s="508" t="s">
        <v>6</v>
      </c>
      <c r="J18" s="1437">
        <f>'7.수요 및 사업타당성조사용역'!F18</f>
        <v>69702726.866690084</v>
      </c>
      <c r="K18" s="1437"/>
      <c r="L18" s="509"/>
      <c r="M18" s="510"/>
      <c r="P18" s="1318">
        <f>+J18*$O$12</f>
        <v>69702726.900535718</v>
      </c>
    </row>
    <row r="19" spans="1:19" s="13" customFormat="1" ht="27.75" customHeight="1">
      <c r="A19" s="1427" t="s">
        <v>512</v>
      </c>
      <c r="B19" s="1428"/>
      <c r="C19" s="1428"/>
      <c r="D19" s="1428"/>
      <c r="E19" s="1428"/>
      <c r="F19" s="389"/>
      <c r="G19" s="1426"/>
      <c r="H19" s="1426"/>
      <c r="I19" s="388"/>
      <c r="J19" s="1437">
        <f>SUM(J12:K18)</f>
        <v>577530908.76116216</v>
      </c>
      <c r="K19" s="1437"/>
      <c r="L19" s="1439"/>
      <c r="M19" s="1440"/>
      <c r="O19" s="14"/>
      <c r="P19" s="1437">
        <f>SUM(P12:Q18)</f>
        <v>577530908.96738338</v>
      </c>
      <c r="Q19" s="1437"/>
      <c r="S19" s="14"/>
    </row>
    <row r="20" spans="1:19" s="13" customFormat="1" ht="27.75" customHeight="1">
      <c r="A20" s="1425" t="s">
        <v>511</v>
      </c>
      <c r="B20" s="1426"/>
      <c r="C20" s="1426"/>
      <c r="D20" s="1426"/>
      <c r="E20" s="1426"/>
      <c r="F20" s="389"/>
      <c r="G20" s="1428"/>
      <c r="H20" s="1428"/>
      <c r="I20" s="388"/>
      <c r="J20" s="1437">
        <f>J19*0.1</f>
        <v>57753090.876116216</v>
      </c>
      <c r="K20" s="1437"/>
      <c r="L20" s="1439"/>
      <c r="M20" s="1440"/>
      <c r="P20" s="1437">
        <f>P19*0.1</f>
        <v>57753090.896738343</v>
      </c>
      <c r="Q20" s="1437"/>
    </row>
    <row r="21" spans="1:19" s="13" customFormat="1" ht="27.75" customHeight="1">
      <c r="A21" s="1427" t="s">
        <v>514</v>
      </c>
      <c r="B21" s="1428"/>
      <c r="C21" s="1428"/>
      <c r="D21" s="1428"/>
      <c r="E21" s="1428"/>
      <c r="F21" s="513"/>
      <c r="G21" s="1426"/>
      <c r="H21" s="1426"/>
      <c r="I21" s="514"/>
      <c r="J21" s="1436">
        <f>J19+J20</f>
        <v>635283999.63727832</v>
      </c>
      <c r="K21" s="1431"/>
      <c r="L21" s="515"/>
      <c r="M21" s="516"/>
      <c r="P21" s="1436">
        <f>P19+P20</f>
        <v>635283999.86412168</v>
      </c>
      <c r="Q21" s="1431"/>
    </row>
    <row r="22" spans="1:19" s="13" customFormat="1" ht="27.75" customHeight="1">
      <c r="A22" s="1429"/>
      <c r="B22" s="1430"/>
      <c r="C22" s="1430"/>
      <c r="D22" s="1430"/>
      <c r="E22" s="1431"/>
      <c r="F22" s="513"/>
      <c r="G22" s="1426"/>
      <c r="H22" s="1426"/>
      <c r="I22" s="514"/>
      <c r="J22" s="1435"/>
      <c r="K22" s="1431"/>
      <c r="L22" s="515"/>
      <c r="M22" s="516"/>
      <c r="P22" s="14">
        <f>+P19-P18</f>
        <v>507828182.06684768</v>
      </c>
    </row>
    <row r="23" spans="1:19" s="13" customFormat="1" ht="27.75" customHeight="1">
      <c r="A23" s="1432" t="s">
        <v>513</v>
      </c>
      <c r="B23" s="1433"/>
      <c r="C23" s="1433"/>
      <c r="D23" s="1433"/>
      <c r="E23" s="1434"/>
      <c r="F23" s="513"/>
      <c r="G23" s="1426"/>
      <c r="H23" s="1426"/>
      <c r="I23" s="514"/>
      <c r="J23" s="1435"/>
      <c r="K23" s="1431"/>
      <c r="L23" s="515"/>
      <c r="M23" s="516"/>
    </row>
    <row r="24" spans="1:19" s="519" customFormat="1" ht="27.75" customHeight="1">
      <c r="A24" s="1425" t="s">
        <v>515</v>
      </c>
      <c r="B24" s="1426"/>
      <c r="C24" s="1426"/>
      <c r="D24" s="1426"/>
      <c r="E24" s="1426"/>
      <c r="F24" s="521"/>
      <c r="G24" s="1428">
        <v>1</v>
      </c>
      <c r="H24" s="1428"/>
      <c r="I24" s="520" t="s">
        <v>6</v>
      </c>
      <c r="J24" s="1437">
        <f>'8.관리용역비'!F7</f>
        <v>101560000</v>
      </c>
      <c r="K24" s="1437"/>
      <c r="L24" s="522"/>
      <c r="M24" s="523"/>
      <c r="P24" s="1437">
        <f>200000000-(1000000000-P22)*0.2</f>
        <v>101565636.41336954</v>
      </c>
      <c r="Q24" s="1437"/>
    </row>
    <row r="25" spans="1:19" s="519" customFormat="1" ht="27.75" customHeight="1">
      <c r="A25" s="1427" t="s">
        <v>559</v>
      </c>
      <c r="B25" s="1428"/>
      <c r="C25" s="1428"/>
      <c r="D25" s="1428"/>
      <c r="E25" s="1428"/>
      <c r="F25" s="521"/>
      <c r="G25" s="1426"/>
      <c r="H25" s="1426"/>
      <c r="I25" s="520"/>
      <c r="J25" s="1436">
        <f>J24</f>
        <v>101560000</v>
      </c>
      <c r="K25" s="1431"/>
      <c r="L25" s="522"/>
      <c r="M25" s="523"/>
      <c r="P25" s="1436">
        <f>P24</f>
        <v>101565636.41336954</v>
      </c>
      <c r="Q25" s="1431"/>
    </row>
    <row r="26" spans="1:19" s="13" customFormat="1" ht="27.75" customHeight="1">
      <c r="A26" s="1425" t="s">
        <v>516</v>
      </c>
      <c r="B26" s="1426"/>
      <c r="C26" s="1426"/>
      <c r="D26" s="1426"/>
      <c r="E26" s="1426"/>
      <c r="F26" s="513"/>
      <c r="G26" s="1426"/>
      <c r="H26" s="1426"/>
      <c r="I26" s="514"/>
      <c r="J26" s="1436">
        <f>J25*0.1</f>
        <v>10156000</v>
      </c>
      <c r="K26" s="1431"/>
      <c r="L26" s="515"/>
      <c r="M26" s="516"/>
      <c r="P26" s="1436">
        <f>P25*0.1</f>
        <v>10156563.641336955</v>
      </c>
      <c r="Q26" s="1431"/>
    </row>
    <row r="27" spans="1:19" s="13" customFormat="1" ht="27.75" customHeight="1">
      <c r="A27" s="1427" t="s">
        <v>560</v>
      </c>
      <c r="B27" s="1428"/>
      <c r="C27" s="1428"/>
      <c r="D27" s="1428"/>
      <c r="E27" s="1428"/>
      <c r="F27" s="513"/>
      <c r="G27" s="1426"/>
      <c r="H27" s="1426"/>
      <c r="I27" s="514"/>
      <c r="J27" s="1436">
        <f>J26+J25</f>
        <v>111716000</v>
      </c>
      <c r="K27" s="1431"/>
      <c r="L27" s="515"/>
      <c r="M27" s="516"/>
      <c r="P27" s="1436">
        <f>P26+P25</f>
        <v>111722200.05470648</v>
      </c>
      <c r="Q27" s="1431"/>
    </row>
    <row r="28" spans="1:19" s="13" customFormat="1" ht="27.75" customHeight="1">
      <c r="A28" s="1429"/>
      <c r="B28" s="1430"/>
      <c r="C28" s="1430"/>
      <c r="D28" s="1430"/>
      <c r="E28" s="1431"/>
      <c r="F28" s="513"/>
      <c r="G28" s="1426"/>
      <c r="H28" s="1426"/>
      <c r="I28" s="514"/>
      <c r="J28" s="1435"/>
      <c r="K28" s="1431"/>
      <c r="L28" s="515"/>
      <c r="M28" s="516"/>
    </row>
    <row r="29" spans="1:19" s="13" customFormat="1" ht="27.75" customHeight="1">
      <c r="A29" s="1475" t="s">
        <v>283</v>
      </c>
      <c r="B29" s="1476"/>
      <c r="C29" s="1476"/>
      <c r="D29" s="1476"/>
      <c r="E29" s="1476"/>
      <c r="F29" s="390"/>
      <c r="G29" s="1477"/>
      <c r="H29" s="1477"/>
      <c r="I29" s="391"/>
      <c r="J29" s="1478">
        <f>J21+J27</f>
        <v>746999999.63727832</v>
      </c>
      <c r="K29" s="1478"/>
      <c r="L29" s="1479"/>
      <c r="M29" s="1480"/>
      <c r="P29" s="1478">
        <f>P21+P27</f>
        <v>747006199.91882813</v>
      </c>
      <c r="Q29" s="1478"/>
    </row>
    <row r="30" spans="1:19">
      <c r="J30" s="1474">
        <v>747000000</v>
      </c>
      <c r="K30" s="1474"/>
      <c r="L30" s="1474"/>
    </row>
    <row r="31" spans="1:19">
      <c r="K31" s="1317">
        <f>+J30-J29</f>
        <v>0.36272168159484863</v>
      </c>
    </row>
  </sheetData>
  <mergeCells count="91">
    <mergeCell ref="P26:Q26"/>
    <mergeCell ref="P27:Q27"/>
    <mergeCell ref="P29:Q29"/>
    <mergeCell ref="P19:Q19"/>
    <mergeCell ref="P20:Q20"/>
    <mergeCell ref="P21:Q21"/>
    <mergeCell ref="P24:Q24"/>
    <mergeCell ref="P25:Q25"/>
    <mergeCell ref="J30:L30"/>
    <mergeCell ref="A29:E29"/>
    <mergeCell ref="G29:H29"/>
    <mergeCell ref="J29:K29"/>
    <mergeCell ref="A19:E19"/>
    <mergeCell ref="G19:H19"/>
    <mergeCell ref="J19:K19"/>
    <mergeCell ref="L19:M19"/>
    <mergeCell ref="A20:E20"/>
    <mergeCell ref="G20:H20"/>
    <mergeCell ref="J20:K20"/>
    <mergeCell ref="L20:M20"/>
    <mergeCell ref="L29:M29"/>
    <mergeCell ref="A21:E21"/>
    <mergeCell ref="A22:E22"/>
    <mergeCell ref="J21:K21"/>
    <mergeCell ref="A1:M3"/>
    <mergeCell ref="A4:B4"/>
    <mergeCell ref="C4:H4"/>
    <mergeCell ref="I4:M4"/>
    <mergeCell ref="D5:F5"/>
    <mergeCell ref="H5:I5"/>
    <mergeCell ref="K5:M5"/>
    <mergeCell ref="L12:M12"/>
    <mergeCell ref="G6:H6"/>
    <mergeCell ref="I6:M6"/>
    <mergeCell ref="A11:E11"/>
    <mergeCell ref="G11:H11"/>
    <mergeCell ref="J11:K11"/>
    <mergeCell ref="K9:M9"/>
    <mergeCell ref="A10:E10"/>
    <mergeCell ref="G10:H10"/>
    <mergeCell ref="J10:K10"/>
    <mergeCell ref="A7:M8"/>
    <mergeCell ref="L10:M10"/>
    <mergeCell ref="A16:E16"/>
    <mergeCell ref="G16:H16"/>
    <mergeCell ref="J16:K16"/>
    <mergeCell ref="B6:F6"/>
    <mergeCell ref="A12:E12"/>
    <mergeCell ref="G12:H12"/>
    <mergeCell ref="J12:K12"/>
    <mergeCell ref="G13:H13"/>
    <mergeCell ref="J13:K13"/>
    <mergeCell ref="A14:E14"/>
    <mergeCell ref="A15:E15"/>
    <mergeCell ref="G14:H14"/>
    <mergeCell ref="G15:H15"/>
    <mergeCell ref="J14:K14"/>
    <mergeCell ref="J15:K15"/>
    <mergeCell ref="A13:E13"/>
    <mergeCell ref="L13:M13"/>
    <mergeCell ref="L14:M14"/>
    <mergeCell ref="L15:M15"/>
    <mergeCell ref="L16:M16"/>
    <mergeCell ref="L17:M17"/>
    <mergeCell ref="A18:E18"/>
    <mergeCell ref="G18:H18"/>
    <mergeCell ref="J18:K18"/>
    <mergeCell ref="A17:E17"/>
    <mergeCell ref="G17:H17"/>
    <mergeCell ref="J17:K17"/>
    <mergeCell ref="A23:E23"/>
    <mergeCell ref="J28:K28"/>
    <mergeCell ref="G21:H21"/>
    <mergeCell ref="G22:H22"/>
    <mergeCell ref="G24:H24"/>
    <mergeCell ref="G23:H23"/>
    <mergeCell ref="G26:H26"/>
    <mergeCell ref="G27:H27"/>
    <mergeCell ref="G28:H28"/>
    <mergeCell ref="G25:H25"/>
    <mergeCell ref="J25:K25"/>
    <mergeCell ref="J22:K22"/>
    <mergeCell ref="J24:K24"/>
    <mergeCell ref="J23:K23"/>
    <mergeCell ref="J26:K26"/>
    <mergeCell ref="J27:K27"/>
    <mergeCell ref="A24:E24"/>
    <mergeCell ref="A25:E25"/>
    <mergeCell ref="A26:E26"/>
    <mergeCell ref="A27:E27"/>
    <mergeCell ref="A28:E28"/>
  </mergeCells>
  <phoneticPr fontId="2" type="noConversion"/>
  <printOptions horizontalCentered="1"/>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2"/>
  <sheetViews>
    <sheetView view="pageBreakPreview" zoomScale="85" zoomScaleNormal="70" zoomScaleSheetLayoutView="85" workbookViewId="0">
      <pane xSplit="1" ySplit="4" topLeftCell="B20" activePane="bottomRight" state="frozen"/>
      <selection activeCell="I8" sqref="I8:K8"/>
      <selection pane="topRight" activeCell="I8" sqref="I8:K8"/>
      <selection pane="bottomLeft" activeCell="I8" sqref="I8:K8"/>
      <selection pane="bottomRight" activeCell="F35" sqref="F35"/>
    </sheetView>
  </sheetViews>
  <sheetFormatPr defaultRowHeight="23.1" customHeight="1"/>
  <cols>
    <col min="1" max="1" width="29.75" style="574" customWidth="1"/>
    <col min="2" max="2" width="7.875" style="575" customWidth="1"/>
    <col min="3" max="4" width="7.875" style="574" customWidth="1"/>
    <col min="5" max="5" width="9" style="574" customWidth="1"/>
    <col min="6" max="8" width="12.5" style="574" customWidth="1"/>
    <col min="9" max="9" width="11.875" style="574" customWidth="1"/>
    <col min="10" max="12" width="12.5" style="574" customWidth="1"/>
    <col min="13" max="13" width="10.875" style="574" customWidth="1"/>
    <col min="14" max="256" width="9" style="574"/>
    <col min="257" max="257" width="45.875" style="574" customWidth="1"/>
    <col min="258" max="258" width="9.875" style="574" customWidth="1"/>
    <col min="259" max="259" width="12.125" style="574" customWidth="1"/>
    <col min="260" max="260" width="9.875" style="574" customWidth="1"/>
    <col min="261" max="261" width="8.75" style="574" customWidth="1"/>
    <col min="262" max="262" width="18.875" style="574" customWidth="1"/>
    <col min="263" max="263" width="9.875" style="574" customWidth="1"/>
    <col min="264" max="264" width="16.625" style="574" customWidth="1"/>
    <col min="265" max="265" width="8.75" style="574" customWidth="1"/>
    <col min="266" max="266" width="9.875" style="574" customWidth="1"/>
    <col min="267" max="267" width="8.75" style="574" customWidth="1"/>
    <col min="268" max="268" width="16.625" style="574" customWidth="1"/>
    <col min="269" max="269" width="14.375" style="574" customWidth="1"/>
    <col min="270" max="512" width="9" style="574"/>
    <col min="513" max="513" width="45.875" style="574" customWidth="1"/>
    <col min="514" max="514" width="9.875" style="574" customWidth="1"/>
    <col min="515" max="515" width="12.125" style="574" customWidth="1"/>
    <col min="516" max="516" width="9.875" style="574" customWidth="1"/>
    <col min="517" max="517" width="8.75" style="574" customWidth="1"/>
    <col min="518" max="518" width="18.875" style="574" customWidth="1"/>
    <col min="519" max="519" width="9.875" style="574" customWidth="1"/>
    <col min="520" max="520" width="16.625" style="574" customWidth="1"/>
    <col min="521" max="521" width="8.75" style="574" customWidth="1"/>
    <col min="522" max="522" width="9.875" style="574" customWidth="1"/>
    <col min="523" max="523" width="8.75" style="574" customWidth="1"/>
    <col min="524" max="524" width="16.625" style="574" customWidth="1"/>
    <col min="525" max="525" width="14.375" style="574" customWidth="1"/>
    <col min="526" max="768" width="9" style="574"/>
    <col min="769" max="769" width="45.875" style="574" customWidth="1"/>
    <col min="770" max="770" width="9.875" style="574" customWidth="1"/>
    <col min="771" max="771" width="12.125" style="574" customWidth="1"/>
    <col min="772" max="772" width="9.875" style="574" customWidth="1"/>
    <col min="773" max="773" width="8.75" style="574" customWidth="1"/>
    <col min="774" max="774" width="18.875" style="574" customWidth="1"/>
    <col min="775" max="775" width="9.875" style="574" customWidth="1"/>
    <col min="776" max="776" width="16.625" style="574" customWidth="1"/>
    <col min="777" max="777" width="8.75" style="574" customWidth="1"/>
    <col min="778" max="778" width="9.875" style="574" customWidth="1"/>
    <col min="779" max="779" width="8.75" style="574" customWidth="1"/>
    <col min="780" max="780" width="16.625" style="574" customWidth="1"/>
    <col min="781" max="781" width="14.375" style="574" customWidth="1"/>
    <col min="782" max="1024" width="9" style="574"/>
    <col min="1025" max="1025" width="45.875" style="574" customWidth="1"/>
    <col min="1026" max="1026" width="9.875" style="574" customWidth="1"/>
    <col min="1027" max="1027" width="12.125" style="574" customWidth="1"/>
    <col min="1028" max="1028" width="9.875" style="574" customWidth="1"/>
    <col min="1029" max="1029" width="8.75" style="574" customWidth="1"/>
    <col min="1030" max="1030" width="18.875" style="574" customWidth="1"/>
    <col min="1031" max="1031" width="9.875" style="574" customWidth="1"/>
    <col min="1032" max="1032" width="16.625" style="574" customWidth="1"/>
    <col min="1033" max="1033" width="8.75" style="574" customWidth="1"/>
    <col min="1034" max="1034" width="9.875" style="574" customWidth="1"/>
    <col min="1035" max="1035" width="8.75" style="574" customWidth="1"/>
    <col min="1036" max="1036" width="16.625" style="574" customWidth="1"/>
    <col min="1037" max="1037" width="14.375" style="574" customWidth="1"/>
    <col min="1038" max="1280" width="9" style="574"/>
    <col min="1281" max="1281" width="45.875" style="574" customWidth="1"/>
    <col min="1282" max="1282" width="9.875" style="574" customWidth="1"/>
    <col min="1283" max="1283" width="12.125" style="574" customWidth="1"/>
    <col min="1284" max="1284" width="9.875" style="574" customWidth="1"/>
    <col min="1285" max="1285" width="8.75" style="574" customWidth="1"/>
    <col min="1286" max="1286" width="18.875" style="574" customWidth="1"/>
    <col min="1287" max="1287" width="9.875" style="574" customWidth="1"/>
    <col min="1288" max="1288" width="16.625" style="574" customWidth="1"/>
    <col min="1289" max="1289" width="8.75" style="574" customWidth="1"/>
    <col min="1290" max="1290" width="9.875" style="574" customWidth="1"/>
    <col min="1291" max="1291" width="8.75" style="574" customWidth="1"/>
    <col min="1292" max="1292" width="16.625" style="574" customWidth="1"/>
    <col min="1293" max="1293" width="14.375" style="574" customWidth="1"/>
    <col min="1294" max="1536" width="9" style="574"/>
    <col min="1537" max="1537" width="45.875" style="574" customWidth="1"/>
    <col min="1538" max="1538" width="9.875" style="574" customWidth="1"/>
    <col min="1539" max="1539" width="12.125" style="574" customWidth="1"/>
    <col min="1540" max="1540" width="9.875" style="574" customWidth="1"/>
    <col min="1541" max="1541" width="8.75" style="574" customWidth="1"/>
    <col min="1542" max="1542" width="18.875" style="574" customWidth="1"/>
    <col min="1543" max="1543" width="9.875" style="574" customWidth="1"/>
    <col min="1544" max="1544" width="16.625" style="574" customWidth="1"/>
    <col min="1545" max="1545" width="8.75" style="574" customWidth="1"/>
    <col min="1546" max="1546" width="9.875" style="574" customWidth="1"/>
    <col min="1547" max="1547" width="8.75" style="574" customWidth="1"/>
    <col min="1548" max="1548" width="16.625" style="574" customWidth="1"/>
    <col min="1549" max="1549" width="14.375" style="574" customWidth="1"/>
    <col min="1550" max="1792" width="9" style="574"/>
    <col min="1793" max="1793" width="45.875" style="574" customWidth="1"/>
    <col min="1794" max="1794" width="9.875" style="574" customWidth="1"/>
    <col min="1795" max="1795" width="12.125" style="574" customWidth="1"/>
    <col min="1796" max="1796" width="9.875" style="574" customWidth="1"/>
    <col min="1797" max="1797" width="8.75" style="574" customWidth="1"/>
    <col min="1798" max="1798" width="18.875" style="574" customWidth="1"/>
    <col min="1799" max="1799" width="9.875" style="574" customWidth="1"/>
    <col min="1800" max="1800" width="16.625" style="574" customWidth="1"/>
    <col min="1801" max="1801" width="8.75" style="574" customWidth="1"/>
    <col min="1802" max="1802" width="9.875" style="574" customWidth="1"/>
    <col min="1803" max="1803" width="8.75" style="574" customWidth="1"/>
    <col min="1804" max="1804" width="16.625" style="574" customWidth="1"/>
    <col min="1805" max="1805" width="14.375" style="574" customWidth="1"/>
    <col min="1806" max="2048" width="9" style="574"/>
    <col min="2049" max="2049" width="45.875" style="574" customWidth="1"/>
    <col min="2050" max="2050" width="9.875" style="574" customWidth="1"/>
    <col min="2051" max="2051" width="12.125" style="574" customWidth="1"/>
    <col min="2052" max="2052" width="9.875" style="574" customWidth="1"/>
    <col min="2053" max="2053" width="8.75" style="574" customWidth="1"/>
    <col min="2054" max="2054" width="18.875" style="574" customWidth="1"/>
    <col min="2055" max="2055" width="9.875" style="574" customWidth="1"/>
    <col min="2056" max="2056" width="16.625" style="574" customWidth="1"/>
    <col min="2057" max="2057" width="8.75" style="574" customWidth="1"/>
    <col min="2058" max="2058" width="9.875" style="574" customWidth="1"/>
    <col min="2059" max="2059" width="8.75" style="574" customWidth="1"/>
    <col min="2060" max="2060" width="16.625" style="574" customWidth="1"/>
    <col min="2061" max="2061" width="14.375" style="574" customWidth="1"/>
    <col min="2062" max="2304" width="9" style="574"/>
    <col min="2305" max="2305" width="45.875" style="574" customWidth="1"/>
    <col min="2306" max="2306" width="9.875" style="574" customWidth="1"/>
    <col min="2307" max="2307" width="12.125" style="574" customWidth="1"/>
    <col min="2308" max="2308" width="9.875" style="574" customWidth="1"/>
    <col min="2309" max="2309" width="8.75" style="574" customWidth="1"/>
    <col min="2310" max="2310" width="18.875" style="574" customWidth="1"/>
    <col min="2311" max="2311" width="9.875" style="574" customWidth="1"/>
    <col min="2312" max="2312" width="16.625" style="574" customWidth="1"/>
    <col min="2313" max="2313" width="8.75" style="574" customWidth="1"/>
    <col min="2314" max="2314" width="9.875" style="574" customWidth="1"/>
    <col min="2315" max="2315" width="8.75" style="574" customWidth="1"/>
    <col min="2316" max="2316" width="16.625" style="574" customWidth="1"/>
    <col min="2317" max="2317" width="14.375" style="574" customWidth="1"/>
    <col min="2318" max="2560" width="9" style="574"/>
    <col min="2561" max="2561" width="45.875" style="574" customWidth="1"/>
    <col min="2562" max="2562" width="9.875" style="574" customWidth="1"/>
    <col min="2563" max="2563" width="12.125" style="574" customWidth="1"/>
    <col min="2564" max="2564" width="9.875" style="574" customWidth="1"/>
    <col min="2565" max="2565" width="8.75" style="574" customWidth="1"/>
    <col min="2566" max="2566" width="18.875" style="574" customWidth="1"/>
    <col min="2567" max="2567" width="9.875" style="574" customWidth="1"/>
    <col min="2568" max="2568" width="16.625" style="574" customWidth="1"/>
    <col min="2569" max="2569" width="8.75" style="574" customWidth="1"/>
    <col min="2570" max="2570" width="9.875" style="574" customWidth="1"/>
    <col min="2571" max="2571" width="8.75" style="574" customWidth="1"/>
    <col min="2572" max="2572" width="16.625" style="574" customWidth="1"/>
    <col min="2573" max="2573" width="14.375" style="574" customWidth="1"/>
    <col min="2574" max="2816" width="9" style="574"/>
    <col min="2817" max="2817" width="45.875" style="574" customWidth="1"/>
    <col min="2818" max="2818" width="9.875" style="574" customWidth="1"/>
    <col min="2819" max="2819" width="12.125" style="574" customWidth="1"/>
    <col min="2820" max="2820" width="9.875" style="574" customWidth="1"/>
    <col min="2821" max="2821" width="8.75" style="574" customWidth="1"/>
    <col min="2822" max="2822" width="18.875" style="574" customWidth="1"/>
    <col min="2823" max="2823" width="9.875" style="574" customWidth="1"/>
    <col min="2824" max="2824" width="16.625" style="574" customWidth="1"/>
    <col min="2825" max="2825" width="8.75" style="574" customWidth="1"/>
    <col min="2826" max="2826" width="9.875" style="574" customWidth="1"/>
    <col min="2827" max="2827" width="8.75" style="574" customWidth="1"/>
    <col min="2828" max="2828" width="16.625" style="574" customWidth="1"/>
    <col min="2829" max="2829" width="14.375" style="574" customWidth="1"/>
    <col min="2830" max="3072" width="9" style="574"/>
    <col min="3073" max="3073" width="45.875" style="574" customWidth="1"/>
    <col min="3074" max="3074" width="9.875" style="574" customWidth="1"/>
    <col min="3075" max="3075" width="12.125" style="574" customWidth="1"/>
    <col min="3076" max="3076" width="9.875" style="574" customWidth="1"/>
    <col min="3077" max="3077" width="8.75" style="574" customWidth="1"/>
    <col min="3078" max="3078" width="18.875" style="574" customWidth="1"/>
    <col min="3079" max="3079" width="9.875" style="574" customWidth="1"/>
    <col min="3080" max="3080" width="16.625" style="574" customWidth="1"/>
    <col min="3081" max="3081" width="8.75" style="574" customWidth="1"/>
    <col min="3082" max="3082" width="9.875" style="574" customWidth="1"/>
    <col min="3083" max="3083" width="8.75" style="574" customWidth="1"/>
    <col min="3084" max="3084" width="16.625" style="574" customWidth="1"/>
    <col min="3085" max="3085" width="14.375" style="574" customWidth="1"/>
    <col min="3086" max="3328" width="9" style="574"/>
    <col min="3329" max="3329" width="45.875" style="574" customWidth="1"/>
    <col min="3330" max="3330" width="9.875" style="574" customWidth="1"/>
    <col min="3331" max="3331" width="12.125" style="574" customWidth="1"/>
    <col min="3332" max="3332" width="9.875" style="574" customWidth="1"/>
    <col min="3333" max="3333" width="8.75" style="574" customWidth="1"/>
    <col min="3334" max="3334" width="18.875" style="574" customWidth="1"/>
    <col min="3335" max="3335" width="9.875" style="574" customWidth="1"/>
    <col min="3336" max="3336" width="16.625" style="574" customWidth="1"/>
    <col min="3337" max="3337" width="8.75" style="574" customWidth="1"/>
    <col min="3338" max="3338" width="9.875" style="574" customWidth="1"/>
    <col min="3339" max="3339" width="8.75" style="574" customWidth="1"/>
    <col min="3340" max="3340" width="16.625" style="574" customWidth="1"/>
    <col min="3341" max="3341" width="14.375" style="574" customWidth="1"/>
    <col min="3342" max="3584" width="9" style="574"/>
    <col min="3585" max="3585" width="45.875" style="574" customWidth="1"/>
    <col min="3586" max="3586" width="9.875" style="574" customWidth="1"/>
    <col min="3587" max="3587" width="12.125" style="574" customWidth="1"/>
    <col min="3588" max="3588" width="9.875" style="574" customWidth="1"/>
    <col min="3589" max="3589" width="8.75" style="574" customWidth="1"/>
    <col min="3590" max="3590" width="18.875" style="574" customWidth="1"/>
    <col min="3591" max="3591" width="9.875" style="574" customWidth="1"/>
    <col min="3592" max="3592" width="16.625" style="574" customWidth="1"/>
    <col min="3593" max="3593" width="8.75" style="574" customWidth="1"/>
    <col min="3594" max="3594" width="9.875" style="574" customWidth="1"/>
    <col min="3595" max="3595" width="8.75" style="574" customWidth="1"/>
    <col min="3596" max="3596" width="16.625" style="574" customWidth="1"/>
    <col min="3597" max="3597" width="14.375" style="574" customWidth="1"/>
    <col min="3598" max="3840" width="9" style="574"/>
    <col min="3841" max="3841" width="45.875" style="574" customWidth="1"/>
    <col min="3842" max="3842" width="9.875" style="574" customWidth="1"/>
    <col min="3843" max="3843" width="12.125" style="574" customWidth="1"/>
    <col min="3844" max="3844" width="9.875" style="574" customWidth="1"/>
    <col min="3845" max="3845" width="8.75" style="574" customWidth="1"/>
    <col min="3846" max="3846" width="18.875" style="574" customWidth="1"/>
    <col min="3847" max="3847" width="9.875" style="574" customWidth="1"/>
    <col min="3848" max="3848" width="16.625" style="574" customWidth="1"/>
    <col min="3849" max="3849" width="8.75" style="574" customWidth="1"/>
    <col min="3850" max="3850" width="9.875" style="574" customWidth="1"/>
    <col min="3851" max="3851" width="8.75" style="574" customWidth="1"/>
    <col min="3852" max="3852" width="16.625" style="574" customWidth="1"/>
    <col min="3853" max="3853" width="14.375" style="574" customWidth="1"/>
    <col min="3854" max="4096" width="9" style="574"/>
    <col min="4097" max="4097" width="45.875" style="574" customWidth="1"/>
    <col min="4098" max="4098" width="9.875" style="574" customWidth="1"/>
    <col min="4099" max="4099" width="12.125" style="574" customWidth="1"/>
    <col min="4100" max="4100" width="9.875" style="574" customWidth="1"/>
    <col min="4101" max="4101" width="8.75" style="574" customWidth="1"/>
    <col min="4102" max="4102" width="18.875" style="574" customWidth="1"/>
    <col min="4103" max="4103" width="9.875" style="574" customWidth="1"/>
    <col min="4104" max="4104" width="16.625" style="574" customWidth="1"/>
    <col min="4105" max="4105" width="8.75" style="574" customWidth="1"/>
    <col min="4106" max="4106" width="9.875" style="574" customWidth="1"/>
    <col min="4107" max="4107" width="8.75" style="574" customWidth="1"/>
    <col min="4108" max="4108" width="16.625" style="574" customWidth="1"/>
    <col min="4109" max="4109" width="14.375" style="574" customWidth="1"/>
    <col min="4110" max="4352" width="9" style="574"/>
    <col min="4353" max="4353" width="45.875" style="574" customWidth="1"/>
    <col min="4354" max="4354" width="9.875" style="574" customWidth="1"/>
    <col min="4355" max="4355" width="12.125" style="574" customWidth="1"/>
    <col min="4356" max="4356" width="9.875" style="574" customWidth="1"/>
    <col min="4357" max="4357" width="8.75" style="574" customWidth="1"/>
    <col min="4358" max="4358" width="18.875" style="574" customWidth="1"/>
    <col min="4359" max="4359" width="9.875" style="574" customWidth="1"/>
    <col min="4360" max="4360" width="16.625" style="574" customWidth="1"/>
    <col min="4361" max="4361" width="8.75" style="574" customWidth="1"/>
    <col min="4362" max="4362" width="9.875" style="574" customWidth="1"/>
    <col min="4363" max="4363" width="8.75" style="574" customWidth="1"/>
    <col min="4364" max="4364" width="16.625" style="574" customWidth="1"/>
    <col min="4365" max="4365" width="14.375" style="574" customWidth="1"/>
    <col min="4366" max="4608" width="9" style="574"/>
    <col min="4609" max="4609" width="45.875" style="574" customWidth="1"/>
    <col min="4610" max="4610" width="9.875" style="574" customWidth="1"/>
    <col min="4611" max="4611" width="12.125" style="574" customWidth="1"/>
    <col min="4612" max="4612" width="9.875" style="574" customWidth="1"/>
    <col min="4613" max="4613" width="8.75" style="574" customWidth="1"/>
    <col min="4614" max="4614" width="18.875" style="574" customWidth="1"/>
    <col min="4615" max="4615" width="9.875" style="574" customWidth="1"/>
    <col min="4616" max="4616" width="16.625" style="574" customWidth="1"/>
    <col min="4617" max="4617" width="8.75" style="574" customWidth="1"/>
    <col min="4618" max="4618" width="9.875" style="574" customWidth="1"/>
    <col min="4619" max="4619" width="8.75" style="574" customWidth="1"/>
    <col min="4620" max="4620" width="16.625" style="574" customWidth="1"/>
    <col min="4621" max="4621" width="14.375" style="574" customWidth="1"/>
    <col min="4622" max="4864" width="9" style="574"/>
    <col min="4865" max="4865" width="45.875" style="574" customWidth="1"/>
    <col min="4866" max="4866" width="9.875" style="574" customWidth="1"/>
    <col min="4867" max="4867" width="12.125" style="574" customWidth="1"/>
    <col min="4868" max="4868" width="9.875" style="574" customWidth="1"/>
    <col min="4869" max="4869" width="8.75" style="574" customWidth="1"/>
    <col min="4870" max="4870" width="18.875" style="574" customWidth="1"/>
    <col min="4871" max="4871" width="9.875" style="574" customWidth="1"/>
    <col min="4872" max="4872" width="16.625" style="574" customWidth="1"/>
    <col min="4873" max="4873" width="8.75" style="574" customWidth="1"/>
    <col min="4874" max="4874" width="9.875" style="574" customWidth="1"/>
    <col min="4875" max="4875" width="8.75" style="574" customWidth="1"/>
    <col min="4876" max="4876" width="16.625" style="574" customWidth="1"/>
    <col min="4877" max="4877" width="14.375" style="574" customWidth="1"/>
    <col min="4878" max="5120" width="9" style="574"/>
    <col min="5121" max="5121" width="45.875" style="574" customWidth="1"/>
    <col min="5122" max="5122" width="9.875" style="574" customWidth="1"/>
    <col min="5123" max="5123" width="12.125" style="574" customWidth="1"/>
    <col min="5124" max="5124" width="9.875" style="574" customWidth="1"/>
    <col min="5125" max="5125" width="8.75" style="574" customWidth="1"/>
    <col min="5126" max="5126" width="18.875" style="574" customWidth="1"/>
    <col min="5127" max="5127" width="9.875" style="574" customWidth="1"/>
    <col min="5128" max="5128" width="16.625" style="574" customWidth="1"/>
    <col min="5129" max="5129" width="8.75" style="574" customWidth="1"/>
    <col min="5130" max="5130" width="9.875" style="574" customWidth="1"/>
    <col min="5131" max="5131" width="8.75" style="574" customWidth="1"/>
    <col min="5132" max="5132" width="16.625" style="574" customWidth="1"/>
    <col min="5133" max="5133" width="14.375" style="574" customWidth="1"/>
    <col min="5134" max="5376" width="9" style="574"/>
    <col min="5377" max="5377" width="45.875" style="574" customWidth="1"/>
    <col min="5378" max="5378" width="9.875" style="574" customWidth="1"/>
    <col min="5379" max="5379" width="12.125" style="574" customWidth="1"/>
    <col min="5380" max="5380" width="9.875" style="574" customWidth="1"/>
    <col min="5381" max="5381" width="8.75" style="574" customWidth="1"/>
    <col min="5382" max="5382" width="18.875" style="574" customWidth="1"/>
    <col min="5383" max="5383" width="9.875" style="574" customWidth="1"/>
    <col min="5384" max="5384" width="16.625" style="574" customWidth="1"/>
    <col min="5385" max="5385" width="8.75" style="574" customWidth="1"/>
    <col min="5386" max="5386" width="9.875" style="574" customWidth="1"/>
    <col min="5387" max="5387" width="8.75" style="574" customWidth="1"/>
    <col min="5388" max="5388" width="16.625" style="574" customWidth="1"/>
    <col min="5389" max="5389" width="14.375" style="574" customWidth="1"/>
    <col min="5390" max="5632" width="9" style="574"/>
    <col min="5633" max="5633" width="45.875" style="574" customWidth="1"/>
    <col min="5634" max="5634" width="9.875" style="574" customWidth="1"/>
    <col min="5635" max="5635" width="12.125" style="574" customWidth="1"/>
    <col min="5636" max="5636" width="9.875" style="574" customWidth="1"/>
    <col min="5637" max="5637" width="8.75" style="574" customWidth="1"/>
    <col min="5638" max="5638" width="18.875" style="574" customWidth="1"/>
    <col min="5639" max="5639" width="9.875" style="574" customWidth="1"/>
    <col min="5640" max="5640" width="16.625" style="574" customWidth="1"/>
    <col min="5641" max="5641" width="8.75" style="574" customWidth="1"/>
    <col min="5642" max="5642" width="9.875" style="574" customWidth="1"/>
    <col min="5643" max="5643" width="8.75" style="574" customWidth="1"/>
    <col min="5644" max="5644" width="16.625" style="574" customWidth="1"/>
    <col min="5645" max="5645" width="14.375" style="574" customWidth="1"/>
    <col min="5646" max="5888" width="9" style="574"/>
    <col min="5889" max="5889" width="45.875" style="574" customWidth="1"/>
    <col min="5890" max="5890" width="9.875" style="574" customWidth="1"/>
    <col min="5891" max="5891" width="12.125" style="574" customWidth="1"/>
    <col min="5892" max="5892" width="9.875" style="574" customWidth="1"/>
    <col min="5893" max="5893" width="8.75" style="574" customWidth="1"/>
    <col min="5894" max="5894" width="18.875" style="574" customWidth="1"/>
    <col min="5895" max="5895" width="9.875" style="574" customWidth="1"/>
    <col min="5896" max="5896" width="16.625" style="574" customWidth="1"/>
    <col min="5897" max="5897" width="8.75" style="574" customWidth="1"/>
    <col min="5898" max="5898" width="9.875" style="574" customWidth="1"/>
    <col min="5899" max="5899" width="8.75" style="574" customWidth="1"/>
    <col min="5900" max="5900" width="16.625" style="574" customWidth="1"/>
    <col min="5901" max="5901" width="14.375" style="574" customWidth="1"/>
    <col min="5902" max="6144" width="9" style="574"/>
    <col min="6145" max="6145" width="45.875" style="574" customWidth="1"/>
    <col min="6146" max="6146" width="9.875" style="574" customWidth="1"/>
    <col min="6147" max="6147" width="12.125" style="574" customWidth="1"/>
    <col min="6148" max="6148" width="9.875" style="574" customWidth="1"/>
    <col min="6149" max="6149" width="8.75" style="574" customWidth="1"/>
    <col min="6150" max="6150" width="18.875" style="574" customWidth="1"/>
    <col min="6151" max="6151" width="9.875" style="574" customWidth="1"/>
    <col min="6152" max="6152" width="16.625" style="574" customWidth="1"/>
    <col min="6153" max="6153" width="8.75" style="574" customWidth="1"/>
    <col min="6154" max="6154" width="9.875" style="574" customWidth="1"/>
    <col min="6155" max="6155" width="8.75" style="574" customWidth="1"/>
    <col min="6156" max="6156" width="16.625" style="574" customWidth="1"/>
    <col min="6157" max="6157" width="14.375" style="574" customWidth="1"/>
    <col min="6158" max="6400" width="9" style="574"/>
    <col min="6401" max="6401" width="45.875" style="574" customWidth="1"/>
    <col min="6402" max="6402" width="9.875" style="574" customWidth="1"/>
    <col min="6403" max="6403" width="12.125" style="574" customWidth="1"/>
    <col min="6404" max="6404" width="9.875" style="574" customWidth="1"/>
    <col min="6405" max="6405" width="8.75" style="574" customWidth="1"/>
    <col min="6406" max="6406" width="18.875" style="574" customWidth="1"/>
    <col min="6407" max="6407" width="9.875" style="574" customWidth="1"/>
    <col min="6408" max="6408" width="16.625" style="574" customWidth="1"/>
    <col min="6409" max="6409" width="8.75" style="574" customWidth="1"/>
    <col min="6410" max="6410" width="9.875" style="574" customWidth="1"/>
    <col min="6411" max="6411" width="8.75" style="574" customWidth="1"/>
    <col min="6412" max="6412" width="16.625" style="574" customWidth="1"/>
    <col min="6413" max="6413" width="14.375" style="574" customWidth="1"/>
    <col min="6414" max="6656" width="9" style="574"/>
    <col min="6657" max="6657" width="45.875" style="574" customWidth="1"/>
    <col min="6658" max="6658" width="9.875" style="574" customWidth="1"/>
    <col min="6659" max="6659" width="12.125" style="574" customWidth="1"/>
    <col min="6660" max="6660" width="9.875" style="574" customWidth="1"/>
    <col min="6661" max="6661" width="8.75" style="574" customWidth="1"/>
    <col min="6662" max="6662" width="18.875" style="574" customWidth="1"/>
    <col min="6663" max="6663" width="9.875" style="574" customWidth="1"/>
    <col min="6664" max="6664" width="16.625" style="574" customWidth="1"/>
    <col min="6665" max="6665" width="8.75" style="574" customWidth="1"/>
    <col min="6666" max="6666" width="9.875" style="574" customWidth="1"/>
    <col min="6667" max="6667" width="8.75" style="574" customWidth="1"/>
    <col min="6668" max="6668" width="16.625" style="574" customWidth="1"/>
    <col min="6669" max="6669" width="14.375" style="574" customWidth="1"/>
    <col min="6670" max="6912" width="9" style="574"/>
    <col min="6913" max="6913" width="45.875" style="574" customWidth="1"/>
    <col min="6914" max="6914" width="9.875" style="574" customWidth="1"/>
    <col min="6915" max="6915" width="12.125" style="574" customWidth="1"/>
    <col min="6916" max="6916" width="9.875" style="574" customWidth="1"/>
    <col min="6917" max="6917" width="8.75" style="574" customWidth="1"/>
    <col min="6918" max="6918" width="18.875" style="574" customWidth="1"/>
    <col min="6919" max="6919" width="9.875" style="574" customWidth="1"/>
    <col min="6920" max="6920" width="16.625" style="574" customWidth="1"/>
    <col min="6921" max="6921" width="8.75" style="574" customWidth="1"/>
    <col min="6922" max="6922" width="9.875" style="574" customWidth="1"/>
    <col min="6923" max="6923" width="8.75" style="574" customWidth="1"/>
    <col min="6924" max="6924" width="16.625" style="574" customWidth="1"/>
    <col min="6925" max="6925" width="14.375" style="574" customWidth="1"/>
    <col min="6926" max="7168" width="9" style="574"/>
    <col min="7169" max="7169" width="45.875" style="574" customWidth="1"/>
    <col min="7170" max="7170" width="9.875" style="574" customWidth="1"/>
    <col min="7171" max="7171" width="12.125" style="574" customWidth="1"/>
    <col min="7172" max="7172" width="9.875" style="574" customWidth="1"/>
    <col min="7173" max="7173" width="8.75" style="574" customWidth="1"/>
    <col min="7174" max="7174" width="18.875" style="574" customWidth="1"/>
    <col min="7175" max="7175" width="9.875" style="574" customWidth="1"/>
    <col min="7176" max="7176" width="16.625" style="574" customWidth="1"/>
    <col min="7177" max="7177" width="8.75" style="574" customWidth="1"/>
    <col min="7178" max="7178" width="9.875" style="574" customWidth="1"/>
    <col min="7179" max="7179" width="8.75" style="574" customWidth="1"/>
    <col min="7180" max="7180" width="16.625" style="574" customWidth="1"/>
    <col min="7181" max="7181" width="14.375" style="574" customWidth="1"/>
    <col min="7182" max="7424" width="9" style="574"/>
    <col min="7425" max="7425" width="45.875" style="574" customWidth="1"/>
    <col min="7426" max="7426" width="9.875" style="574" customWidth="1"/>
    <col min="7427" max="7427" width="12.125" style="574" customWidth="1"/>
    <col min="7428" max="7428" width="9.875" style="574" customWidth="1"/>
    <col min="7429" max="7429" width="8.75" style="574" customWidth="1"/>
    <col min="7430" max="7430" width="18.875" style="574" customWidth="1"/>
    <col min="7431" max="7431" width="9.875" style="574" customWidth="1"/>
    <col min="7432" max="7432" width="16.625" style="574" customWidth="1"/>
    <col min="7433" max="7433" width="8.75" style="574" customWidth="1"/>
    <col min="7434" max="7434" width="9.875" style="574" customWidth="1"/>
    <col min="7435" max="7435" width="8.75" style="574" customWidth="1"/>
    <col min="7436" max="7436" width="16.625" style="574" customWidth="1"/>
    <col min="7437" max="7437" width="14.375" style="574" customWidth="1"/>
    <col min="7438" max="7680" width="9" style="574"/>
    <col min="7681" max="7681" width="45.875" style="574" customWidth="1"/>
    <col min="7682" max="7682" width="9.875" style="574" customWidth="1"/>
    <col min="7683" max="7683" width="12.125" style="574" customWidth="1"/>
    <col min="7684" max="7684" width="9.875" style="574" customWidth="1"/>
    <col min="7685" max="7685" width="8.75" style="574" customWidth="1"/>
    <col min="7686" max="7686" width="18.875" style="574" customWidth="1"/>
    <col min="7687" max="7687" width="9.875" style="574" customWidth="1"/>
    <col min="7688" max="7688" width="16.625" style="574" customWidth="1"/>
    <col min="7689" max="7689" width="8.75" style="574" customWidth="1"/>
    <col min="7690" max="7690" width="9.875" style="574" customWidth="1"/>
    <col min="7691" max="7691" width="8.75" style="574" customWidth="1"/>
    <col min="7692" max="7692" width="16.625" style="574" customWidth="1"/>
    <col min="7693" max="7693" width="14.375" style="574" customWidth="1"/>
    <col min="7694" max="7936" width="9" style="574"/>
    <col min="7937" max="7937" width="45.875" style="574" customWidth="1"/>
    <col min="7938" max="7938" width="9.875" style="574" customWidth="1"/>
    <col min="7939" max="7939" width="12.125" style="574" customWidth="1"/>
    <col min="7940" max="7940" width="9.875" style="574" customWidth="1"/>
    <col min="7941" max="7941" width="8.75" style="574" customWidth="1"/>
    <col min="7942" max="7942" width="18.875" style="574" customWidth="1"/>
    <col min="7943" max="7943" width="9.875" style="574" customWidth="1"/>
    <col min="7944" max="7944" width="16.625" style="574" customWidth="1"/>
    <col min="7945" max="7945" width="8.75" style="574" customWidth="1"/>
    <col min="7946" max="7946" width="9.875" style="574" customWidth="1"/>
    <col min="7947" max="7947" width="8.75" style="574" customWidth="1"/>
    <col min="7948" max="7948" width="16.625" style="574" customWidth="1"/>
    <col min="7949" max="7949" width="14.375" style="574" customWidth="1"/>
    <col min="7950" max="8192" width="9" style="574"/>
    <col min="8193" max="8193" width="45.875" style="574" customWidth="1"/>
    <col min="8194" max="8194" width="9.875" style="574" customWidth="1"/>
    <col min="8195" max="8195" width="12.125" style="574" customWidth="1"/>
    <col min="8196" max="8196" width="9.875" style="574" customWidth="1"/>
    <col min="8197" max="8197" width="8.75" style="574" customWidth="1"/>
    <col min="8198" max="8198" width="18.875" style="574" customWidth="1"/>
    <col min="8199" max="8199" width="9.875" style="574" customWidth="1"/>
    <col min="8200" max="8200" width="16.625" style="574" customWidth="1"/>
    <col min="8201" max="8201" width="8.75" style="574" customWidth="1"/>
    <col min="8202" max="8202" width="9.875" style="574" customWidth="1"/>
    <col min="8203" max="8203" width="8.75" style="574" customWidth="1"/>
    <col min="8204" max="8204" width="16.625" style="574" customWidth="1"/>
    <col min="8205" max="8205" width="14.375" style="574" customWidth="1"/>
    <col min="8206" max="8448" width="9" style="574"/>
    <col min="8449" max="8449" width="45.875" style="574" customWidth="1"/>
    <col min="8450" max="8450" width="9.875" style="574" customWidth="1"/>
    <col min="8451" max="8451" width="12.125" style="574" customWidth="1"/>
    <col min="8452" max="8452" width="9.875" style="574" customWidth="1"/>
    <col min="8453" max="8453" width="8.75" style="574" customWidth="1"/>
    <col min="8454" max="8454" width="18.875" style="574" customWidth="1"/>
    <col min="8455" max="8455" width="9.875" style="574" customWidth="1"/>
    <col min="8456" max="8456" width="16.625" style="574" customWidth="1"/>
    <col min="8457" max="8457" width="8.75" style="574" customWidth="1"/>
    <col min="8458" max="8458" width="9.875" style="574" customWidth="1"/>
    <col min="8459" max="8459" width="8.75" style="574" customWidth="1"/>
    <col min="8460" max="8460" width="16.625" style="574" customWidth="1"/>
    <col min="8461" max="8461" width="14.375" style="574" customWidth="1"/>
    <col min="8462" max="8704" width="9" style="574"/>
    <col min="8705" max="8705" width="45.875" style="574" customWidth="1"/>
    <col min="8706" max="8706" width="9.875" style="574" customWidth="1"/>
    <col min="8707" max="8707" width="12.125" style="574" customWidth="1"/>
    <col min="8708" max="8708" width="9.875" style="574" customWidth="1"/>
    <col min="8709" max="8709" width="8.75" style="574" customWidth="1"/>
    <col min="8710" max="8710" width="18.875" style="574" customWidth="1"/>
    <col min="8711" max="8711" width="9.875" style="574" customWidth="1"/>
    <col min="8712" max="8712" width="16.625" style="574" customWidth="1"/>
    <col min="8713" max="8713" width="8.75" style="574" customWidth="1"/>
    <col min="8714" max="8714" width="9.875" style="574" customWidth="1"/>
    <col min="8715" max="8715" width="8.75" style="574" customWidth="1"/>
    <col min="8716" max="8716" width="16.625" style="574" customWidth="1"/>
    <col min="8717" max="8717" width="14.375" style="574" customWidth="1"/>
    <col min="8718" max="8960" width="9" style="574"/>
    <col min="8961" max="8961" width="45.875" style="574" customWidth="1"/>
    <col min="8962" max="8962" width="9.875" style="574" customWidth="1"/>
    <col min="8963" max="8963" width="12.125" style="574" customWidth="1"/>
    <col min="8964" max="8964" width="9.875" style="574" customWidth="1"/>
    <col min="8965" max="8965" width="8.75" style="574" customWidth="1"/>
    <col min="8966" max="8966" width="18.875" style="574" customWidth="1"/>
    <col min="8967" max="8967" width="9.875" style="574" customWidth="1"/>
    <col min="8968" max="8968" width="16.625" style="574" customWidth="1"/>
    <col min="8969" max="8969" width="8.75" style="574" customWidth="1"/>
    <col min="8970" max="8970" width="9.875" style="574" customWidth="1"/>
    <col min="8971" max="8971" width="8.75" style="574" customWidth="1"/>
    <col min="8972" max="8972" width="16.625" style="574" customWidth="1"/>
    <col min="8973" max="8973" width="14.375" style="574" customWidth="1"/>
    <col min="8974" max="9216" width="9" style="574"/>
    <col min="9217" max="9217" width="45.875" style="574" customWidth="1"/>
    <col min="9218" max="9218" width="9.875" style="574" customWidth="1"/>
    <col min="9219" max="9219" width="12.125" style="574" customWidth="1"/>
    <col min="9220" max="9220" width="9.875" style="574" customWidth="1"/>
    <col min="9221" max="9221" width="8.75" style="574" customWidth="1"/>
    <col min="9222" max="9222" width="18.875" style="574" customWidth="1"/>
    <col min="9223" max="9223" width="9.875" style="574" customWidth="1"/>
    <col min="9224" max="9224" width="16.625" style="574" customWidth="1"/>
    <col min="9225" max="9225" width="8.75" style="574" customWidth="1"/>
    <col min="9226" max="9226" width="9.875" style="574" customWidth="1"/>
    <col min="9227" max="9227" width="8.75" style="574" customWidth="1"/>
    <col min="9228" max="9228" width="16.625" style="574" customWidth="1"/>
    <col min="9229" max="9229" width="14.375" style="574" customWidth="1"/>
    <col min="9230" max="9472" width="9" style="574"/>
    <col min="9473" max="9473" width="45.875" style="574" customWidth="1"/>
    <col min="9474" max="9474" width="9.875" style="574" customWidth="1"/>
    <col min="9475" max="9475" width="12.125" style="574" customWidth="1"/>
    <col min="9476" max="9476" width="9.875" style="574" customWidth="1"/>
    <col min="9477" max="9477" width="8.75" style="574" customWidth="1"/>
    <col min="9478" max="9478" width="18.875" style="574" customWidth="1"/>
    <col min="9479" max="9479" width="9.875" style="574" customWidth="1"/>
    <col min="9480" max="9480" width="16.625" style="574" customWidth="1"/>
    <col min="9481" max="9481" width="8.75" style="574" customWidth="1"/>
    <col min="9482" max="9482" width="9.875" style="574" customWidth="1"/>
    <col min="9483" max="9483" width="8.75" style="574" customWidth="1"/>
    <col min="9484" max="9484" width="16.625" style="574" customWidth="1"/>
    <col min="9485" max="9485" width="14.375" style="574" customWidth="1"/>
    <col min="9486" max="9728" width="9" style="574"/>
    <col min="9729" max="9729" width="45.875" style="574" customWidth="1"/>
    <col min="9730" max="9730" width="9.875" style="574" customWidth="1"/>
    <col min="9731" max="9731" width="12.125" style="574" customWidth="1"/>
    <col min="9732" max="9732" width="9.875" style="574" customWidth="1"/>
    <col min="9733" max="9733" width="8.75" style="574" customWidth="1"/>
    <col min="9734" max="9734" width="18.875" style="574" customWidth="1"/>
    <col min="9735" max="9735" width="9.875" style="574" customWidth="1"/>
    <col min="9736" max="9736" width="16.625" style="574" customWidth="1"/>
    <col min="9737" max="9737" width="8.75" style="574" customWidth="1"/>
    <col min="9738" max="9738" width="9.875" style="574" customWidth="1"/>
    <col min="9739" max="9739" width="8.75" style="574" customWidth="1"/>
    <col min="9740" max="9740" width="16.625" style="574" customWidth="1"/>
    <col min="9741" max="9741" width="14.375" style="574" customWidth="1"/>
    <col min="9742" max="9984" width="9" style="574"/>
    <col min="9985" max="9985" width="45.875" style="574" customWidth="1"/>
    <col min="9986" max="9986" width="9.875" style="574" customWidth="1"/>
    <col min="9987" max="9987" width="12.125" style="574" customWidth="1"/>
    <col min="9988" max="9988" width="9.875" style="574" customWidth="1"/>
    <col min="9989" max="9989" width="8.75" style="574" customWidth="1"/>
    <col min="9990" max="9990" width="18.875" style="574" customWidth="1"/>
    <col min="9991" max="9991" width="9.875" style="574" customWidth="1"/>
    <col min="9992" max="9992" width="16.625" style="574" customWidth="1"/>
    <col min="9993" max="9993" width="8.75" style="574" customWidth="1"/>
    <col min="9994" max="9994" width="9.875" style="574" customWidth="1"/>
    <col min="9995" max="9995" width="8.75" style="574" customWidth="1"/>
    <col min="9996" max="9996" width="16.625" style="574" customWidth="1"/>
    <col min="9997" max="9997" width="14.375" style="574" customWidth="1"/>
    <col min="9998" max="10240" width="9" style="574"/>
    <col min="10241" max="10241" width="45.875" style="574" customWidth="1"/>
    <col min="10242" max="10242" width="9.875" style="574" customWidth="1"/>
    <col min="10243" max="10243" width="12.125" style="574" customWidth="1"/>
    <col min="10244" max="10244" width="9.875" style="574" customWidth="1"/>
    <col min="10245" max="10245" width="8.75" style="574" customWidth="1"/>
    <col min="10246" max="10246" width="18.875" style="574" customWidth="1"/>
    <col min="10247" max="10247" width="9.875" style="574" customWidth="1"/>
    <col min="10248" max="10248" width="16.625" style="574" customWidth="1"/>
    <col min="10249" max="10249" width="8.75" style="574" customWidth="1"/>
    <col min="10250" max="10250" width="9.875" style="574" customWidth="1"/>
    <col min="10251" max="10251" width="8.75" style="574" customWidth="1"/>
    <col min="10252" max="10252" width="16.625" style="574" customWidth="1"/>
    <col min="10253" max="10253" width="14.375" style="574" customWidth="1"/>
    <col min="10254" max="10496" width="9" style="574"/>
    <col min="10497" max="10497" width="45.875" style="574" customWidth="1"/>
    <col min="10498" max="10498" width="9.875" style="574" customWidth="1"/>
    <col min="10499" max="10499" width="12.125" style="574" customWidth="1"/>
    <col min="10500" max="10500" width="9.875" style="574" customWidth="1"/>
    <col min="10501" max="10501" width="8.75" style="574" customWidth="1"/>
    <col min="10502" max="10502" width="18.875" style="574" customWidth="1"/>
    <col min="10503" max="10503" width="9.875" style="574" customWidth="1"/>
    <col min="10504" max="10504" width="16.625" style="574" customWidth="1"/>
    <col min="10505" max="10505" width="8.75" style="574" customWidth="1"/>
    <col min="10506" max="10506" width="9.875" style="574" customWidth="1"/>
    <col min="10507" max="10507" width="8.75" style="574" customWidth="1"/>
    <col min="10508" max="10508" width="16.625" style="574" customWidth="1"/>
    <col min="10509" max="10509" width="14.375" style="574" customWidth="1"/>
    <col min="10510" max="10752" width="9" style="574"/>
    <col min="10753" max="10753" width="45.875" style="574" customWidth="1"/>
    <col min="10754" max="10754" width="9.875" style="574" customWidth="1"/>
    <col min="10755" max="10755" width="12.125" style="574" customWidth="1"/>
    <col min="10756" max="10756" width="9.875" style="574" customWidth="1"/>
    <col min="10757" max="10757" width="8.75" style="574" customWidth="1"/>
    <col min="10758" max="10758" width="18.875" style="574" customWidth="1"/>
    <col min="10759" max="10759" width="9.875" style="574" customWidth="1"/>
    <col min="10760" max="10760" width="16.625" style="574" customWidth="1"/>
    <col min="10761" max="10761" width="8.75" style="574" customWidth="1"/>
    <col min="10762" max="10762" width="9.875" style="574" customWidth="1"/>
    <col min="10763" max="10763" width="8.75" style="574" customWidth="1"/>
    <col min="10764" max="10764" width="16.625" style="574" customWidth="1"/>
    <col min="10765" max="10765" width="14.375" style="574" customWidth="1"/>
    <col min="10766" max="11008" width="9" style="574"/>
    <col min="11009" max="11009" width="45.875" style="574" customWidth="1"/>
    <col min="11010" max="11010" width="9.875" style="574" customWidth="1"/>
    <col min="11011" max="11011" width="12.125" style="574" customWidth="1"/>
    <col min="11012" max="11012" width="9.875" style="574" customWidth="1"/>
    <col min="11013" max="11013" width="8.75" style="574" customWidth="1"/>
    <col min="11014" max="11014" width="18.875" style="574" customWidth="1"/>
    <col min="11015" max="11015" width="9.875" style="574" customWidth="1"/>
    <col min="11016" max="11016" width="16.625" style="574" customWidth="1"/>
    <col min="11017" max="11017" width="8.75" style="574" customWidth="1"/>
    <col min="11018" max="11018" width="9.875" style="574" customWidth="1"/>
    <col min="11019" max="11019" width="8.75" style="574" customWidth="1"/>
    <col min="11020" max="11020" width="16.625" style="574" customWidth="1"/>
    <col min="11021" max="11021" width="14.375" style="574" customWidth="1"/>
    <col min="11022" max="11264" width="9" style="574"/>
    <col min="11265" max="11265" width="45.875" style="574" customWidth="1"/>
    <col min="11266" max="11266" width="9.875" style="574" customWidth="1"/>
    <col min="11267" max="11267" width="12.125" style="574" customWidth="1"/>
    <col min="11268" max="11268" width="9.875" style="574" customWidth="1"/>
    <col min="11269" max="11269" width="8.75" style="574" customWidth="1"/>
    <col min="11270" max="11270" width="18.875" style="574" customWidth="1"/>
    <col min="11271" max="11271" width="9.875" style="574" customWidth="1"/>
    <col min="11272" max="11272" width="16.625" style="574" customWidth="1"/>
    <col min="11273" max="11273" width="8.75" style="574" customWidth="1"/>
    <col min="11274" max="11274" width="9.875" style="574" customWidth="1"/>
    <col min="11275" max="11275" width="8.75" style="574" customWidth="1"/>
    <col min="11276" max="11276" width="16.625" style="574" customWidth="1"/>
    <col min="11277" max="11277" width="14.375" style="574" customWidth="1"/>
    <col min="11278" max="11520" width="9" style="574"/>
    <col min="11521" max="11521" width="45.875" style="574" customWidth="1"/>
    <col min="11522" max="11522" width="9.875" style="574" customWidth="1"/>
    <col min="11523" max="11523" width="12.125" style="574" customWidth="1"/>
    <col min="11524" max="11524" width="9.875" style="574" customWidth="1"/>
    <col min="11525" max="11525" width="8.75" style="574" customWidth="1"/>
    <col min="11526" max="11526" width="18.875" style="574" customWidth="1"/>
    <col min="11527" max="11527" width="9.875" style="574" customWidth="1"/>
    <col min="11528" max="11528" width="16.625" style="574" customWidth="1"/>
    <col min="11529" max="11529" width="8.75" style="574" customWidth="1"/>
    <col min="11530" max="11530" width="9.875" style="574" customWidth="1"/>
    <col min="11531" max="11531" width="8.75" style="574" customWidth="1"/>
    <col min="11532" max="11532" width="16.625" style="574" customWidth="1"/>
    <col min="11533" max="11533" width="14.375" style="574" customWidth="1"/>
    <col min="11534" max="11776" width="9" style="574"/>
    <col min="11777" max="11777" width="45.875" style="574" customWidth="1"/>
    <col min="11778" max="11778" width="9.875" style="574" customWidth="1"/>
    <col min="11779" max="11779" width="12.125" style="574" customWidth="1"/>
    <col min="11780" max="11780" width="9.875" style="574" customWidth="1"/>
    <col min="11781" max="11781" width="8.75" style="574" customWidth="1"/>
    <col min="11782" max="11782" width="18.875" style="574" customWidth="1"/>
    <col min="11783" max="11783" width="9.875" style="574" customWidth="1"/>
    <col min="11784" max="11784" width="16.625" style="574" customWidth="1"/>
    <col min="11785" max="11785" width="8.75" style="574" customWidth="1"/>
    <col min="11786" max="11786" width="9.875" style="574" customWidth="1"/>
    <col min="11787" max="11787" width="8.75" style="574" customWidth="1"/>
    <col min="11788" max="11788" width="16.625" style="574" customWidth="1"/>
    <col min="11789" max="11789" width="14.375" style="574" customWidth="1"/>
    <col min="11790" max="12032" width="9" style="574"/>
    <col min="12033" max="12033" width="45.875" style="574" customWidth="1"/>
    <col min="12034" max="12034" width="9.875" style="574" customWidth="1"/>
    <col min="12035" max="12035" width="12.125" style="574" customWidth="1"/>
    <col min="12036" max="12036" width="9.875" style="574" customWidth="1"/>
    <col min="12037" max="12037" width="8.75" style="574" customWidth="1"/>
    <col min="12038" max="12038" width="18.875" style="574" customWidth="1"/>
    <col min="12039" max="12039" width="9.875" style="574" customWidth="1"/>
    <col min="12040" max="12040" width="16.625" style="574" customWidth="1"/>
    <col min="12041" max="12041" width="8.75" style="574" customWidth="1"/>
    <col min="12042" max="12042" width="9.875" style="574" customWidth="1"/>
    <col min="12043" max="12043" width="8.75" style="574" customWidth="1"/>
    <col min="12044" max="12044" width="16.625" style="574" customWidth="1"/>
    <col min="12045" max="12045" width="14.375" style="574" customWidth="1"/>
    <col min="12046" max="12288" width="9" style="574"/>
    <col min="12289" max="12289" width="45.875" style="574" customWidth="1"/>
    <col min="12290" max="12290" width="9.875" style="574" customWidth="1"/>
    <col min="12291" max="12291" width="12.125" style="574" customWidth="1"/>
    <col min="12292" max="12292" width="9.875" style="574" customWidth="1"/>
    <col min="12293" max="12293" width="8.75" style="574" customWidth="1"/>
    <col min="12294" max="12294" width="18.875" style="574" customWidth="1"/>
    <col min="12295" max="12295" width="9.875" style="574" customWidth="1"/>
    <col min="12296" max="12296" width="16.625" style="574" customWidth="1"/>
    <col min="12297" max="12297" width="8.75" style="574" customWidth="1"/>
    <col min="12298" max="12298" width="9.875" style="574" customWidth="1"/>
    <col min="12299" max="12299" width="8.75" style="574" customWidth="1"/>
    <col min="12300" max="12300" width="16.625" style="574" customWidth="1"/>
    <col min="12301" max="12301" width="14.375" style="574" customWidth="1"/>
    <col min="12302" max="12544" width="9" style="574"/>
    <col min="12545" max="12545" width="45.875" style="574" customWidth="1"/>
    <col min="12546" max="12546" width="9.875" style="574" customWidth="1"/>
    <col min="12547" max="12547" width="12.125" style="574" customWidth="1"/>
    <col min="12548" max="12548" width="9.875" style="574" customWidth="1"/>
    <col min="12549" max="12549" width="8.75" style="574" customWidth="1"/>
    <col min="12550" max="12550" width="18.875" style="574" customWidth="1"/>
    <col min="12551" max="12551" width="9.875" style="574" customWidth="1"/>
    <col min="12552" max="12552" width="16.625" style="574" customWidth="1"/>
    <col min="12553" max="12553" width="8.75" style="574" customWidth="1"/>
    <col min="12554" max="12554" width="9.875" style="574" customWidth="1"/>
    <col min="12555" max="12555" width="8.75" style="574" customWidth="1"/>
    <col min="12556" max="12556" width="16.625" style="574" customWidth="1"/>
    <col min="12557" max="12557" width="14.375" style="574" customWidth="1"/>
    <col min="12558" max="12800" width="9" style="574"/>
    <col min="12801" max="12801" width="45.875" style="574" customWidth="1"/>
    <col min="12802" max="12802" width="9.875" style="574" customWidth="1"/>
    <col min="12803" max="12803" width="12.125" style="574" customWidth="1"/>
    <col min="12804" max="12804" width="9.875" style="574" customWidth="1"/>
    <col min="12805" max="12805" width="8.75" style="574" customWidth="1"/>
    <col min="12806" max="12806" width="18.875" style="574" customWidth="1"/>
    <col min="12807" max="12807" width="9.875" style="574" customWidth="1"/>
    <col min="12808" max="12808" width="16.625" style="574" customWidth="1"/>
    <col min="12809" max="12809" width="8.75" style="574" customWidth="1"/>
    <col min="12810" max="12810" width="9.875" style="574" customWidth="1"/>
    <col min="12811" max="12811" width="8.75" style="574" customWidth="1"/>
    <col min="12812" max="12812" width="16.625" style="574" customWidth="1"/>
    <col min="12813" max="12813" width="14.375" style="574" customWidth="1"/>
    <col min="12814" max="13056" width="9" style="574"/>
    <col min="13057" max="13057" width="45.875" style="574" customWidth="1"/>
    <col min="13058" max="13058" width="9.875" style="574" customWidth="1"/>
    <col min="13059" max="13059" width="12.125" style="574" customWidth="1"/>
    <col min="13060" max="13060" width="9.875" style="574" customWidth="1"/>
    <col min="13061" max="13061" width="8.75" style="574" customWidth="1"/>
    <col min="13062" max="13062" width="18.875" style="574" customWidth="1"/>
    <col min="13063" max="13063" width="9.875" style="574" customWidth="1"/>
    <col min="13064" max="13064" width="16.625" style="574" customWidth="1"/>
    <col min="13065" max="13065" width="8.75" style="574" customWidth="1"/>
    <col min="13066" max="13066" width="9.875" style="574" customWidth="1"/>
    <col min="13067" max="13067" width="8.75" style="574" customWidth="1"/>
    <col min="13068" max="13068" width="16.625" style="574" customWidth="1"/>
    <col min="13069" max="13069" width="14.375" style="574" customWidth="1"/>
    <col min="13070" max="13312" width="9" style="574"/>
    <col min="13313" max="13313" width="45.875" style="574" customWidth="1"/>
    <col min="13314" max="13314" width="9.875" style="574" customWidth="1"/>
    <col min="13315" max="13315" width="12.125" style="574" customWidth="1"/>
    <col min="13316" max="13316" width="9.875" style="574" customWidth="1"/>
    <col min="13317" max="13317" width="8.75" style="574" customWidth="1"/>
    <col min="13318" max="13318" width="18.875" style="574" customWidth="1"/>
    <col min="13319" max="13319" width="9.875" style="574" customWidth="1"/>
    <col min="13320" max="13320" width="16.625" style="574" customWidth="1"/>
    <col min="13321" max="13321" width="8.75" style="574" customWidth="1"/>
    <col min="13322" max="13322" width="9.875" style="574" customWidth="1"/>
    <col min="13323" max="13323" width="8.75" style="574" customWidth="1"/>
    <col min="13324" max="13324" width="16.625" style="574" customWidth="1"/>
    <col min="13325" max="13325" width="14.375" style="574" customWidth="1"/>
    <col min="13326" max="13568" width="9" style="574"/>
    <col min="13569" max="13569" width="45.875" style="574" customWidth="1"/>
    <col min="13570" max="13570" width="9.875" style="574" customWidth="1"/>
    <col min="13571" max="13571" width="12.125" style="574" customWidth="1"/>
    <col min="13572" max="13572" width="9.875" style="574" customWidth="1"/>
    <col min="13573" max="13573" width="8.75" style="574" customWidth="1"/>
    <col min="13574" max="13574" width="18.875" style="574" customWidth="1"/>
    <col min="13575" max="13575" width="9.875" style="574" customWidth="1"/>
    <col min="13576" max="13576" width="16.625" style="574" customWidth="1"/>
    <col min="13577" max="13577" width="8.75" style="574" customWidth="1"/>
    <col min="13578" max="13578" width="9.875" style="574" customWidth="1"/>
    <col min="13579" max="13579" width="8.75" style="574" customWidth="1"/>
    <col min="13580" max="13580" width="16.625" style="574" customWidth="1"/>
    <col min="13581" max="13581" width="14.375" style="574" customWidth="1"/>
    <col min="13582" max="13824" width="9" style="574"/>
    <col min="13825" max="13825" width="45.875" style="574" customWidth="1"/>
    <col min="13826" max="13826" width="9.875" style="574" customWidth="1"/>
    <col min="13827" max="13827" width="12.125" style="574" customWidth="1"/>
    <col min="13828" max="13828" width="9.875" style="574" customWidth="1"/>
    <col min="13829" max="13829" width="8.75" style="574" customWidth="1"/>
    <col min="13830" max="13830" width="18.875" style="574" customWidth="1"/>
    <col min="13831" max="13831" width="9.875" style="574" customWidth="1"/>
    <col min="13832" max="13832" width="16.625" style="574" customWidth="1"/>
    <col min="13833" max="13833" width="8.75" style="574" customWidth="1"/>
    <col min="13834" max="13834" width="9.875" style="574" customWidth="1"/>
    <col min="13835" max="13835" width="8.75" style="574" customWidth="1"/>
    <col min="13836" max="13836" width="16.625" style="574" customWidth="1"/>
    <col min="13837" max="13837" width="14.375" style="574" customWidth="1"/>
    <col min="13838" max="14080" width="9" style="574"/>
    <col min="14081" max="14081" width="45.875" style="574" customWidth="1"/>
    <col min="14082" max="14082" width="9.875" style="574" customWidth="1"/>
    <col min="14083" max="14083" width="12.125" style="574" customWidth="1"/>
    <col min="14084" max="14084" width="9.875" style="574" customWidth="1"/>
    <col min="14085" max="14085" width="8.75" style="574" customWidth="1"/>
    <col min="14086" max="14086" width="18.875" style="574" customWidth="1"/>
    <col min="14087" max="14087" width="9.875" style="574" customWidth="1"/>
    <col min="14088" max="14088" width="16.625" style="574" customWidth="1"/>
    <col min="14089" max="14089" width="8.75" style="574" customWidth="1"/>
    <col min="14090" max="14090" width="9.875" style="574" customWidth="1"/>
    <col min="14091" max="14091" width="8.75" style="574" customWidth="1"/>
    <col min="14092" max="14092" width="16.625" style="574" customWidth="1"/>
    <col min="14093" max="14093" width="14.375" style="574" customWidth="1"/>
    <col min="14094" max="14336" width="9" style="574"/>
    <col min="14337" max="14337" width="45.875" style="574" customWidth="1"/>
    <col min="14338" max="14338" width="9.875" style="574" customWidth="1"/>
    <col min="14339" max="14339" width="12.125" style="574" customWidth="1"/>
    <col min="14340" max="14340" width="9.875" style="574" customWidth="1"/>
    <col min="14341" max="14341" width="8.75" style="574" customWidth="1"/>
    <col min="14342" max="14342" width="18.875" style="574" customWidth="1"/>
    <col min="14343" max="14343" width="9.875" style="574" customWidth="1"/>
    <col min="14344" max="14344" width="16.625" style="574" customWidth="1"/>
    <col min="14345" max="14345" width="8.75" style="574" customWidth="1"/>
    <col min="14346" max="14346" width="9.875" style="574" customWidth="1"/>
    <col min="14347" max="14347" width="8.75" style="574" customWidth="1"/>
    <col min="14348" max="14348" width="16.625" style="574" customWidth="1"/>
    <col min="14349" max="14349" width="14.375" style="574" customWidth="1"/>
    <col min="14350" max="14592" width="9" style="574"/>
    <col min="14593" max="14593" width="45.875" style="574" customWidth="1"/>
    <col min="14594" max="14594" width="9.875" style="574" customWidth="1"/>
    <col min="14595" max="14595" width="12.125" style="574" customWidth="1"/>
    <col min="14596" max="14596" width="9.875" style="574" customWidth="1"/>
    <col min="14597" max="14597" width="8.75" style="574" customWidth="1"/>
    <col min="14598" max="14598" width="18.875" style="574" customWidth="1"/>
    <col min="14599" max="14599" width="9.875" style="574" customWidth="1"/>
    <col min="14600" max="14600" width="16.625" style="574" customWidth="1"/>
    <col min="14601" max="14601" width="8.75" style="574" customWidth="1"/>
    <col min="14602" max="14602" width="9.875" style="574" customWidth="1"/>
    <col min="14603" max="14603" width="8.75" style="574" customWidth="1"/>
    <col min="14604" max="14604" width="16.625" style="574" customWidth="1"/>
    <col min="14605" max="14605" width="14.375" style="574" customWidth="1"/>
    <col min="14606" max="14848" width="9" style="574"/>
    <col min="14849" max="14849" width="45.875" style="574" customWidth="1"/>
    <col min="14850" max="14850" width="9.875" style="574" customWidth="1"/>
    <col min="14851" max="14851" width="12.125" style="574" customWidth="1"/>
    <col min="14852" max="14852" width="9.875" style="574" customWidth="1"/>
    <col min="14853" max="14853" width="8.75" style="574" customWidth="1"/>
    <col min="14854" max="14854" width="18.875" style="574" customWidth="1"/>
    <col min="14855" max="14855" width="9.875" style="574" customWidth="1"/>
    <col min="14856" max="14856" width="16.625" style="574" customWidth="1"/>
    <col min="14857" max="14857" width="8.75" style="574" customWidth="1"/>
    <col min="14858" max="14858" width="9.875" style="574" customWidth="1"/>
    <col min="14859" max="14859" width="8.75" style="574" customWidth="1"/>
    <col min="14860" max="14860" width="16.625" style="574" customWidth="1"/>
    <col min="14861" max="14861" width="14.375" style="574" customWidth="1"/>
    <col min="14862" max="15104" width="9" style="574"/>
    <col min="15105" max="15105" width="45.875" style="574" customWidth="1"/>
    <col min="15106" max="15106" width="9.875" style="574" customWidth="1"/>
    <col min="15107" max="15107" width="12.125" style="574" customWidth="1"/>
    <col min="15108" max="15108" width="9.875" style="574" customWidth="1"/>
    <col min="15109" max="15109" width="8.75" style="574" customWidth="1"/>
    <col min="15110" max="15110" width="18.875" style="574" customWidth="1"/>
    <col min="15111" max="15111" width="9.875" style="574" customWidth="1"/>
    <col min="15112" max="15112" width="16.625" style="574" customWidth="1"/>
    <col min="15113" max="15113" width="8.75" style="574" customWidth="1"/>
    <col min="15114" max="15114" width="9.875" style="574" customWidth="1"/>
    <col min="15115" max="15115" width="8.75" style="574" customWidth="1"/>
    <col min="15116" max="15116" width="16.625" style="574" customWidth="1"/>
    <col min="15117" max="15117" width="14.375" style="574" customWidth="1"/>
    <col min="15118" max="15360" width="9" style="574"/>
    <col min="15361" max="15361" width="45.875" style="574" customWidth="1"/>
    <col min="15362" max="15362" width="9.875" style="574" customWidth="1"/>
    <col min="15363" max="15363" width="12.125" style="574" customWidth="1"/>
    <col min="15364" max="15364" width="9.875" style="574" customWidth="1"/>
    <col min="15365" max="15365" width="8.75" style="574" customWidth="1"/>
    <col min="15366" max="15366" width="18.875" style="574" customWidth="1"/>
    <col min="15367" max="15367" width="9.875" style="574" customWidth="1"/>
    <col min="15368" max="15368" width="16.625" style="574" customWidth="1"/>
    <col min="15369" max="15369" width="8.75" style="574" customWidth="1"/>
    <col min="15370" max="15370" width="9.875" style="574" customWidth="1"/>
    <col min="15371" max="15371" width="8.75" style="574" customWidth="1"/>
    <col min="15372" max="15372" width="16.625" style="574" customWidth="1"/>
    <col min="15373" max="15373" width="14.375" style="574" customWidth="1"/>
    <col min="15374" max="15616" width="9" style="574"/>
    <col min="15617" max="15617" width="45.875" style="574" customWidth="1"/>
    <col min="15618" max="15618" width="9.875" style="574" customWidth="1"/>
    <col min="15619" max="15619" width="12.125" style="574" customWidth="1"/>
    <col min="15620" max="15620" width="9.875" style="574" customWidth="1"/>
    <col min="15621" max="15621" width="8.75" style="574" customWidth="1"/>
    <col min="15622" max="15622" width="18.875" style="574" customWidth="1"/>
    <col min="15623" max="15623" width="9.875" style="574" customWidth="1"/>
    <col min="15624" max="15624" width="16.625" style="574" customWidth="1"/>
    <col min="15625" max="15625" width="8.75" style="574" customWidth="1"/>
    <col min="15626" max="15626" width="9.875" style="574" customWidth="1"/>
    <col min="15627" max="15627" width="8.75" style="574" customWidth="1"/>
    <col min="15628" max="15628" width="16.625" style="574" customWidth="1"/>
    <col min="15629" max="15629" width="14.375" style="574" customWidth="1"/>
    <col min="15630" max="15872" width="9" style="574"/>
    <col min="15873" max="15873" width="45.875" style="574" customWidth="1"/>
    <col min="15874" max="15874" width="9.875" style="574" customWidth="1"/>
    <col min="15875" max="15875" width="12.125" style="574" customWidth="1"/>
    <col min="15876" max="15876" width="9.875" style="574" customWidth="1"/>
    <col min="15877" max="15877" width="8.75" style="574" customWidth="1"/>
    <col min="15878" max="15878" width="18.875" style="574" customWidth="1"/>
    <col min="15879" max="15879" width="9.875" style="574" customWidth="1"/>
    <col min="15880" max="15880" width="16.625" style="574" customWidth="1"/>
    <col min="15881" max="15881" width="8.75" style="574" customWidth="1"/>
    <col min="15882" max="15882" width="9.875" style="574" customWidth="1"/>
    <col min="15883" max="15883" width="8.75" style="574" customWidth="1"/>
    <col min="15884" max="15884" width="16.625" style="574" customWidth="1"/>
    <col min="15885" max="15885" width="14.375" style="574" customWidth="1"/>
    <col min="15886" max="16128" width="9" style="574"/>
    <col min="16129" max="16129" width="45.875" style="574" customWidth="1"/>
    <col min="16130" max="16130" width="9.875" style="574" customWidth="1"/>
    <col min="16131" max="16131" width="12.125" style="574" customWidth="1"/>
    <col min="16132" max="16132" width="9.875" style="574" customWidth="1"/>
    <col min="16133" max="16133" width="8.75" style="574" customWidth="1"/>
    <col min="16134" max="16134" width="18.875" style="574" customWidth="1"/>
    <col min="16135" max="16135" width="9.875" style="574" customWidth="1"/>
    <col min="16136" max="16136" width="16.625" style="574" customWidth="1"/>
    <col min="16137" max="16137" width="8.75" style="574" customWidth="1"/>
    <col min="16138" max="16138" width="9.875" style="574" customWidth="1"/>
    <col min="16139" max="16139" width="8.75" style="574" customWidth="1"/>
    <col min="16140" max="16140" width="16.625" style="574" customWidth="1"/>
    <col min="16141" max="16141" width="14.375" style="574" customWidth="1"/>
    <col min="16142" max="16384" width="9" style="574"/>
  </cols>
  <sheetData>
    <row r="1" spans="1:13" s="109" customFormat="1" ht="44.45" customHeight="1">
      <c r="A1" s="1481" t="s">
        <v>29</v>
      </c>
      <c r="B1" s="1481"/>
      <c r="C1" s="1481"/>
      <c r="D1" s="1481"/>
      <c r="E1" s="1481"/>
      <c r="F1" s="1481"/>
      <c r="G1" s="1481"/>
      <c r="H1" s="1481"/>
      <c r="I1" s="1481"/>
      <c r="J1" s="1481"/>
      <c r="K1" s="1481"/>
      <c r="L1" s="1481"/>
      <c r="M1" s="1481"/>
    </row>
    <row r="2" spans="1:13" s="10" customFormat="1" ht="18.75" customHeight="1">
      <c r="A2" s="95"/>
      <c r="B2" s="95"/>
      <c r="C2" s="95"/>
      <c r="D2" s="95"/>
      <c r="E2" s="95"/>
      <c r="F2" s="95"/>
      <c r="G2" s="95"/>
      <c r="H2" s="95"/>
      <c r="I2" s="95"/>
      <c r="J2" s="95"/>
      <c r="K2" s="95"/>
      <c r="L2" s="95"/>
      <c r="M2" s="95"/>
    </row>
    <row r="3" spans="1:13" s="11" customFormat="1" ht="18.75" customHeight="1">
      <c r="A3" s="1482" t="s">
        <v>31</v>
      </c>
      <c r="B3" s="1482" t="s">
        <v>303</v>
      </c>
      <c r="C3" s="1482" t="s">
        <v>104</v>
      </c>
      <c r="D3" s="1482" t="s">
        <v>123</v>
      </c>
      <c r="E3" s="1482" t="s">
        <v>561</v>
      </c>
      <c r="F3" s="1482"/>
      <c r="G3" s="1482" t="s">
        <v>108</v>
      </c>
      <c r="H3" s="1482"/>
      <c r="I3" s="1482" t="s">
        <v>82</v>
      </c>
      <c r="J3" s="1482"/>
      <c r="K3" s="1482" t="s">
        <v>198</v>
      </c>
      <c r="L3" s="1482"/>
      <c r="M3" s="1482" t="s">
        <v>110</v>
      </c>
    </row>
    <row r="4" spans="1:13" s="11" customFormat="1" ht="18.75" customHeight="1">
      <c r="A4" s="1482"/>
      <c r="B4" s="1482"/>
      <c r="C4" s="1482"/>
      <c r="D4" s="1482"/>
      <c r="E4" s="556" t="s">
        <v>222</v>
      </c>
      <c r="F4" s="556" t="s">
        <v>223</v>
      </c>
      <c r="G4" s="75" t="s">
        <v>222</v>
      </c>
      <c r="H4" s="76" t="s">
        <v>223</v>
      </c>
      <c r="I4" s="556" t="s">
        <v>222</v>
      </c>
      <c r="J4" s="556" t="s">
        <v>223</v>
      </c>
      <c r="K4" s="556" t="s">
        <v>222</v>
      </c>
      <c r="L4" s="556" t="s">
        <v>223</v>
      </c>
      <c r="M4" s="1482"/>
    </row>
    <row r="5" spans="1:13" s="100" customFormat="1" ht="18.75" customHeight="1">
      <c r="A5" s="96" t="s">
        <v>83</v>
      </c>
      <c r="B5" s="97"/>
      <c r="C5" s="97"/>
      <c r="D5" s="97"/>
      <c r="E5" s="97"/>
      <c r="F5" s="97"/>
      <c r="G5" s="98"/>
      <c r="H5" s="99"/>
      <c r="I5" s="97"/>
      <c r="J5" s="97"/>
      <c r="K5" s="97"/>
      <c r="L5" s="97"/>
      <c r="M5" s="97"/>
    </row>
    <row r="6" spans="1:13" s="117" customFormat="1" ht="18.75" customHeight="1">
      <c r="A6" s="114" t="s">
        <v>505</v>
      </c>
      <c r="B6" s="556"/>
      <c r="C6" s="115"/>
      <c r="D6" s="556"/>
      <c r="E6" s="116"/>
      <c r="F6" s="116">
        <f>SUM(F7:F25)</f>
        <v>28219151</v>
      </c>
      <c r="G6" s="116"/>
      <c r="H6" s="116"/>
      <c r="I6" s="116"/>
      <c r="J6" s="116"/>
      <c r="K6" s="116"/>
      <c r="L6" s="116"/>
      <c r="M6" s="114"/>
    </row>
    <row r="7" spans="1:13" s="10" customFormat="1" ht="18.75" customHeight="1">
      <c r="A7" s="104" t="s">
        <v>34</v>
      </c>
      <c r="B7" s="105"/>
      <c r="C7" s="106">
        <f>'1-2.수량산출'!$D$4</f>
        <v>10.555</v>
      </c>
      <c r="D7" s="105" t="str">
        <f>'[21]2-3.수량산출서'!$E$4</f>
        <v>만㎡</v>
      </c>
      <c r="E7" s="555"/>
      <c r="F7" s="555">
        <f t="shared" ref="F7:F25" si="0">H7+J7+L7</f>
        <v>1859127</v>
      </c>
      <c r="G7" s="555"/>
      <c r="H7" s="555">
        <f>'1-1.일위대가'!H14</f>
        <v>1859127</v>
      </c>
      <c r="I7" s="555"/>
      <c r="J7" s="555">
        <f>'1-1.일위대가'!J14</f>
        <v>0</v>
      </c>
      <c r="K7" s="555"/>
      <c r="L7" s="555">
        <f>'1-1.일위대가'!L14</f>
        <v>0</v>
      </c>
      <c r="M7" s="105" t="s">
        <v>117</v>
      </c>
    </row>
    <row r="8" spans="1:13" s="10" customFormat="1" ht="18.75" customHeight="1">
      <c r="A8" s="104" t="s">
        <v>35</v>
      </c>
      <c r="B8" s="105"/>
      <c r="C8" s="106">
        <f>'1-2.수량산출'!$D$4</f>
        <v>10.555</v>
      </c>
      <c r="D8" s="105" t="str">
        <f>'[21]2-3.수량산출서'!$E$4</f>
        <v>만㎡</v>
      </c>
      <c r="E8" s="555"/>
      <c r="F8" s="555">
        <f t="shared" si="0"/>
        <v>1457958</v>
      </c>
      <c r="G8" s="555"/>
      <c r="H8" s="555">
        <f>'1-1.일위대가'!H25</f>
        <v>1457958</v>
      </c>
      <c r="I8" s="555"/>
      <c r="J8" s="555">
        <f>'1-1.일위대가'!J25</f>
        <v>0</v>
      </c>
      <c r="K8" s="555"/>
      <c r="L8" s="555">
        <f>'1-1.일위대가'!L25</f>
        <v>0</v>
      </c>
      <c r="M8" s="105" t="s">
        <v>11</v>
      </c>
    </row>
    <row r="9" spans="1:13" s="10" customFormat="1" ht="18.75" customHeight="1">
      <c r="A9" s="104" t="s">
        <v>36</v>
      </c>
      <c r="B9" s="105"/>
      <c r="C9" s="106">
        <f>'1-2.수량산출'!$D$4</f>
        <v>10.555</v>
      </c>
      <c r="D9" s="105" t="str">
        <f>'[21]2-3.수량산출서'!$E$4</f>
        <v>만㎡</v>
      </c>
      <c r="E9" s="555"/>
      <c r="F9" s="555">
        <f t="shared" si="0"/>
        <v>909218</v>
      </c>
      <c r="G9" s="555"/>
      <c r="H9" s="555">
        <f>'1-1.일위대가'!H36</f>
        <v>909218</v>
      </c>
      <c r="I9" s="555"/>
      <c r="J9" s="555">
        <f>'1-1.일위대가'!J36</f>
        <v>0</v>
      </c>
      <c r="K9" s="555"/>
      <c r="L9" s="555">
        <f>'1-1.일위대가'!L36</f>
        <v>0</v>
      </c>
      <c r="M9" s="105" t="s">
        <v>12</v>
      </c>
    </row>
    <row r="10" spans="1:13" s="10" customFormat="1" ht="18.75" customHeight="1">
      <c r="A10" s="104" t="s">
        <v>37</v>
      </c>
      <c r="B10" s="105"/>
      <c r="C10" s="106">
        <f>'1-2.수량산출'!$D$4</f>
        <v>10.555</v>
      </c>
      <c r="D10" s="105" t="str">
        <f>'[21]2-3.수량산출서'!$E$4</f>
        <v>만㎡</v>
      </c>
      <c r="E10" s="555"/>
      <c r="F10" s="555">
        <f t="shared" si="0"/>
        <v>1162033</v>
      </c>
      <c r="G10" s="555"/>
      <c r="H10" s="555">
        <f>'1-1.일위대가'!H47</f>
        <v>1162033</v>
      </c>
      <c r="I10" s="555"/>
      <c r="J10" s="555">
        <f>'1-1.일위대가'!J47</f>
        <v>0</v>
      </c>
      <c r="K10" s="555"/>
      <c r="L10" s="555">
        <f>'1-1.일위대가'!L47</f>
        <v>0</v>
      </c>
      <c r="M10" s="105" t="s">
        <v>13</v>
      </c>
    </row>
    <row r="11" spans="1:13" s="10" customFormat="1" ht="18.75" customHeight="1">
      <c r="A11" s="104" t="s">
        <v>38</v>
      </c>
      <c r="B11" s="105"/>
      <c r="C11" s="106">
        <f>'1-2.수량산출'!$D$4</f>
        <v>10.555</v>
      </c>
      <c r="D11" s="105" t="str">
        <f>'[21]2-3.수량산출서'!$E$4</f>
        <v>만㎡</v>
      </c>
      <c r="E11" s="555"/>
      <c r="F11" s="555">
        <f t="shared" si="0"/>
        <v>894848</v>
      </c>
      <c r="G11" s="555"/>
      <c r="H11" s="555">
        <f>'1-1.일위대가'!H58</f>
        <v>894848</v>
      </c>
      <c r="I11" s="555"/>
      <c r="J11" s="555">
        <f>'1-1.일위대가'!J58</f>
        <v>0</v>
      </c>
      <c r="K11" s="555"/>
      <c r="L11" s="555">
        <f>'1-1.일위대가'!L58</f>
        <v>0</v>
      </c>
      <c r="M11" s="105" t="s">
        <v>14</v>
      </c>
    </row>
    <row r="12" spans="1:13" s="10" customFormat="1" ht="18.75" customHeight="1">
      <c r="A12" s="104" t="s">
        <v>39</v>
      </c>
      <c r="B12" s="105"/>
      <c r="C12" s="106">
        <f>'1-2.수량산출'!$D$4</f>
        <v>10.555</v>
      </c>
      <c r="D12" s="105" t="str">
        <f>'[21]2-3.수량산출서'!$E$4</f>
        <v>만㎡</v>
      </c>
      <c r="E12" s="555"/>
      <c r="F12" s="555">
        <f t="shared" si="0"/>
        <v>1161452</v>
      </c>
      <c r="G12" s="555"/>
      <c r="H12" s="555">
        <f>'1-1.일위대가'!H69</f>
        <v>1161452</v>
      </c>
      <c r="I12" s="555"/>
      <c r="J12" s="555">
        <f>'1-1.일위대가'!J69</f>
        <v>0</v>
      </c>
      <c r="K12" s="555"/>
      <c r="L12" s="555">
        <f>'1-1.일위대가'!L69</f>
        <v>0</v>
      </c>
      <c r="M12" s="105" t="s">
        <v>15</v>
      </c>
    </row>
    <row r="13" spans="1:13" s="10" customFormat="1" ht="18.75" customHeight="1">
      <c r="A13" s="104" t="s">
        <v>40</v>
      </c>
      <c r="B13" s="105"/>
      <c r="C13" s="106">
        <f>'1-2.수량산출'!$D$4</f>
        <v>10.555</v>
      </c>
      <c r="D13" s="105" t="str">
        <f>'[21]2-3.수량산출서'!$E$4</f>
        <v>만㎡</v>
      </c>
      <c r="E13" s="555"/>
      <c r="F13" s="555">
        <f t="shared" si="0"/>
        <v>1522186</v>
      </c>
      <c r="G13" s="555"/>
      <c r="H13" s="555">
        <f>'1-1.일위대가'!H80</f>
        <v>1522186</v>
      </c>
      <c r="I13" s="555"/>
      <c r="J13" s="555">
        <f>'1-1.일위대가'!J80</f>
        <v>0</v>
      </c>
      <c r="K13" s="555"/>
      <c r="L13" s="555">
        <f>'1-1.일위대가'!L80</f>
        <v>0</v>
      </c>
      <c r="M13" s="105" t="s">
        <v>16</v>
      </c>
    </row>
    <row r="14" spans="1:13" s="10" customFormat="1" ht="18.75" customHeight="1">
      <c r="A14" s="104" t="s">
        <v>41</v>
      </c>
      <c r="B14" s="105"/>
      <c r="C14" s="106">
        <f>'1-2.수량산출'!$D$4</f>
        <v>10.555</v>
      </c>
      <c r="D14" s="105" t="str">
        <f>'[21]2-3.수량산출서'!$E$4</f>
        <v>만㎡</v>
      </c>
      <c r="E14" s="555"/>
      <c r="F14" s="555">
        <f t="shared" si="0"/>
        <v>1185628</v>
      </c>
      <c r="G14" s="555"/>
      <c r="H14" s="555">
        <f>'1-1.일위대가'!H91</f>
        <v>1185628</v>
      </c>
      <c r="I14" s="555"/>
      <c r="J14" s="555">
        <f>'1-1.일위대가'!J91</f>
        <v>0</v>
      </c>
      <c r="K14" s="555"/>
      <c r="L14" s="555">
        <f>'1-1.일위대가'!L91</f>
        <v>0</v>
      </c>
      <c r="M14" s="105" t="s">
        <v>17</v>
      </c>
    </row>
    <row r="15" spans="1:13" s="10" customFormat="1" ht="18.75" customHeight="1">
      <c r="A15" s="104" t="s">
        <v>42</v>
      </c>
      <c r="B15" s="105"/>
      <c r="C15" s="106">
        <f>'1-2.수량산출'!$D$4</f>
        <v>10.555</v>
      </c>
      <c r="D15" s="105" t="str">
        <f>'[21]2-3.수량산출서'!$E$4</f>
        <v>만㎡</v>
      </c>
      <c r="E15" s="555"/>
      <c r="F15" s="555">
        <f t="shared" si="0"/>
        <v>3088826</v>
      </c>
      <c r="G15" s="555"/>
      <c r="H15" s="555">
        <f>'1-1.일위대가'!H102</f>
        <v>3088826</v>
      </c>
      <c r="I15" s="555"/>
      <c r="J15" s="555">
        <f>'1-1.일위대가'!J102</f>
        <v>0</v>
      </c>
      <c r="K15" s="555"/>
      <c r="L15" s="555">
        <f>'1-1.일위대가'!L102</f>
        <v>0</v>
      </c>
      <c r="M15" s="105" t="s">
        <v>18</v>
      </c>
    </row>
    <row r="16" spans="1:13" s="10" customFormat="1" ht="18.75" customHeight="1">
      <c r="A16" s="104" t="s">
        <v>43</v>
      </c>
      <c r="B16" s="105"/>
      <c r="C16" s="106">
        <f>'1-2.수량산출'!$D$4</f>
        <v>10.555</v>
      </c>
      <c r="D16" s="105" t="str">
        <f>'[21]2-3.수량산출서'!$E$4</f>
        <v>만㎡</v>
      </c>
      <c r="E16" s="555"/>
      <c r="F16" s="555">
        <f t="shared" si="0"/>
        <v>1663236</v>
      </c>
      <c r="G16" s="555"/>
      <c r="H16" s="555">
        <f>'1-1.일위대가'!H113</f>
        <v>1663236</v>
      </c>
      <c r="I16" s="555"/>
      <c r="J16" s="555">
        <f>'1-1.일위대가'!J113</f>
        <v>0</v>
      </c>
      <c r="K16" s="555"/>
      <c r="L16" s="555">
        <f>'1-1.일위대가'!L113</f>
        <v>0</v>
      </c>
      <c r="M16" s="105" t="s">
        <v>19</v>
      </c>
    </row>
    <row r="17" spans="1:13" s="10" customFormat="1" ht="18.75" customHeight="1">
      <c r="A17" s="104" t="s">
        <v>44</v>
      </c>
      <c r="B17" s="105"/>
      <c r="C17" s="106">
        <f>'1-2.수량산출'!$D$4</f>
        <v>10.555</v>
      </c>
      <c r="D17" s="105" t="str">
        <f>'[21]2-3.수량산출서'!$E$4</f>
        <v>만㎡</v>
      </c>
      <c r="E17" s="555"/>
      <c r="F17" s="555">
        <f t="shared" si="0"/>
        <v>1937036</v>
      </c>
      <c r="G17" s="555"/>
      <c r="H17" s="555">
        <f>'1-1.일위대가'!H124</f>
        <v>1937036</v>
      </c>
      <c r="I17" s="555"/>
      <c r="J17" s="555">
        <f>'1-1.일위대가'!J124</f>
        <v>0</v>
      </c>
      <c r="K17" s="555"/>
      <c r="L17" s="555">
        <f>'1-1.일위대가'!L124</f>
        <v>0</v>
      </c>
      <c r="M17" s="105" t="s">
        <v>20</v>
      </c>
    </row>
    <row r="18" spans="1:13" s="93" customFormat="1" ht="18.75" customHeight="1">
      <c r="A18" s="104" t="s">
        <v>45</v>
      </c>
      <c r="B18" s="105"/>
      <c r="C18" s="106">
        <f>'1-2.수량산출'!$D$4</f>
        <v>10.555</v>
      </c>
      <c r="D18" s="105" t="str">
        <f>'[21]2-3.수량산출서'!$E$4</f>
        <v>만㎡</v>
      </c>
      <c r="E18" s="555"/>
      <c r="F18" s="555">
        <f t="shared" si="0"/>
        <v>1151962</v>
      </c>
      <c r="G18" s="555"/>
      <c r="H18" s="555">
        <f>'1-1.일위대가'!H135</f>
        <v>1151962</v>
      </c>
      <c r="I18" s="555"/>
      <c r="J18" s="555">
        <f>'1-1.일위대가'!J135</f>
        <v>0</v>
      </c>
      <c r="K18" s="555"/>
      <c r="L18" s="555">
        <f>'1-1.일위대가'!L135</f>
        <v>0</v>
      </c>
      <c r="M18" s="105" t="s">
        <v>21</v>
      </c>
    </row>
    <row r="19" spans="1:13" s="93" customFormat="1" ht="18.75" customHeight="1">
      <c r="A19" s="104" t="s">
        <v>46</v>
      </c>
      <c r="B19" s="105"/>
      <c r="C19" s="106">
        <f>'1-2.수량산출'!$D$4</f>
        <v>10.555</v>
      </c>
      <c r="D19" s="105" t="str">
        <f>'[21]2-3.수량산출서'!$E$4</f>
        <v>만㎡</v>
      </c>
      <c r="E19" s="555"/>
      <c r="F19" s="555">
        <f t="shared" si="0"/>
        <v>1183458</v>
      </c>
      <c r="G19" s="555"/>
      <c r="H19" s="555">
        <f>'1-1.일위대가'!H146</f>
        <v>1183458</v>
      </c>
      <c r="I19" s="555"/>
      <c r="J19" s="555">
        <f>'1-1.일위대가'!J146</f>
        <v>0</v>
      </c>
      <c r="K19" s="555"/>
      <c r="L19" s="555">
        <f>'1-1.일위대가'!L146</f>
        <v>0</v>
      </c>
      <c r="M19" s="105" t="s">
        <v>22</v>
      </c>
    </row>
    <row r="20" spans="1:13" s="10" customFormat="1" ht="18.75" customHeight="1">
      <c r="A20" s="104" t="s">
        <v>47</v>
      </c>
      <c r="B20" s="105"/>
      <c r="C20" s="106">
        <f>'1-2.수량산출'!$D$4</f>
        <v>10.555</v>
      </c>
      <c r="D20" s="105" t="str">
        <f>'[21]2-3.수량산출서'!$E$4</f>
        <v>만㎡</v>
      </c>
      <c r="E20" s="555"/>
      <c r="F20" s="555">
        <f t="shared" si="0"/>
        <v>1161781</v>
      </c>
      <c r="G20" s="555"/>
      <c r="H20" s="555">
        <f>'1-1.일위대가'!H157</f>
        <v>1161781</v>
      </c>
      <c r="I20" s="555"/>
      <c r="J20" s="555">
        <f>'1-1.일위대가'!J157</f>
        <v>0</v>
      </c>
      <c r="K20" s="555"/>
      <c r="L20" s="555">
        <f>'1-1.일위대가'!L157</f>
        <v>0</v>
      </c>
      <c r="M20" s="105" t="s">
        <v>23</v>
      </c>
    </row>
    <row r="21" spans="1:13" s="10" customFormat="1" ht="18.75" customHeight="1">
      <c r="A21" s="104" t="s">
        <v>48</v>
      </c>
      <c r="B21" s="105"/>
      <c r="C21" s="106">
        <f>'1-2.수량산출'!$D$4</f>
        <v>10.555</v>
      </c>
      <c r="D21" s="105" t="str">
        <f>'[21]2-3.수량산출서'!$E$4</f>
        <v>만㎡</v>
      </c>
      <c r="E21" s="555"/>
      <c r="F21" s="555">
        <f t="shared" si="0"/>
        <v>1031177</v>
      </c>
      <c r="G21" s="555"/>
      <c r="H21" s="555">
        <f>'1-1.일위대가'!H168</f>
        <v>1031177</v>
      </c>
      <c r="I21" s="555"/>
      <c r="J21" s="555">
        <f>'1-1.일위대가'!J168</f>
        <v>0</v>
      </c>
      <c r="K21" s="555"/>
      <c r="L21" s="555">
        <f>'1-1.일위대가'!L168</f>
        <v>0</v>
      </c>
      <c r="M21" s="105" t="s">
        <v>24</v>
      </c>
    </row>
    <row r="22" spans="1:13" s="10" customFormat="1" ht="18.75" customHeight="1">
      <c r="A22" s="104" t="s">
        <v>49</v>
      </c>
      <c r="B22" s="105"/>
      <c r="C22" s="106">
        <f>'1-2.수량산출'!$D$4</f>
        <v>10.555</v>
      </c>
      <c r="D22" s="105" t="str">
        <f>'[21]2-3.수량산출서'!$E$4</f>
        <v>만㎡</v>
      </c>
      <c r="E22" s="555"/>
      <c r="F22" s="555">
        <f t="shared" si="0"/>
        <v>1168214</v>
      </c>
      <c r="G22" s="555"/>
      <c r="H22" s="555">
        <f>'1-1.일위대가'!H179</f>
        <v>1168214</v>
      </c>
      <c r="I22" s="555"/>
      <c r="J22" s="555">
        <f>'1-1.일위대가'!J179</f>
        <v>0</v>
      </c>
      <c r="K22" s="555"/>
      <c r="L22" s="555">
        <f>'1-1.일위대가'!L179</f>
        <v>0</v>
      </c>
      <c r="M22" s="105" t="s">
        <v>25</v>
      </c>
    </row>
    <row r="23" spans="1:13" s="10" customFormat="1" ht="18.75" customHeight="1">
      <c r="A23" s="104" t="s">
        <v>50</v>
      </c>
      <c r="B23" s="105"/>
      <c r="C23" s="106">
        <f>'1-2.수량산출'!$D$4</f>
        <v>10.555</v>
      </c>
      <c r="D23" s="105" t="str">
        <f>'[21]2-3.수량산출서'!$E$4</f>
        <v>만㎡</v>
      </c>
      <c r="E23" s="555"/>
      <c r="F23" s="555">
        <f t="shared" si="0"/>
        <v>933258</v>
      </c>
      <c r="G23" s="555"/>
      <c r="H23" s="555">
        <f>'1-1.일위대가'!H190</f>
        <v>933258</v>
      </c>
      <c r="I23" s="555"/>
      <c r="J23" s="555">
        <f>'1-1.일위대가'!J190</f>
        <v>0</v>
      </c>
      <c r="K23" s="555"/>
      <c r="L23" s="555">
        <f>'1-1.일위대가'!L190</f>
        <v>0</v>
      </c>
      <c r="M23" s="105" t="s">
        <v>26</v>
      </c>
    </row>
    <row r="24" spans="1:13" s="10" customFormat="1" ht="18.75" customHeight="1">
      <c r="A24" s="104" t="s">
        <v>555</v>
      </c>
      <c r="B24" s="105"/>
      <c r="C24" s="106">
        <f>'1-2.수량산출'!$D$4</f>
        <v>10.555</v>
      </c>
      <c r="D24" s="105" t="str">
        <f>'[21]2-3.수량산출서'!$E$4</f>
        <v>만㎡</v>
      </c>
      <c r="E24" s="555"/>
      <c r="F24" s="555">
        <f t="shared" si="0"/>
        <v>3768368</v>
      </c>
      <c r="G24" s="555"/>
      <c r="H24" s="555">
        <f>'1-1.일위대가'!H210</f>
        <v>3768368</v>
      </c>
      <c r="I24" s="555"/>
      <c r="J24" s="555">
        <f>'1-1.일위대가'!J210</f>
        <v>0</v>
      </c>
      <c r="K24" s="555"/>
      <c r="L24" s="555">
        <f>'1-1.일위대가'!L210</f>
        <v>0</v>
      </c>
      <c r="M24" s="105" t="s">
        <v>556</v>
      </c>
    </row>
    <row r="25" spans="1:13" s="108" customFormat="1" ht="18.75" customHeight="1">
      <c r="A25" s="104" t="s">
        <v>1253</v>
      </c>
      <c r="B25" s="105"/>
      <c r="C25" s="106">
        <f>'1-2.수량산출'!$D$4</f>
        <v>10.555</v>
      </c>
      <c r="D25" s="105" t="str">
        <f>'[21]2-3.수량산출서'!$E$4</f>
        <v>만㎡</v>
      </c>
      <c r="E25" s="555"/>
      <c r="F25" s="555">
        <f t="shared" si="0"/>
        <v>979385</v>
      </c>
      <c r="G25" s="555"/>
      <c r="H25" s="555">
        <f>'1-1.일위대가'!H224</f>
        <v>979385</v>
      </c>
      <c r="I25" s="555"/>
      <c r="J25" s="555">
        <f>'1-1.일위대가'!J211</f>
        <v>0</v>
      </c>
      <c r="K25" s="555"/>
      <c r="L25" s="555">
        <f>'1-1.일위대가'!L211</f>
        <v>0</v>
      </c>
      <c r="M25" s="105" t="s">
        <v>1254</v>
      </c>
    </row>
    <row r="26" spans="1:13" s="117" customFormat="1" ht="18.75" customHeight="1">
      <c r="A26" s="114" t="s">
        <v>32</v>
      </c>
      <c r="B26" s="556"/>
      <c r="C26" s="115"/>
      <c r="D26" s="556"/>
      <c r="E26" s="116"/>
      <c r="F26" s="116">
        <f>SUM(F27:F29)</f>
        <v>29604162.953005433</v>
      </c>
      <c r="G26" s="116"/>
      <c r="H26" s="116"/>
      <c r="I26" s="116"/>
      <c r="J26" s="116"/>
      <c r="K26" s="116"/>
      <c r="L26" s="116"/>
      <c r="M26" s="114"/>
    </row>
    <row r="27" spans="1:13" s="93" customFormat="1" ht="18.75" customHeight="1">
      <c r="A27" s="104" t="s">
        <v>51</v>
      </c>
      <c r="B27" s="105"/>
      <c r="C27" s="104">
        <v>1</v>
      </c>
      <c r="D27" s="105" t="s">
        <v>240</v>
      </c>
      <c r="E27" s="555"/>
      <c r="F27" s="555">
        <f>H27+J27+L27</f>
        <v>2125036.1848750003</v>
      </c>
      <c r="G27" s="555"/>
      <c r="H27" s="555">
        <f>'1-1.일위대가'!H195</f>
        <v>0</v>
      </c>
      <c r="I27" s="555"/>
      <c r="J27" s="555">
        <f>'1-1.일위대가'!J195</f>
        <v>0</v>
      </c>
      <c r="K27" s="555"/>
      <c r="L27" s="555">
        <f>'1-1.일위대가'!L195</f>
        <v>2125036.1848750003</v>
      </c>
      <c r="M27" s="105" t="s">
        <v>28</v>
      </c>
    </row>
    <row r="28" spans="1:13" s="93" customFormat="1" ht="18.75" customHeight="1">
      <c r="A28" s="104" t="s">
        <v>52</v>
      </c>
      <c r="B28" s="105"/>
      <c r="C28" s="104">
        <v>1</v>
      </c>
      <c r="D28" s="105" t="s">
        <v>240</v>
      </c>
      <c r="E28" s="555"/>
      <c r="F28" s="555">
        <f>H28+J28+L28</f>
        <v>2550950.3840000005</v>
      </c>
      <c r="G28" s="555"/>
      <c r="H28" s="555">
        <f>'1-1.일위대가'!H198</f>
        <v>0</v>
      </c>
      <c r="I28" s="555"/>
      <c r="J28" s="555">
        <f>'1-1.일위대가'!J199</f>
        <v>0</v>
      </c>
      <c r="K28" s="555"/>
      <c r="L28" s="555">
        <f>'1-1.일위대가'!L199</f>
        <v>2550950.3840000005</v>
      </c>
      <c r="M28" s="105" t="s">
        <v>27</v>
      </c>
    </row>
    <row r="29" spans="1:13" s="93" customFormat="1" ht="18.75" customHeight="1">
      <c r="A29" s="104" t="s">
        <v>557</v>
      </c>
      <c r="B29" s="105"/>
      <c r="C29" s="104">
        <v>1</v>
      </c>
      <c r="D29" s="105" t="s">
        <v>474</v>
      </c>
      <c r="E29" s="555"/>
      <c r="F29" s="555">
        <f>H29+J29+L29</f>
        <v>24928176.384130433</v>
      </c>
      <c r="G29" s="555"/>
      <c r="H29" s="555">
        <f>'1-1.일위대가'!H214</f>
        <v>0</v>
      </c>
      <c r="I29" s="555"/>
      <c r="J29" s="555">
        <f>'1-1.일위대가'!J214</f>
        <v>0</v>
      </c>
      <c r="K29" s="555"/>
      <c r="L29" s="555">
        <f>'1-1.일위대가'!L214</f>
        <v>24928176.384130433</v>
      </c>
      <c r="M29" s="105" t="s">
        <v>558</v>
      </c>
    </row>
    <row r="30" spans="1:13" s="108" customFormat="1" ht="18.75" customHeight="1">
      <c r="A30" s="104"/>
      <c r="B30" s="105"/>
      <c r="C30" s="104"/>
      <c r="D30" s="104"/>
      <c r="E30" s="555"/>
      <c r="F30" s="555"/>
      <c r="G30" s="555"/>
      <c r="H30" s="555"/>
      <c r="I30" s="555"/>
      <c r="J30" s="555"/>
      <c r="K30" s="555"/>
      <c r="L30" s="555"/>
      <c r="M30" s="104"/>
    </row>
    <row r="31" spans="1:13" s="117" customFormat="1" ht="18.75" customHeight="1">
      <c r="A31" s="114" t="s">
        <v>53</v>
      </c>
      <c r="B31" s="556"/>
      <c r="C31" s="115"/>
      <c r="D31" s="556"/>
      <c r="E31" s="116"/>
      <c r="F31" s="116">
        <f>ROUNDDOWN($F$6*1.2,0)</f>
        <v>33862981</v>
      </c>
      <c r="G31" s="116"/>
      <c r="H31" s="116"/>
      <c r="I31" s="116"/>
      <c r="J31" s="116"/>
      <c r="K31" s="116"/>
      <c r="L31" s="116"/>
      <c r="M31" s="114"/>
    </row>
    <row r="32" spans="1:13" s="108" customFormat="1" ht="18.75" customHeight="1">
      <c r="A32" s="104"/>
      <c r="B32" s="105"/>
      <c r="C32" s="104"/>
      <c r="D32" s="104"/>
      <c r="E32" s="555"/>
      <c r="F32" s="555"/>
      <c r="G32" s="555"/>
      <c r="H32" s="555"/>
      <c r="I32" s="555"/>
      <c r="J32" s="555"/>
      <c r="K32" s="555"/>
      <c r="L32" s="555"/>
      <c r="M32" s="104"/>
    </row>
    <row r="33" spans="1:13" s="117" customFormat="1" ht="18.75" customHeight="1">
      <c r="A33" s="114" t="s">
        <v>56</v>
      </c>
      <c r="B33" s="556"/>
      <c r="C33" s="115"/>
      <c r="D33" s="556"/>
      <c r="E33" s="116"/>
      <c r="F33" s="116">
        <f>ROUNDDOWN(($F$6+$F$31)*0.3,0)-24</f>
        <v>18624615</v>
      </c>
      <c r="G33" s="116"/>
      <c r="H33" s="116"/>
      <c r="I33" s="116"/>
      <c r="J33" s="116"/>
      <c r="K33" s="116"/>
      <c r="L33" s="116"/>
      <c r="M33" s="114"/>
    </row>
    <row r="34" spans="1:13" s="108" customFormat="1" ht="18.75" customHeight="1">
      <c r="A34" s="104"/>
      <c r="B34" s="105"/>
      <c r="C34" s="104"/>
      <c r="D34" s="104"/>
      <c r="E34" s="555"/>
      <c r="F34" s="555"/>
      <c r="G34" s="555"/>
      <c r="H34" s="555"/>
      <c r="I34" s="555"/>
      <c r="J34" s="555"/>
      <c r="K34" s="555"/>
      <c r="L34" s="555"/>
      <c r="M34" s="104"/>
    </row>
    <row r="35" spans="1:13" s="11" customFormat="1" ht="18.75" customHeight="1">
      <c r="A35" s="97" t="s">
        <v>55</v>
      </c>
      <c r="B35" s="97"/>
      <c r="C35" s="102"/>
      <c r="D35" s="97"/>
      <c r="E35" s="103"/>
      <c r="F35" s="103">
        <f>F6+F26+F31+F33</f>
        <v>110310909.95300543</v>
      </c>
      <c r="G35" s="103"/>
      <c r="H35" s="103"/>
      <c r="I35" s="103"/>
      <c r="J35" s="103"/>
      <c r="K35" s="103"/>
      <c r="L35" s="103"/>
      <c r="M35" s="101"/>
    </row>
    <row r="36" spans="1:13" s="11" customFormat="1" ht="18.75" customHeight="1">
      <c r="A36" s="97"/>
      <c r="B36" s="97"/>
      <c r="C36" s="102"/>
      <c r="D36" s="97"/>
      <c r="E36" s="103"/>
      <c r="F36" s="103"/>
      <c r="G36" s="103"/>
      <c r="H36" s="103"/>
      <c r="I36" s="103"/>
      <c r="J36" s="103"/>
      <c r="K36" s="103"/>
      <c r="L36" s="103"/>
      <c r="M36" s="101"/>
    </row>
    <row r="37" spans="1:13" s="117" customFormat="1" ht="18.75" customHeight="1">
      <c r="A37" s="114" t="s">
        <v>33</v>
      </c>
      <c r="B37" s="556"/>
      <c r="C37" s="115"/>
      <c r="D37" s="556"/>
      <c r="E37" s="116"/>
      <c r="F37" s="116">
        <f>F35*0.1</f>
        <v>11031090.995300544</v>
      </c>
      <c r="G37" s="116"/>
      <c r="H37" s="116"/>
      <c r="I37" s="116"/>
      <c r="J37" s="116"/>
      <c r="K37" s="116"/>
      <c r="L37" s="116"/>
      <c r="M37" s="114"/>
    </row>
    <row r="38" spans="1:13" s="10" customFormat="1" ht="18.75" customHeight="1">
      <c r="A38" s="104"/>
      <c r="B38" s="105"/>
      <c r="C38" s="104"/>
      <c r="D38" s="104"/>
      <c r="E38" s="104"/>
      <c r="F38" s="555"/>
      <c r="G38" s="104"/>
      <c r="H38" s="103"/>
      <c r="I38" s="103"/>
      <c r="J38" s="104"/>
      <c r="K38" s="104"/>
      <c r="L38" s="104"/>
      <c r="M38" s="104"/>
    </row>
    <row r="39" spans="1:13" s="118" customFormat="1" ht="18.75" customHeight="1">
      <c r="A39" s="112" t="s">
        <v>54</v>
      </c>
      <c r="B39" s="573"/>
      <c r="C39" s="573"/>
      <c r="D39" s="573"/>
      <c r="E39" s="573"/>
      <c r="F39" s="113">
        <f>F35+F37</f>
        <v>121342000.94830598</v>
      </c>
      <c r="G39" s="573"/>
      <c r="H39" s="573"/>
      <c r="I39" s="573"/>
      <c r="J39" s="573"/>
      <c r="K39" s="573"/>
      <c r="L39" s="573"/>
      <c r="M39" s="573"/>
    </row>
    <row r="40" spans="1:13" ht="26.1" customHeight="1"/>
    <row r="41" spans="1:13" ht="26.1" customHeight="1"/>
    <row r="42" spans="1:13" ht="26.1" customHeight="1"/>
  </sheetData>
  <mergeCells count="10">
    <mergeCell ref="A1:M1"/>
    <mergeCell ref="A3:A4"/>
    <mergeCell ref="B3:B4"/>
    <mergeCell ref="C3:C4"/>
    <mergeCell ref="D3:D4"/>
    <mergeCell ref="E3:F3"/>
    <mergeCell ref="G3:H3"/>
    <mergeCell ref="I3:J3"/>
    <mergeCell ref="K3:L3"/>
    <mergeCell ref="M3:M4"/>
  </mergeCells>
  <phoneticPr fontId="2" type="noConversion"/>
  <printOptions horizontalCentered="1"/>
  <pageMargins left="0.70866141732283472" right="0.70866141732283472" top="0.74803149606299213" bottom="0.74803149606299213"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view="pageBreakPreview" zoomScale="85" zoomScaleNormal="70" zoomScaleSheetLayoutView="85" workbookViewId="0">
      <pane xSplit="1" ySplit="4" topLeftCell="B206" activePane="bottomRight" state="frozen"/>
      <selection activeCell="I8" sqref="I8:K8"/>
      <selection pane="topRight" activeCell="I8" sqref="I8:K8"/>
      <selection pane="bottomLeft" activeCell="I8" sqref="I8:K8"/>
      <selection pane="bottomRight" activeCell="I8" sqref="I8:K8"/>
    </sheetView>
  </sheetViews>
  <sheetFormatPr defaultRowHeight="25.15" customHeight="1"/>
  <cols>
    <col min="1" max="1" width="31.5" style="574" customWidth="1"/>
    <col min="2" max="2" width="33.25" style="574" customWidth="1"/>
    <col min="3" max="3" width="7" style="587" customWidth="1"/>
    <col min="4" max="4" width="7" style="574" customWidth="1"/>
    <col min="5" max="5" width="9" style="574" customWidth="1"/>
    <col min="6" max="6" width="10.625" style="574" customWidth="1"/>
    <col min="7" max="7" width="10.625" style="588" customWidth="1"/>
    <col min="8" max="8" width="10.625" style="589" customWidth="1"/>
    <col min="9" max="9" width="11.875" style="574" customWidth="1"/>
    <col min="10" max="12" width="10.625" style="574" customWidth="1"/>
    <col min="13" max="13" width="9.5" style="574" customWidth="1"/>
    <col min="14" max="256" width="9" style="574"/>
    <col min="257" max="257" width="45.875" style="574" customWidth="1"/>
    <col min="258" max="260" width="9.25" style="574" customWidth="1"/>
    <col min="261" max="268" width="17.75" style="574" customWidth="1"/>
    <col min="269" max="269" width="9.5" style="574" customWidth="1"/>
    <col min="270" max="512" width="9" style="574"/>
    <col min="513" max="513" width="45.875" style="574" customWidth="1"/>
    <col min="514" max="516" width="9.25" style="574" customWidth="1"/>
    <col min="517" max="524" width="17.75" style="574" customWidth="1"/>
    <col min="525" max="525" width="9.5" style="574" customWidth="1"/>
    <col min="526" max="768" width="9" style="574"/>
    <col min="769" max="769" width="45.875" style="574" customWidth="1"/>
    <col min="770" max="772" width="9.25" style="574" customWidth="1"/>
    <col min="773" max="780" width="17.75" style="574" customWidth="1"/>
    <col min="781" max="781" width="9.5" style="574" customWidth="1"/>
    <col min="782" max="1024" width="9" style="574"/>
    <col min="1025" max="1025" width="45.875" style="574" customWidth="1"/>
    <col min="1026" max="1028" width="9.25" style="574" customWidth="1"/>
    <col min="1029" max="1036" width="17.75" style="574" customWidth="1"/>
    <col min="1037" max="1037" width="9.5" style="574" customWidth="1"/>
    <col min="1038" max="1280" width="9" style="574"/>
    <col min="1281" max="1281" width="45.875" style="574" customWidth="1"/>
    <col min="1282" max="1284" width="9.25" style="574" customWidth="1"/>
    <col min="1285" max="1292" width="17.75" style="574" customWidth="1"/>
    <col min="1293" max="1293" width="9.5" style="574" customWidth="1"/>
    <col min="1294" max="1536" width="9" style="574"/>
    <col min="1537" max="1537" width="45.875" style="574" customWidth="1"/>
    <col min="1538" max="1540" width="9.25" style="574" customWidth="1"/>
    <col min="1541" max="1548" width="17.75" style="574" customWidth="1"/>
    <col min="1549" max="1549" width="9.5" style="574" customWidth="1"/>
    <col min="1550" max="1792" width="9" style="574"/>
    <col min="1793" max="1793" width="45.875" style="574" customWidth="1"/>
    <col min="1794" max="1796" width="9.25" style="574" customWidth="1"/>
    <col min="1797" max="1804" width="17.75" style="574" customWidth="1"/>
    <col min="1805" max="1805" width="9.5" style="574" customWidth="1"/>
    <col min="1806" max="2048" width="9" style="574"/>
    <col min="2049" max="2049" width="45.875" style="574" customWidth="1"/>
    <col min="2050" max="2052" width="9.25" style="574" customWidth="1"/>
    <col min="2053" max="2060" width="17.75" style="574" customWidth="1"/>
    <col min="2061" max="2061" width="9.5" style="574" customWidth="1"/>
    <col min="2062" max="2304" width="9" style="574"/>
    <col min="2305" max="2305" width="45.875" style="574" customWidth="1"/>
    <col min="2306" max="2308" width="9.25" style="574" customWidth="1"/>
    <col min="2309" max="2316" width="17.75" style="574" customWidth="1"/>
    <col min="2317" max="2317" width="9.5" style="574" customWidth="1"/>
    <col min="2318" max="2560" width="9" style="574"/>
    <col min="2561" max="2561" width="45.875" style="574" customWidth="1"/>
    <col min="2562" max="2564" width="9.25" style="574" customWidth="1"/>
    <col min="2565" max="2572" width="17.75" style="574" customWidth="1"/>
    <col min="2573" max="2573" width="9.5" style="574" customWidth="1"/>
    <col min="2574" max="2816" width="9" style="574"/>
    <col min="2817" max="2817" width="45.875" style="574" customWidth="1"/>
    <col min="2818" max="2820" width="9.25" style="574" customWidth="1"/>
    <col min="2821" max="2828" width="17.75" style="574" customWidth="1"/>
    <col min="2829" max="2829" width="9.5" style="574" customWidth="1"/>
    <col min="2830" max="3072" width="9" style="574"/>
    <col min="3073" max="3073" width="45.875" style="574" customWidth="1"/>
    <col min="3074" max="3076" width="9.25" style="574" customWidth="1"/>
    <col min="3077" max="3084" width="17.75" style="574" customWidth="1"/>
    <col min="3085" max="3085" width="9.5" style="574" customWidth="1"/>
    <col min="3086" max="3328" width="9" style="574"/>
    <col min="3329" max="3329" width="45.875" style="574" customWidth="1"/>
    <col min="3330" max="3332" width="9.25" style="574" customWidth="1"/>
    <col min="3333" max="3340" width="17.75" style="574" customWidth="1"/>
    <col min="3341" max="3341" width="9.5" style="574" customWidth="1"/>
    <col min="3342" max="3584" width="9" style="574"/>
    <col min="3585" max="3585" width="45.875" style="574" customWidth="1"/>
    <col min="3586" max="3588" width="9.25" style="574" customWidth="1"/>
    <col min="3589" max="3596" width="17.75" style="574" customWidth="1"/>
    <col min="3597" max="3597" width="9.5" style="574" customWidth="1"/>
    <col min="3598" max="3840" width="9" style="574"/>
    <col min="3841" max="3841" width="45.875" style="574" customWidth="1"/>
    <col min="3842" max="3844" width="9.25" style="574" customWidth="1"/>
    <col min="3845" max="3852" width="17.75" style="574" customWidth="1"/>
    <col min="3853" max="3853" width="9.5" style="574" customWidth="1"/>
    <col min="3854" max="4096" width="9" style="574"/>
    <col min="4097" max="4097" width="45.875" style="574" customWidth="1"/>
    <col min="4098" max="4100" width="9.25" style="574" customWidth="1"/>
    <col min="4101" max="4108" width="17.75" style="574" customWidth="1"/>
    <col min="4109" max="4109" width="9.5" style="574" customWidth="1"/>
    <col min="4110" max="4352" width="9" style="574"/>
    <col min="4353" max="4353" width="45.875" style="574" customWidth="1"/>
    <col min="4354" max="4356" width="9.25" style="574" customWidth="1"/>
    <col min="4357" max="4364" width="17.75" style="574" customWidth="1"/>
    <col min="4365" max="4365" width="9.5" style="574" customWidth="1"/>
    <col min="4366" max="4608" width="9" style="574"/>
    <col min="4609" max="4609" width="45.875" style="574" customWidth="1"/>
    <col min="4610" max="4612" width="9.25" style="574" customWidth="1"/>
    <col min="4613" max="4620" width="17.75" style="574" customWidth="1"/>
    <col min="4621" max="4621" width="9.5" style="574" customWidth="1"/>
    <col min="4622" max="4864" width="9" style="574"/>
    <col min="4865" max="4865" width="45.875" style="574" customWidth="1"/>
    <col min="4866" max="4868" width="9.25" style="574" customWidth="1"/>
    <col min="4869" max="4876" width="17.75" style="574" customWidth="1"/>
    <col min="4877" max="4877" width="9.5" style="574" customWidth="1"/>
    <col min="4878" max="5120" width="9" style="574"/>
    <col min="5121" max="5121" width="45.875" style="574" customWidth="1"/>
    <col min="5122" max="5124" width="9.25" style="574" customWidth="1"/>
    <col min="5125" max="5132" width="17.75" style="574" customWidth="1"/>
    <col min="5133" max="5133" width="9.5" style="574" customWidth="1"/>
    <col min="5134" max="5376" width="9" style="574"/>
    <col min="5377" max="5377" width="45.875" style="574" customWidth="1"/>
    <col min="5378" max="5380" width="9.25" style="574" customWidth="1"/>
    <col min="5381" max="5388" width="17.75" style="574" customWidth="1"/>
    <col min="5389" max="5389" width="9.5" style="574" customWidth="1"/>
    <col min="5390" max="5632" width="9" style="574"/>
    <col min="5633" max="5633" width="45.875" style="574" customWidth="1"/>
    <col min="5634" max="5636" width="9.25" style="574" customWidth="1"/>
    <col min="5637" max="5644" width="17.75" style="574" customWidth="1"/>
    <col min="5645" max="5645" width="9.5" style="574" customWidth="1"/>
    <col min="5646" max="5888" width="9" style="574"/>
    <col min="5889" max="5889" width="45.875" style="574" customWidth="1"/>
    <col min="5890" max="5892" width="9.25" style="574" customWidth="1"/>
    <col min="5893" max="5900" width="17.75" style="574" customWidth="1"/>
    <col min="5901" max="5901" width="9.5" style="574" customWidth="1"/>
    <col min="5902" max="6144" width="9" style="574"/>
    <col min="6145" max="6145" width="45.875" style="574" customWidth="1"/>
    <col min="6146" max="6148" width="9.25" style="574" customWidth="1"/>
    <col min="6149" max="6156" width="17.75" style="574" customWidth="1"/>
    <col min="6157" max="6157" width="9.5" style="574" customWidth="1"/>
    <col min="6158" max="6400" width="9" style="574"/>
    <col min="6401" max="6401" width="45.875" style="574" customWidth="1"/>
    <col min="6402" max="6404" width="9.25" style="574" customWidth="1"/>
    <col min="6405" max="6412" width="17.75" style="574" customWidth="1"/>
    <col min="6413" max="6413" width="9.5" style="574" customWidth="1"/>
    <col min="6414" max="6656" width="9" style="574"/>
    <col min="6657" max="6657" width="45.875" style="574" customWidth="1"/>
    <col min="6658" max="6660" width="9.25" style="574" customWidth="1"/>
    <col min="6661" max="6668" width="17.75" style="574" customWidth="1"/>
    <col min="6669" max="6669" width="9.5" style="574" customWidth="1"/>
    <col min="6670" max="6912" width="9" style="574"/>
    <col min="6913" max="6913" width="45.875" style="574" customWidth="1"/>
    <col min="6914" max="6916" width="9.25" style="574" customWidth="1"/>
    <col min="6917" max="6924" width="17.75" style="574" customWidth="1"/>
    <col min="6925" max="6925" width="9.5" style="574" customWidth="1"/>
    <col min="6926" max="7168" width="9" style="574"/>
    <col min="7169" max="7169" width="45.875" style="574" customWidth="1"/>
    <col min="7170" max="7172" width="9.25" style="574" customWidth="1"/>
    <col min="7173" max="7180" width="17.75" style="574" customWidth="1"/>
    <col min="7181" max="7181" width="9.5" style="574" customWidth="1"/>
    <col min="7182" max="7424" width="9" style="574"/>
    <col min="7425" max="7425" width="45.875" style="574" customWidth="1"/>
    <col min="7426" max="7428" width="9.25" style="574" customWidth="1"/>
    <col min="7429" max="7436" width="17.75" style="574" customWidth="1"/>
    <col min="7437" max="7437" width="9.5" style="574" customWidth="1"/>
    <col min="7438" max="7680" width="9" style="574"/>
    <col min="7681" max="7681" width="45.875" style="574" customWidth="1"/>
    <col min="7682" max="7684" width="9.25" style="574" customWidth="1"/>
    <col min="7685" max="7692" width="17.75" style="574" customWidth="1"/>
    <col min="7693" max="7693" width="9.5" style="574" customWidth="1"/>
    <col min="7694" max="7936" width="9" style="574"/>
    <col min="7937" max="7937" width="45.875" style="574" customWidth="1"/>
    <col min="7938" max="7940" width="9.25" style="574" customWidth="1"/>
    <col min="7941" max="7948" width="17.75" style="574" customWidth="1"/>
    <col min="7949" max="7949" width="9.5" style="574" customWidth="1"/>
    <col min="7950" max="8192" width="9" style="574"/>
    <col min="8193" max="8193" width="45.875" style="574" customWidth="1"/>
    <col min="8194" max="8196" width="9.25" style="574" customWidth="1"/>
    <col min="8197" max="8204" width="17.75" style="574" customWidth="1"/>
    <col min="8205" max="8205" width="9.5" style="574" customWidth="1"/>
    <col min="8206" max="8448" width="9" style="574"/>
    <col min="8449" max="8449" width="45.875" style="574" customWidth="1"/>
    <col min="8450" max="8452" width="9.25" style="574" customWidth="1"/>
    <col min="8453" max="8460" width="17.75" style="574" customWidth="1"/>
    <col min="8461" max="8461" width="9.5" style="574" customWidth="1"/>
    <col min="8462" max="8704" width="9" style="574"/>
    <col min="8705" max="8705" width="45.875" style="574" customWidth="1"/>
    <col min="8706" max="8708" width="9.25" style="574" customWidth="1"/>
    <col min="8709" max="8716" width="17.75" style="574" customWidth="1"/>
    <col min="8717" max="8717" width="9.5" style="574" customWidth="1"/>
    <col min="8718" max="8960" width="9" style="574"/>
    <col min="8961" max="8961" width="45.875" style="574" customWidth="1"/>
    <col min="8962" max="8964" width="9.25" style="574" customWidth="1"/>
    <col min="8965" max="8972" width="17.75" style="574" customWidth="1"/>
    <col min="8973" max="8973" width="9.5" style="574" customWidth="1"/>
    <col min="8974" max="9216" width="9" style="574"/>
    <col min="9217" max="9217" width="45.875" style="574" customWidth="1"/>
    <col min="9218" max="9220" width="9.25" style="574" customWidth="1"/>
    <col min="9221" max="9228" width="17.75" style="574" customWidth="1"/>
    <col min="9229" max="9229" width="9.5" style="574" customWidth="1"/>
    <col min="9230" max="9472" width="9" style="574"/>
    <col min="9473" max="9473" width="45.875" style="574" customWidth="1"/>
    <col min="9474" max="9476" width="9.25" style="574" customWidth="1"/>
    <col min="9477" max="9484" width="17.75" style="574" customWidth="1"/>
    <col min="9485" max="9485" width="9.5" style="574" customWidth="1"/>
    <col min="9486" max="9728" width="9" style="574"/>
    <col min="9729" max="9729" width="45.875" style="574" customWidth="1"/>
    <col min="9730" max="9732" width="9.25" style="574" customWidth="1"/>
    <col min="9733" max="9740" width="17.75" style="574" customWidth="1"/>
    <col min="9741" max="9741" width="9.5" style="574" customWidth="1"/>
    <col min="9742" max="9984" width="9" style="574"/>
    <col min="9985" max="9985" width="45.875" style="574" customWidth="1"/>
    <col min="9986" max="9988" width="9.25" style="574" customWidth="1"/>
    <col min="9989" max="9996" width="17.75" style="574" customWidth="1"/>
    <col min="9997" max="9997" width="9.5" style="574" customWidth="1"/>
    <col min="9998" max="10240" width="9" style="574"/>
    <col min="10241" max="10241" width="45.875" style="574" customWidth="1"/>
    <col min="10242" max="10244" width="9.25" style="574" customWidth="1"/>
    <col min="10245" max="10252" width="17.75" style="574" customWidth="1"/>
    <col min="10253" max="10253" width="9.5" style="574" customWidth="1"/>
    <col min="10254" max="10496" width="9" style="574"/>
    <col min="10497" max="10497" width="45.875" style="574" customWidth="1"/>
    <col min="10498" max="10500" width="9.25" style="574" customWidth="1"/>
    <col min="10501" max="10508" width="17.75" style="574" customWidth="1"/>
    <col min="10509" max="10509" width="9.5" style="574" customWidth="1"/>
    <col min="10510" max="10752" width="9" style="574"/>
    <col min="10753" max="10753" width="45.875" style="574" customWidth="1"/>
    <col min="10754" max="10756" width="9.25" style="574" customWidth="1"/>
    <col min="10757" max="10764" width="17.75" style="574" customWidth="1"/>
    <col min="10765" max="10765" width="9.5" style="574" customWidth="1"/>
    <col min="10766" max="11008" width="9" style="574"/>
    <col min="11009" max="11009" width="45.875" style="574" customWidth="1"/>
    <col min="11010" max="11012" width="9.25" style="574" customWidth="1"/>
    <col min="11013" max="11020" width="17.75" style="574" customWidth="1"/>
    <col min="11021" max="11021" width="9.5" style="574" customWidth="1"/>
    <col min="11022" max="11264" width="9" style="574"/>
    <col min="11265" max="11265" width="45.875" style="574" customWidth="1"/>
    <col min="11266" max="11268" width="9.25" style="574" customWidth="1"/>
    <col min="11269" max="11276" width="17.75" style="574" customWidth="1"/>
    <col min="11277" max="11277" width="9.5" style="574" customWidth="1"/>
    <col min="11278" max="11520" width="9" style="574"/>
    <col min="11521" max="11521" width="45.875" style="574" customWidth="1"/>
    <col min="11522" max="11524" width="9.25" style="574" customWidth="1"/>
    <col min="11525" max="11532" width="17.75" style="574" customWidth="1"/>
    <col min="11533" max="11533" width="9.5" style="574" customWidth="1"/>
    <col min="11534" max="11776" width="9" style="574"/>
    <col min="11777" max="11777" width="45.875" style="574" customWidth="1"/>
    <col min="11778" max="11780" width="9.25" style="574" customWidth="1"/>
    <col min="11781" max="11788" width="17.75" style="574" customWidth="1"/>
    <col min="11789" max="11789" width="9.5" style="574" customWidth="1"/>
    <col min="11790" max="12032" width="9" style="574"/>
    <col min="12033" max="12033" width="45.875" style="574" customWidth="1"/>
    <col min="12034" max="12036" width="9.25" style="574" customWidth="1"/>
    <col min="12037" max="12044" width="17.75" style="574" customWidth="1"/>
    <col min="12045" max="12045" width="9.5" style="574" customWidth="1"/>
    <col min="12046" max="12288" width="9" style="574"/>
    <col min="12289" max="12289" width="45.875" style="574" customWidth="1"/>
    <col min="12290" max="12292" width="9.25" style="574" customWidth="1"/>
    <col min="12293" max="12300" width="17.75" style="574" customWidth="1"/>
    <col min="12301" max="12301" width="9.5" style="574" customWidth="1"/>
    <col min="12302" max="12544" width="9" style="574"/>
    <col min="12545" max="12545" width="45.875" style="574" customWidth="1"/>
    <col min="12546" max="12548" width="9.25" style="574" customWidth="1"/>
    <col min="12549" max="12556" width="17.75" style="574" customWidth="1"/>
    <col min="12557" max="12557" width="9.5" style="574" customWidth="1"/>
    <col min="12558" max="12800" width="9" style="574"/>
    <col min="12801" max="12801" width="45.875" style="574" customWidth="1"/>
    <col min="12802" max="12804" width="9.25" style="574" customWidth="1"/>
    <col min="12805" max="12812" width="17.75" style="574" customWidth="1"/>
    <col min="12813" max="12813" width="9.5" style="574" customWidth="1"/>
    <col min="12814" max="13056" width="9" style="574"/>
    <col min="13057" max="13057" width="45.875" style="574" customWidth="1"/>
    <col min="13058" max="13060" width="9.25" style="574" customWidth="1"/>
    <col min="13061" max="13068" width="17.75" style="574" customWidth="1"/>
    <col min="13069" max="13069" width="9.5" style="574" customWidth="1"/>
    <col min="13070" max="13312" width="9" style="574"/>
    <col min="13313" max="13313" width="45.875" style="574" customWidth="1"/>
    <col min="13314" max="13316" width="9.25" style="574" customWidth="1"/>
    <col min="13317" max="13324" width="17.75" style="574" customWidth="1"/>
    <col min="13325" max="13325" width="9.5" style="574" customWidth="1"/>
    <col min="13326" max="13568" width="9" style="574"/>
    <col min="13569" max="13569" width="45.875" style="574" customWidth="1"/>
    <col min="13570" max="13572" width="9.25" style="574" customWidth="1"/>
    <col min="13573" max="13580" width="17.75" style="574" customWidth="1"/>
    <col min="13581" max="13581" width="9.5" style="574" customWidth="1"/>
    <col min="13582" max="13824" width="9" style="574"/>
    <col min="13825" max="13825" width="45.875" style="574" customWidth="1"/>
    <col min="13826" max="13828" width="9.25" style="574" customWidth="1"/>
    <col min="13829" max="13836" width="17.75" style="574" customWidth="1"/>
    <col min="13837" max="13837" width="9.5" style="574" customWidth="1"/>
    <col min="13838" max="14080" width="9" style="574"/>
    <col min="14081" max="14081" width="45.875" style="574" customWidth="1"/>
    <col min="14082" max="14084" width="9.25" style="574" customWidth="1"/>
    <col min="14085" max="14092" width="17.75" style="574" customWidth="1"/>
    <col min="14093" max="14093" width="9.5" style="574" customWidth="1"/>
    <col min="14094" max="14336" width="9" style="574"/>
    <col min="14337" max="14337" width="45.875" style="574" customWidth="1"/>
    <col min="14338" max="14340" width="9.25" style="574" customWidth="1"/>
    <col min="14341" max="14348" width="17.75" style="574" customWidth="1"/>
    <col min="14349" max="14349" width="9.5" style="574" customWidth="1"/>
    <col min="14350" max="14592" width="9" style="574"/>
    <col min="14593" max="14593" width="45.875" style="574" customWidth="1"/>
    <col min="14594" max="14596" width="9.25" style="574" customWidth="1"/>
    <col min="14597" max="14604" width="17.75" style="574" customWidth="1"/>
    <col min="14605" max="14605" width="9.5" style="574" customWidth="1"/>
    <col min="14606" max="14848" width="9" style="574"/>
    <col min="14849" max="14849" width="45.875" style="574" customWidth="1"/>
    <col min="14850" max="14852" width="9.25" style="574" customWidth="1"/>
    <col min="14853" max="14860" width="17.75" style="574" customWidth="1"/>
    <col min="14861" max="14861" width="9.5" style="574" customWidth="1"/>
    <col min="14862" max="15104" width="9" style="574"/>
    <col min="15105" max="15105" width="45.875" style="574" customWidth="1"/>
    <col min="15106" max="15108" width="9.25" style="574" customWidth="1"/>
    <col min="15109" max="15116" width="17.75" style="574" customWidth="1"/>
    <col min="15117" max="15117" width="9.5" style="574" customWidth="1"/>
    <col min="15118" max="15360" width="9" style="574"/>
    <col min="15361" max="15361" width="45.875" style="574" customWidth="1"/>
    <col min="15362" max="15364" width="9.25" style="574" customWidth="1"/>
    <col min="15365" max="15372" width="17.75" style="574" customWidth="1"/>
    <col min="15373" max="15373" width="9.5" style="574" customWidth="1"/>
    <col min="15374" max="15616" width="9" style="574"/>
    <col min="15617" max="15617" width="45.875" style="574" customWidth="1"/>
    <col min="15618" max="15620" width="9.25" style="574" customWidth="1"/>
    <col min="15621" max="15628" width="17.75" style="574" customWidth="1"/>
    <col min="15629" max="15629" width="9.5" style="574" customWidth="1"/>
    <col min="15630" max="15872" width="9" style="574"/>
    <col min="15873" max="15873" width="45.875" style="574" customWidth="1"/>
    <col min="15874" max="15876" width="9.25" style="574" customWidth="1"/>
    <col min="15877" max="15884" width="17.75" style="574" customWidth="1"/>
    <col min="15885" max="15885" width="9.5" style="574" customWidth="1"/>
    <col min="15886" max="16128" width="9" style="574"/>
    <col min="16129" max="16129" width="45.875" style="574" customWidth="1"/>
    <col min="16130" max="16132" width="9.25" style="574" customWidth="1"/>
    <col min="16133" max="16140" width="17.75" style="574" customWidth="1"/>
    <col min="16141" max="16141" width="9.5" style="574" customWidth="1"/>
    <col min="16142" max="16384" width="9" style="574"/>
  </cols>
  <sheetData>
    <row r="1" spans="1:13" ht="33" customHeight="1">
      <c r="A1" s="1481" t="s">
        <v>562</v>
      </c>
      <c r="B1" s="1481"/>
      <c r="C1" s="1481"/>
      <c r="D1" s="1481"/>
      <c r="E1" s="1481"/>
      <c r="F1" s="1481"/>
      <c r="G1" s="1481"/>
      <c r="H1" s="1481"/>
      <c r="I1" s="1481"/>
      <c r="J1" s="1481"/>
      <c r="K1" s="1481"/>
      <c r="L1" s="1481"/>
      <c r="M1" s="1481"/>
    </row>
    <row r="2" spans="1:13" s="10" customFormat="1" ht="12" customHeight="1">
      <c r="A2" s="72"/>
      <c r="B2" s="72"/>
      <c r="C2" s="73"/>
      <c r="D2" s="72"/>
      <c r="E2" s="72"/>
      <c r="F2" s="72"/>
      <c r="G2" s="72"/>
      <c r="H2" s="72"/>
      <c r="I2" s="72"/>
      <c r="J2" s="72"/>
      <c r="K2" s="72"/>
      <c r="L2" s="72"/>
      <c r="M2" s="72"/>
    </row>
    <row r="3" spans="1:13" s="74" customFormat="1" ht="19.5" customHeight="1">
      <c r="A3" s="1482" t="s">
        <v>563</v>
      </c>
      <c r="B3" s="1482" t="s">
        <v>564</v>
      </c>
      <c r="C3" s="1483" t="s">
        <v>565</v>
      </c>
      <c r="D3" s="1482" t="s">
        <v>566</v>
      </c>
      <c r="E3" s="1482" t="s">
        <v>567</v>
      </c>
      <c r="F3" s="1482"/>
      <c r="G3" s="1482" t="s">
        <v>568</v>
      </c>
      <c r="H3" s="1482"/>
      <c r="I3" s="1482" t="s">
        <v>569</v>
      </c>
      <c r="J3" s="1482"/>
      <c r="K3" s="1482" t="s">
        <v>570</v>
      </c>
      <c r="L3" s="1482"/>
      <c r="M3" s="1482" t="s">
        <v>571</v>
      </c>
    </row>
    <row r="4" spans="1:13" s="74" customFormat="1" ht="19.5" customHeight="1">
      <c r="A4" s="1482"/>
      <c r="B4" s="1482"/>
      <c r="C4" s="1483"/>
      <c r="D4" s="1482"/>
      <c r="E4" s="556" t="s">
        <v>572</v>
      </c>
      <c r="F4" s="556" t="s">
        <v>573</v>
      </c>
      <c r="G4" s="75" t="s">
        <v>572</v>
      </c>
      <c r="H4" s="76" t="s">
        <v>573</v>
      </c>
      <c r="I4" s="556" t="s">
        <v>572</v>
      </c>
      <c r="J4" s="556" t="s">
        <v>573</v>
      </c>
      <c r="K4" s="556" t="s">
        <v>572</v>
      </c>
      <c r="L4" s="556" t="s">
        <v>573</v>
      </c>
      <c r="M4" s="1482"/>
    </row>
    <row r="5" spans="1:13" s="11" customFormat="1" ht="19.5" customHeight="1">
      <c r="A5" s="19" t="s">
        <v>574</v>
      </c>
      <c r="B5" s="19"/>
      <c r="C5" s="77"/>
      <c r="D5" s="141"/>
      <c r="E5" s="141"/>
      <c r="F5" s="141"/>
      <c r="G5" s="78"/>
      <c r="H5" s="79"/>
      <c r="I5" s="141"/>
      <c r="J5" s="141"/>
      <c r="K5" s="141"/>
      <c r="L5" s="141"/>
      <c r="M5" s="141"/>
    </row>
    <row r="6" spans="1:13" s="10" customFormat="1" ht="19.5" customHeight="1">
      <c r="A6" s="80" t="s">
        <v>575</v>
      </c>
      <c r="B6" s="80"/>
      <c r="C6" s="81">
        <f>'1-2.수량산출'!C17</f>
        <v>0.7</v>
      </c>
      <c r="D6" s="82" t="s">
        <v>576</v>
      </c>
      <c r="E6" s="83">
        <f t="shared" ref="E6:F11" si="0">G6+I6+K6</f>
        <v>325327.32320500002</v>
      </c>
      <c r="F6" s="83">
        <f t="shared" si="0"/>
        <v>227729</v>
      </c>
      <c r="G6" s="83">
        <f>'1-2.수량산출'!M4</f>
        <v>325327.32320500002</v>
      </c>
      <c r="H6" s="83">
        <f t="shared" ref="H6:H11" si="1">ROUNDDOWN(G6*C6,0)</f>
        <v>227729</v>
      </c>
      <c r="I6" s="83"/>
      <c r="J6" s="82"/>
      <c r="K6" s="82"/>
      <c r="L6" s="82"/>
      <c r="M6" s="82"/>
    </row>
    <row r="7" spans="1:13" s="10" customFormat="1" ht="19.5" customHeight="1">
      <c r="A7" s="80" t="s">
        <v>577</v>
      </c>
      <c r="B7" s="80"/>
      <c r="C7" s="81">
        <f>'1-2.수량산출'!D17</f>
        <v>2.6</v>
      </c>
      <c r="D7" s="82" t="s">
        <v>576</v>
      </c>
      <c r="E7" s="83">
        <f t="shared" si="0"/>
        <v>238578.78030000001</v>
      </c>
      <c r="F7" s="83">
        <f t="shared" si="0"/>
        <v>620304</v>
      </c>
      <c r="G7" s="83">
        <f>'1-2.수량산출'!M5</f>
        <v>238578.78030000001</v>
      </c>
      <c r="H7" s="83">
        <f t="shared" si="1"/>
        <v>620304</v>
      </c>
      <c r="I7" s="83"/>
      <c r="J7" s="82"/>
      <c r="K7" s="82"/>
      <c r="L7" s="82"/>
      <c r="M7" s="82"/>
    </row>
    <row r="8" spans="1:13" s="10" customFormat="1" ht="19.5" customHeight="1">
      <c r="A8" s="80" t="s">
        <v>578</v>
      </c>
      <c r="B8" s="80"/>
      <c r="C8" s="81">
        <f>'1-2.수량산출'!E17</f>
        <v>4.7</v>
      </c>
      <c r="D8" s="82" t="s">
        <v>576</v>
      </c>
      <c r="E8" s="83">
        <f t="shared" si="0"/>
        <v>199505.89618100002</v>
      </c>
      <c r="F8" s="83">
        <f t="shared" si="0"/>
        <v>937677</v>
      </c>
      <c r="G8" s="83">
        <f>'1-2.수량산출'!M6</f>
        <v>199505.89618100002</v>
      </c>
      <c r="H8" s="83">
        <f t="shared" si="1"/>
        <v>937677</v>
      </c>
      <c r="I8" s="83"/>
      <c r="J8" s="82"/>
      <c r="K8" s="82"/>
      <c r="L8" s="82"/>
      <c r="M8" s="82"/>
    </row>
    <row r="9" spans="1:13" s="10" customFormat="1" ht="19.5" customHeight="1">
      <c r="A9" s="80" t="s">
        <v>579</v>
      </c>
      <c r="B9" s="80"/>
      <c r="C9" s="81">
        <f>'1-2.수량산출'!F17</f>
        <v>6.6</v>
      </c>
      <c r="D9" s="82" t="s">
        <v>576</v>
      </c>
      <c r="E9" s="83">
        <f t="shared" si="0"/>
        <v>173018.78261300002</v>
      </c>
      <c r="F9" s="83">
        <f t="shared" si="0"/>
        <v>1141923</v>
      </c>
      <c r="G9" s="83">
        <f>'1-2.수량산출'!M7</f>
        <v>173018.78261300002</v>
      </c>
      <c r="H9" s="83">
        <f t="shared" si="1"/>
        <v>1141923</v>
      </c>
      <c r="I9" s="83"/>
      <c r="J9" s="82"/>
      <c r="K9" s="82"/>
      <c r="L9" s="82"/>
      <c r="M9" s="82"/>
    </row>
    <row r="10" spans="1:13" s="10" customFormat="1" ht="19.5" customHeight="1">
      <c r="A10" s="80" t="s">
        <v>580</v>
      </c>
      <c r="B10" s="80"/>
      <c r="C10" s="81">
        <f>'1-2.수량산출'!G17</f>
        <v>13.5</v>
      </c>
      <c r="D10" s="82" t="s">
        <v>576</v>
      </c>
      <c r="E10" s="83">
        <f t="shared" si="0"/>
        <v>134480.52881399999</v>
      </c>
      <c r="F10" s="83">
        <f t="shared" si="0"/>
        <v>1815487</v>
      </c>
      <c r="G10" s="83">
        <f>'1-2.수량산출'!M8</f>
        <v>134480.52881399999</v>
      </c>
      <c r="H10" s="83">
        <f t="shared" si="1"/>
        <v>1815487</v>
      </c>
      <c r="I10" s="83"/>
      <c r="J10" s="82"/>
      <c r="K10" s="82"/>
      <c r="L10" s="82"/>
      <c r="M10" s="82"/>
    </row>
    <row r="11" spans="1:13" s="10" customFormat="1" ht="19.5" customHeight="1">
      <c r="A11" s="80" t="s">
        <v>581</v>
      </c>
      <c r="B11" s="80"/>
      <c r="C11" s="81">
        <f>'1-2.수량산출'!H17</f>
        <v>13.5</v>
      </c>
      <c r="D11" s="82" t="s">
        <v>576</v>
      </c>
      <c r="E11" s="83">
        <f t="shared" si="0"/>
        <v>135345.48429600001</v>
      </c>
      <c r="F11" s="83">
        <f t="shared" si="0"/>
        <v>1827164</v>
      </c>
      <c r="G11" s="83">
        <f>'1-2.수량산출'!M10</f>
        <v>135345.48429600001</v>
      </c>
      <c r="H11" s="83">
        <f t="shared" si="1"/>
        <v>1827164</v>
      </c>
      <c r="I11" s="83"/>
      <c r="J11" s="82"/>
      <c r="K11" s="82"/>
      <c r="L11" s="82"/>
      <c r="M11" s="82"/>
    </row>
    <row r="12" spans="1:13" s="10" customFormat="1" ht="19.5" customHeight="1">
      <c r="A12" s="84" t="s">
        <v>582</v>
      </c>
      <c r="B12" s="85"/>
      <c r="C12" s="81"/>
      <c r="D12" s="82"/>
      <c r="E12" s="85"/>
      <c r="F12" s="83">
        <f>H12+J12+M12</f>
        <v>6570284</v>
      </c>
      <c r="G12" s="21"/>
      <c r="H12" s="86">
        <f>SUM(H6:H11)</f>
        <v>6570284</v>
      </c>
      <c r="I12" s="86"/>
      <c r="J12" s="82"/>
      <c r="K12" s="82"/>
      <c r="L12" s="82"/>
      <c r="M12" s="82"/>
    </row>
    <row r="13" spans="1:13" s="10" customFormat="1" ht="19.5" customHeight="1">
      <c r="A13" s="87" t="s">
        <v>583</v>
      </c>
      <c r="B13" s="240">
        <f>'1-2.수량산출'!D13</f>
        <v>0.28296000000000004</v>
      </c>
      <c r="C13" s="81"/>
      <c r="D13" s="82"/>
      <c r="E13" s="80"/>
      <c r="F13" s="80"/>
      <c r="G13" s="88"/>
      <c r="H13" s="83"/>
      <c r="I13" s="83"/>
      <c r="J13" s="82"/>
      <c r="K13" s="82"/>
      <c r="L13" s="82"/>
      <c r="M13" s="82"/>
    </row>
    <row r="14" spans="1:13" s="11" customFormat="1" ht="19.5" customHeight="1">
      <c r="A14" s="141" t="s">
        <v>584</v>
      </c>
      <c r="B14" s="19"/>
      <c r="C14" s="77"/>
      <c r="D14" s="141"/>
      <c r="E14" s="19"/>
      <c r="F14" s="89">
        <f>H14+J14+M14</f>
        <v>1859127</v>
      </c>
      <c r="G14" s="90"/>
      <c r="H14" s="89">
        <f>ROUNDDOWN(H12*B13,0)</f>
        <v>1859127</v>
      </c>
      <c r="I14" s="89"/>
      <c r="J14" s="141"/>
      <c r="K14" s="141"/>
      <c r="L14" s="141"/>
      <c r="M14" s="141"/>
    </row>
    <row r="15" spans="1:13" s="10" customFormat="1" ht="19.5" customHeight="1">
      <c r="A15" s="82"/>
      <c r="B15" s="82"/>
      <c r="C15" s="81"/>
      <c r="D15" s="82"/>
      <c r="E15" s="82"/>
      <c r="F15" s="82"/>
      <c r="G15" s="20"/>
      <c r="H15" s="91"/>
      <c r="I15" s="82"/>
      <c r="J15" s="82"/>
      <c r="K15" s="82"/>
      <c r="L15" s="82"/>
      <c r="M15" s="82"/>
    </row>
    <row r="16" spans="1:13" s="11" customFormat="1" ht="19.5" customHeight="1">
      <c r="A16" s="19" t="s">
        <v>585</v>
      </c>
      <c r="B16" s="19"/>
      <c r="C16" s="77"/>
      <c r="D16" s="141"/>
      <c r="E16" s="141"/>
      <c r="F16" s="141"/>
      <c r="G16" s="78"/>
      <c r="H16" s="79"/>
      <c r="I16" s="141"/>
      <c r="J16" s="141"/>
      <c r="K16" s="141"/>
      <c r="L16" s="141"/>
      <c r="M16" s="141"/>
    </row>
    <row r="17" spans="1:13" s="10" customFormat="1" ht="19.5" customHeight="1">
      <c r="A17" s="80" t="s">
        <v>575</v>
      </c>
      <c r="B17" s="80"/>
      <c r="C17" s="81">
        <f>'1-2.수량산출'!C18</f>
        <v>0.9</v>
      </c>
      <c r="D17" s="82" t="s">
        <v>576</v>
      </c>
      <c r="E17" s="83">
        <f t="shared" ref="E17:F22" si="2">G17+I17+K17</f>
        <v>325327.32320500002</v>
      </c>
      <c r="F17" s="83">
        <f t="shared" si="2"/>
        <v>292794</v>
      </c>
      <c r="G17" s="83">
        <f>G6</f>
        <v>325327.32320500002</v>
      </c>
      <c r="H17" s="83">
        <f t="shared" ref="H17:H22" si="3">ROUNDDOWN(G17*C17,0)</f>
        <v>292794</v>
      </c>
      <c r="I17" s="83"/>
      <c r="J17" s="82"/>
      <c r="K17" s="82"/>
      <c r="L17" s="82"/>
      <c r="M17" s="82"/>
    </row>
    <row r="18" spans="1:13" s="10" customFormat="1" ht="19.5" customHeight="1">
      <c r="A18" s="80" t="s">
        <v>577</v>
      </c>
      <c r="B18" s="80"/>
      <c r="C18" s="81">
        <f>'1-2.수량산출'!D18</f>
        <v>2.4</v>
      </c>
      <c r="D18" s="82" t="s">
        <v>576</v>
      </c>
      <c r="E18" s="83">
        <f t="shared" si="2"/>
        <v>238578.78030000001</v>
      </c>
      <c r="F18" s="83">
        <f t="shared" si="2"/>
        <v>572589</v>
      </c>
      <c r="G18" s="83">
        <f t="shared" ref="G18:G22" si="4">G7</f>
        <v>238578.78030000001</v>
      </c>
      <c r="H18" s="83">
        <f t="shared" si="3"/>
        <v>572589</v>
      </c>
      <c r="I18" s="83"/>
      <c r="J18" s="82"/>
      <c r="K18" s="82"/>
      <c r="L18" s="82"/>
      <c r="M18" s="82"/>
    </row>
    <row r="19" spans="1:13" s="10" customFormat="1" ht="19.5" customHeight="1">
      <c r="A19" s="80" t="s">
        <v>578</v>
      </c>
      <c r="B19" s="80"/>
      <c r="C19" s="81">
        <f>'1-2.수량산출'!E18</f>
        <v>4.5999999999999996</v>
      </c>
      <c r="D19" s="82" t="s">
        <v>576</v>
      </c>
      <c r="E19" s="83">
        <f t="shared" si="2"/>
        <v>199505.89618100002</v>
      </c>
      <c r="F19" s="83">
        <f t="shared" si="2"/>
        <v>917727</v>
      </c>
      <c r="G19" s="83">
        <f t="shared" si="4"/>
        <v>199505.89618100002</v>
      </c>
      <c r="H19" s="83">
        <f t="shared" si="3"/>
        <v>917727</v>
      </c>
      <c r="I19" s="83"/>
      <c r="J19" s="82"/>
      <c r="K19" s="82"/>
      <c r="L19" s="82"/>
      <c r="M19" s="82"/>
    </row>
    <row r="20" spans="1:13" s="10" customFormat="1" ht="19.5" customHeight="1">
      <c r="A20" s="80" t="s">
        <v>579</v>
      </c>
      <c r="B20" s="80"/>
      <c r="C20" s="81">
        <f>'1-2.수량산출'!F18</f>
        <v>6.6</v>
      </c>
      <c r="D20" s="82" t="s">
        <v>576</v>
      </c>
      <c r="E20" s="83">
        <f t="shared" si="2"/>
        <v>173018.78261300002</v>
      </c>
      <c r="F20" s="83">
        <f t="shared" si="2"/>
        <v>1141923</v>
      </c>
      <c r="G20" s="83">
        <f t="shared" si="4"/>
        <v>173018.78261300002</v>
      </c>
      <c r="H20" s="83">
        <f t="shared" si="3"/>
        <v>1141923</v>
      </c>
      <c r="I20" s="83"/>
      <c r="J20" s="82"/>
      <c r="K20" s="82"/>
      <c r="L20" s="82"/>
      <c r="M20" s="82"/>
    </row>
    <row r="21" spans="1:13" s="10" customFormat="1" ht="19.5" customHeight="1">
      <c r="A21" s="80" t="s">
        <v>580</v>
      </c>
      <c r="B21" s="80"/>
      <c r="C21" s="81">
        <f>'1-2.수량산출'!G18</f>
        <v>6.6</v>
      </c>
      <c r="D21" s="82" t="s">
        <v>576</v>
      </c>
      <c r="E21" s="83">
        <f t="shared" si="2"/>
        <v>134480.52881399999</v>
      </c>
      <c r="F21" s="83">
        <f t="shared" si="2"/>
        <v>887571</v>
      </c>
      <c r="G21" s="83">
        <f t="shared" si="4"/>
        <v>134480.52881399999</v>
      </c>
      <c r="H21" s="83">
        <f t="shared" si="3"/>
        <v>887571</v>
      </c>
      <c r="I21" s="83"/>
      <c r="J21" s="82"/>
      <c r="K21" s="82"/>
      <c r="L21" s="82"/>
      <c r="M21" s="82"/>
    </row>
    <row r="22" spans="1:13" s="10" customFormat="1" ht="19.5" customHeight="1">
      <c r="A22" s="80" t="s">
        <v>581</v>
      </c>
      <c r="B22" s="80"/>
      <c r="C22" s="81">
        <f>'1-2.수량산출'!H18</f>
        <v>9.9</v>
      </c>
      <c r="D22" s="82" t="s">
        <v>576</v>
      </c>
      <c r="E22" s="83">
        <f t="shared" si="2"/>
        <v>135345.48429600001</v>
      </c>
      <c r="F22" s="83">
        <f t="shared" si="2"/>
        <v>1339920</v>
      </c>
      <c r="G22" s="83">
        <f t="shared" si="4"/>
        <v>135345.48429600001</v>
      </c>
      <c r="H22" s="83">
        <f t="shared" si="3"/>
        <v>1339920</v>
      </c>
      <c r="I22" s="83"/>
      <c r="J22" s="82"/>
      <c r="K22" s="82"/>
      <c r="L22" s="82"/>
      <c r="M22" s="82"/>
    </row>
    <row r="23" spans="1:13" s="10" customFormat="1" ht="19.5" customHeight="1">
      <c r="A23" s="84" t="s">
        <v>582</v>
      </c>
      <c r="B23" s="85"/>
      <c r="C23" s="81"/>
      <c r="D23" s="82"/>
      <c r="E23" s="85"/>
      <c r="F23" s="83">
        <f>H23+J23+M23</f>
        <v>5152524</v>
      </c>
      <c r="G23" s="21"/>
      <c r="H23" s="86">
        <f>SUM(H17:H22)</f>
        <v>5152524</v>
      </c>
      <c r="I23" s="86"/>
      <c r="J23" s="82"/>
      <c r="K23" s="82"/>
      <c r="L23" s="82"/>
      <c r="M23" s="82"/>
    </row>
    <row r="24" spans="1:13" s="10" customFormat="1" ht="19.5" customHeight="1">
      <c r="A24" s="87" t="s">
        <v>583</v>
      </c>
      <c r="B24" s="240">
        <f>'1-2.수량산출'!D13</f>
        <v>0.28296000000000004</v>
      </c>
      <c r="C24" s="81"/>
      <c r="D24" s="82"/>
      <c r="E24" s="80"/>
      <c r="F24" s="80"/>
      <c r="G24" s="88"/>
      <c r="H24" s="83"/>
      <c r="I24" s="83"/>
      <c r="J24" s="82"/>
      <c r="K24" s="82"/>
      <c r="L24" s="82"/>
      <c r="M24" s="82"/>
    </row>
    <row r="25" spans="1:13" s="11" customFormat="1" ht="19.5" customHeight="1">
      <c r="A25" s="141" t="s">
        <v>584</v>
      </c>
      <c r="B25" s="19"/>
      <c r="C25" s="77"/>
      <c r="D25" s="141"/>
      <c r="E25" s="19"/>
      <c r="F25" s="89">
        <f>H25+J25+M25</f>
        <v>1457958</v>
      </c>
      <c r="G25" s="90"/>
      <c r="H25" s="89">
        <f>ROUNDDOWN(H23*B24,0)</f>
        <v>1457958</v>
      </c>
      <c r="I25" s="89"/>
      <c r="J25" s="141"/>
      <c r="K25" s="141"/>
      <c r="L25" s="141"/>
      <c r="M25" s="141"/>
    </row>
    <row r="26" spans="1:13" s="10" customFormat="1" ht="19.5" customHeight="1">
      <c r="A26" s="82"/>
      <c r="B26" s="80"/>
      <c r="C26" s="81"/>
      <c r="D26" s="82"/>
      <c r="E26" s="80"/>
      <c r="F26" s="83"/>
      <c r="G26" s="88"/>
      <c r="H26" s="83"/>
      <c r="I26" s="83"/>
      <c r="J26" s="82"/>
      <c r="K26" s="82"/>
      <c r="L26" s="82"/>
      <c r="M26" s="82"/>
    </row>
    <row r="27" spans="1:13" s="11" customFormat="1" ht="19.5" customHeight="1">
      <c r="A27" s="19" t="s">
        <v>586</v>
      </c>
      <c r="B27" s="19"/>
      <c r="C27" s="77"/>
      <c r="D27" s="141"/>
      <c r="E27" s="141"/>
      <c r="F27" s="141"/>
      <c r="G27" s="78"/>
      <c r="H27" s="79"/>
      <c r="I27" s="141"/>
      <c r="J27" s="141"/>
      <c r="K27" s="141"/>
      <c r="L27" s="141"/>
      <c r="M27" s="141"/>
    </row>
    <row r="28" spans="1:13" s="10" customFormat="1" ht="19.5" customHeight="1">
      <c r="A28" s="80" t="s">
        <v>575</v>
      </c>
      <c r="B28" s="80"/>
      <c r="C28" s="81">
        <f>'1-2.수량산출'!C19</f>
        <v>0.6</v>
      </c>
      <c r="D28" s="82" t="s">
        <v>576</v>
      </c>
      <c r="E28" s="83">
        <f t="shared" ref="E28:F33" si="5">G28+I28+K28</f>
        <v>325327.32320500002</v>
      </c>
      <c r="F28" s="83">
        <f t="shared" si="5"/>
        <v>195196</v>
      </c>
      <c r="G28" s="83">
        <f>G17</f>
        <v>325327.32320500002</v>
      </c>
      <c r="H28" s="83">
        <f t="shared" ref="H28:H33" si="6">ROUNDDOWN(G28*C28,0)</f>
        <v>195196</v>
      </c>
      <c r="I28" s="83"/>
      <c r="J28" s="82"/>
      <c r="K28" s="82"/>
      <c r="L28" s="82"/>
      <c r="M28" s="82"/>
    </row>
    <row r="29" spans="1:13" s="10" customFormat="1" ht="19.5" customHeight="1">
      <c r="A29" s="80" t="s">
        <v>577</v>
      </c>
      <c r="B29" s="80"/>
      <c r="C29" s="81">
        <f>'1-2.수량산출'!D19</f>
        <v>0.8</v>
      </c>
      <c r="D29" s="82" t="s">
        <v>576</v>
      </c>
      <c r="E29" s="83">
        <f t="shared" si="5"/>
        <v>238578.78030000001</v>
      </c>
      <c r="F29" s="83">
        <f t="shared" si="5"/>
        <v>190863</v>
      </c>
      <c r="G29" s="83">
        <f t="shared" ref="G29:G33" si="7">G18</f>
        <v>238578.78030000001</v>
      </c>
      <c r="H29" s="83">
        <f t="shared" si="6"/>
        <v>190863</v>
      </c>
      <c r="I29" s="83"/>
      <c r="J29" s="82"/>
      <c r="K29" s="82"/>
      <c r="L29" s="82"/>
      <c r="M29" s="82"/>
    </row>
    <row r="30" spans="1:13" s="10" customFormat="1" ht="19.5" customHeight="1">
      <c r="A30" s="80" t="s">
        <v>578</v>
      </c>
      <c r="B30" s="80"/>
      <c r="C30" s="81">
        <f>'1-2.수량산출'!E19</f>
        <v>2.7</v>
      </c>
      <c r="D30" s="82" t="s">
        <v>576</v>
      </c>
      <c r="E30" s="83">
        <f t="shared" si="5"/>
        <v>199505.89618100002</v>
      </c>
      <c r="F30" s="83">
        <f t="shared" si="5"/>
        <v>538665</v>
      </c>
      <c r="G30" s="83">
        <f t="shared" si="7"/>
        <v>199505.89618100002</v>
      </c>
      <c r="H30" s="83">
        <f t="shared" si="6"/>
        <v>538665</v>
      </c>
      <c r="I30" s="83"/>
      <c r="J30" s="82"/>
      <c r="K30" s="82"/>
      <c r="L30" s="82"/>
      <c r="M30" s="82"/>
    </row>
    <row r="31" spans="1:13" s="10" customFormat="1" ht="19.5" customHeight="1">
      <c r="A31" s="80" t="s">
        <v>579</v>
      </c>
      <c r="B31" s="80"/>
      <c r="C31" s="81">
        <f>'1-2.수량산출'!F19</f>
        <v>2.7</v>
      </c>
      <c r="D31" s="82" t="s">
        <v>576</v>
      </c>
      <c r="E31" s="83">
        <f t="shared" si="5"/>
        <v>173018.78261300002</v>
      </c>
      <c r="F31" s="83">
        <f t="shared" si="5"/>
        <v>467150</v>
      </c>
      <c r="G31" s="83">
        <f t="shared" si="7"/>
        <v>173018.78261300002</v>
      </c>
      <c r="H31" s="83">
        <f t="shared" si="6"/>
        <v>467150</v>
      </c>
      <c r="I31" s="83"/>
      <c r="J31" s="82"/>
      <c r="K31" s="82"/>
      <c r="L31" s="82"/>
      <c r="M31" s="82"/>
    </row>
    <row r="32" spans="1:13" s="10" customFormat="1" ht="19.5" customHeight="1">
      <c r="A32" s="80" t="s">
        <v>580</v>
      </c>
      <c r="B32" s="80"/>
      <c r="C32" s="81">
        <f>'1-2.수량산출'!G19</f>
        <v>6.7</v>
      </c>
      <c r="D32" s="82" t="s">
        <v>576</v>
      </c>
      <c r="E32" s="83">
        <f t="shared" si="5"/>
        <v>134480.52881399999</v>
      </c>
      <c r="F32" s="83">
        <f t="shared" si="5"/>
        <v>901019</v>
      </c>
      <c r="G32" s="83">
        <f t="shared" si="7"/>
        <v>134480.52881399999</v>
      </c>
      <c r="H32" s="83">
        <f t="shared" si="6"/>
        <v>901019</v>
      </c>
      <c r="I32" s="83"/>
      <c r="J32" s="82"/>
      <c r="K32" s="82"/>
      <c r="L32" s="82"/>
      <c r="M32" s="82"/>
    </row>
    <row r="33" spans="1:13" s="10" customFormat="1" ht="19.5" customHeight="1">
      <c r="A33" s="80" t="s">
        <v>581</v>
      </c>
      <c r="B33" s="80"/>
      <c r="C33" s="81">
        <f>'1-2.수량산출'!H19</f>
        <v>6.8</v>
      </c>
      <c r="D33" s="82" t="s">
        <v>576</v>
      </c>
      <c r="E33" s="83">
        <f t="shared" si="5"/>
        <v>135345.48429600001</v>
      </c>
      <c r="F33" s="83">
        <f t="shared" si="5"/>
        <v>920349</v>
      </c>
      <c r="G33" s="83">
        <f t="shared" si="7"/>
        <v>135345.48429600001</v>
      </c>
      <c r="H33" s="83">
        <f t="shared" si="6"/>
        <v>920349</v>
      </c>
      <c r="I33" s="83"/>
      <c r="J33" s="82"/>
      <c r="K33" s="82"/>
      <c r="L33" s="82"/>
      <c r="M33" s="82"/>
    </row>
    <row r="34" spans="1:13" s="10" customFormat="1" ht="19.5" customHeight="1">
      <c r="A34" s="84" t="s">
        <v>582</v>
      </c>
      <c r="B34" s="85"/>
      <c r="C34" s="81"/>
      <c r="D34" s="82"/>
      <c r="E34" s="85"/>
      <c r="F34" s="83">
        <f>H34+J34+M34</f>
        <v>3213242</v>
      </c>
      <c r="G34" s="21"/>
      <c r="H34" s="86">
        <f>SUM(H28:H33)</f>
        <v>3213242</v>
      </c>
      <c r="I34" s="86"/>
      <c r="J34" s="82"/>
      <c r="K34" s="82"/>
      <c r="L34" s="82"/>
      <c r="M34" s="82"/>
    </row>
    <row r="35" spans="1:13" s="10" customFormat="1" ht="19.5" customHeight="1">
      <c r="A35" s="87" t="s">
        <v>583</v>
      </c>
      <c r="B35" s="240">
        <f>'1-2.수량산출'!D13</f>
        <v>0.28296000000000004</v>
      </c>
      <c r="C35" s="81"/>
      <c r="D35" s="82"/>
      <c r="E35" s="80"/>
      <c r="F35" s="80"/>
      <c r="G35" s="88"/>
      <c r="H35" s="89"/>
      <c r="I35" s="89"/>
      <c r="J35" s="82"/>
      <c r="K35" s="82"/>
      <c r="L35" s="82"/>
      <c r="M35" s="82"/>
    </row>
    <row r="36" spans="1:13" s="11" customFormat="1" ht="19.5" customHeight="1">
      <c r="A36" s="141" t="s">
        <v>584</v>
      </c>
      <c r="B36" s="19"/>
      <c r="C36" s="77"/>
      <c r="D36" s="141"/>
      <c r="E36" s="19"/>
      <c r="F36" s="89">
        <f>H36+J36+M36</f>
        <v>909218</v>
      </c>
      <c r="G36" s="90"/>
      <c r="H36" s="89">
        <f>ROUNDDOWN(H34*B35,0)</f>
        <v>909218</v>
      </c>
      <c r="I36" s="89"/>
      <c r="J36" s="141"/>
      <c r="K36" s="141"/>
      <c r="L36" s="141"/>
      <c r="M36" s="141"/>
    </row>
    <row r="37" spans="1:13" s="10" customFormat="1" ht="19.5" customHeight="1">
      <c r="A37" s="82"/>
      <c r="B37" s="82"/>
      <c r="C37" s="81"/>
      <c r="D37" s="82"/>
      <c r="E37" s="82"/>
      <c r="F37" s="82"/>
      <c r="G37" s="20"/>
      <c r="H37" s="91"/>
      <c r="I37" s="82"/>
      <c r="J37" s="82"/>
      <c r="K37" s="82"/>
      <c r="L37" s="82"/>
      <c r="M37" s="82"/>
    </row>
    <row r="38" spans="1:13" s="11" customFormat="1" ht="19.5" customHeight="1">
      <c r="A38" s="19" t="s">
        <v>587</v>
      </c>
      <c r="B38" s="19"/>
      <c r="C38" s="77"/>
      <c r="D38" s="141"/>
      <c r="E38" s="141"/>
      <c r="F38" s="141"/>
      <c r="G38" s="78"/>
      <c r="H38" s="79"/>
      <c r="I38" s="141"/>
      <c r="J38" s="141"/>
      <c r="K38" s="141"/>
      <c r="L38" s="141"/>
      <c r="M38" s="141"/>
    </row>
    <row r="39" spans="1:13" s="10" customFormat="1" ht="19.5" customHeight="1">
      <c r="A39" s="80" t="s">
        <v>575</v>
      </c>
      <c r="B39" s="80"/>
      <c r="C39" s="81">
        <f>'1-2.수량산출'!C20</f>
        <v>0.6</v>
      </c>
      <c r="D39" s="82" t="s">
        <v>576</v>
      </c>
      <c r="E39" s="83">
        <f t="shared" ref="E39:F44" si="8">G39+I39+K39</f>
        <v>325327.32320500002</v>
      </c>
      <c r="F39" s="83">
        <f t="shared" si="8"/>
        <v>195196</v>
      </c>
      <c r="G39" s="83">
        <f>G28</f>
        <v>325327.32320500002</v>
      </c>
      <c r="H39" s="83">
        <f t="shared" ref="H39:H44" si="9">ROUNDDOWN(G39*C39,0)</f>
        <v>195196</v>
      </c>
      <c r="I39" s="83"/>
      <c r="J39" s="82"/>
      <c r="K39" s="82"/>
      <c r="L39" s="82"/>
      <c r="M39" s="82"/>
    </row>
    <row r="40" spans="1:13" s="10" customFormat="1" ht="19.5" customHeight="1">
      <c r="A40" s="80" t="s">
        <v>577</v>
      </c>
      <c r="B40" s="80"/>
      <c r="C40" s="81">
        <f>'1-2.수량산출'!D20</f>
        <v>0.7</v>
      </c>
      <c r="D40" s="82" t="s">
        <v>576</v>
      </c>
      <c r="E40" s="83">
        <f t="shared" si="8"/>
        <v>238578.78030000001</v>
      </c>
      <c r="F40" s="83">
        <f t="shared" si="8"/>
        <v>167005</v>
      </c>
      <c r="G40" s="83">
        <f t="shared" ref="G40:G44" si="10">G29</f>
        <v>238578.78030000001</v>
      </c>
      <c r="H40" s="83">
        <f t="shared" si="9"/>
        <v>167005</v>
      </c>
      <c r="I40" s="83"/>
      <c r="J40" s="82"/>
      <c r="K40" s="82"/>
      <c r="L40" s="82"/>
      <c r="M40" s="82"/>
    </row>
    <row r="41" spans="1:13" s="10" customFormat="1" ht="19.5" customHeight="1">
      <c r="A41" s="80" t="s">
        <v>578</v>
      </c>
      <c r="B41" s="80"/>
      <c r="C41" s="81">
        <f>'1-2.수량산출'!E20</f>
        <v>2.7</v>
      </c>
      <c r="D41" s="82" t="s">
        <v>576</v>
      </c>
      <c r="E41" s="83">
        <f t="shared" si="8"/>
        <v>199505.89618100002</v>
      </c>
      <c r="F41" s="83">
        <f t="shared" si="8"/>
        <v>538665</v>
      </c>
      <c r="G41" s="83">
        <f t="shared" si="10"/>
        <v>199505.89618100002</v>
      </c>
      <c r="H41" s="83">
        <f t="shared" si="9"/>
        <v>538665</v>
      </c>
      <c r="I41" s="83"/>
      <c r="J41" s="82"/>
      <c r="K41" s="82"/>
      <c r="L41" s="82"/>
      <c r="M41" s="82"/>
    </row>
    <row r="42" spans="1:13" s="10" customFormat="1" ht="19.5" customHeight="1">
      <c r="A42" s="80" t="s">
        <v>579</v>
      </c>
      <c r="B42" s="80"/>
      <c r="C42" s="81">
        <f>'1-2.수량산출'!F20</f>
        <v>2.7</v>
      </c>
      <c r="D42" s="82" t="s">
        <v>576</v>
      </c>
      <c r="E42" s="83">
        <f t="shared" si="8"/>
        <v>173018.78261300002</v>
      </c>
      <c r="F42" s="83">
        <f t="shared" si="8"/>
        <v>467150</v>
      </c>
      <c r="G42" s="83">
        <f t="shared" si="10"/>
        <v>173018.78261300002</v>
      </c>
      <c r="H42" s="83">
        <f t="shared" si="9"/>
        <v>467150</v>
      </c>
      <c r="I42" s="83"/>
      <c r="J42" s="82"/>
      <c r="K42" s="82"/>
      <c r="L42" s="82"/>
      <c r="M42" s="82"/>
    </row>
    <row r="43" spans="1:13" s="10" customFormat="1" ht="19.5" customHeight="1">
      <c r="A43" s="80" t="s">
        <v>580</v>
      </c>
      <c r="B43" s="80"/>
      <c r="C43" s="81">
        <f>'1-2.수량산출'!G20</f>
        <v>10.199999999999999</v>
      </c>
      <c r="D43" s="82" t="s">
        <v>576</v>
      </c>
      <c r="E43" s="83">
        <f t="shared" si="8"/>
        <v>134480.52881399999</v>
      </c>
      <c r="F43" s="83">
        <f t="shared" si="8"/>
        <v>1371701</v>
      </c>
      <c r="G43" s="83">
        <f t="shared" si="10"/>
        <v>134480.52881399999</v>
      </c>
      <c r="H43" s="83">
        <f t="shared" si="9"/>
        <v>1371701</v>
      </c>
      <c r="I43" s="83"/>
      <c r="J43" s="82"/>
      <c r="K43" s="82"/>
      <c r="L43" s="82"/>
      <c r="M43" s="82"/>
    </row>
    <row r="44" spans="1:13" s="10" customFormat="1" ht="19.5" customHeight="1">
      <c r="A44" s="80" t="s">
        <v>581</v>
      </c>
      <c r="B44" s="80"/>
      <c r="C44" s="81">
        <f>'1-2.수량산출'!H20</f>
        <v>10.1</v>
      </c>
      <c r="D44" s="82" t="s">
        <v>576</v>
      </c>
      <c r="E44" s="83">
        <f t="shared" si="8"/>
        <v>135345.48429600001</v>
      </c>
      <c r="F44" s="83">
        <f t="shared" si="8"/>
        <v>1366989</v>
      </c>
      <c r="G44" s="83">
        <f t="shared" si="10"/>
        <v>135345.48429600001</v>
      </c>
      <c r="H44" s="83">
        <f t="shared" si="9"/>
        <v>1366989</v>
      </c>
      <c r="I44" s="83"/>
      <c r="J44" s="82"/>
      <c r="K44" s="82"/>
      <c r="L44" s="82"/>
      <c r="M44" s="82"/>
    </row>
    <row r="45" spans="1:13" s="93" customFormat="1" ht="19.5" customHeight="1">
      <c r="A45" s="84" t="s">
        <v>582</v>
      </c>
      <c r="B45" s="85"/>
      <c r="C45" s="92"/>
      <c r="D45" s="85"/>
      <c r="E45" s="83"/>
      <c r="F45" s="83">
        <f>H45+J45+M45</f>
        <v>4106706</v>
      </c>
      <c r="G45" s="21"/>
      <c r="H45" s="86">
        <f>SUM(H39:H44)</f>
        <v>4106706</v>
      </c>
      <c r="I45" s="85"/>
      <c r="J45" s="85"/>
      <c r="K45" s="85"/>
      <c r="L45" s="85"/>
      <c r="M45" s="85"/>
    </row>
    <row r="46" spans="1:13" s="10" customFormat="1" ht="19.5" customHeight="1">
      <c r="A46" s="87" t="s">
        <v>583</v>
      </c>
      <c r="B46" s="240">
        <f>'1-2.수량산출'!D13</f>
        <v>0.28296000000000004</v>
      </c>
      <c r="C46" s="81"/>
      <c r="D46" s="80"/>
      <c r="E46" s="83"/>
      <c r="F46" s="80"/>
      <c r="G46" s="88"/>
      <c r="H46" s="83"/>
      <c r="I46" s="80"/>
      <c r="J46" s="80"/>
      <c r="K46" s="80"/>
      <c r="L46" s="80"/>
      <c r="M46" s="80"/>
    </row>
    <row r="47" spans="1:13" s="11" customFormat="1" ht="19.5" customHeight="1">
      <c r="A47" s="141" t="s">
        <v>584</v>
      </c>
      <c r="B47" s="19"/>
      <c r="C47" s="77"/>
      <c r="D47" s="141"/>
      <c r="E47" s="19"/>
      <c r="F47" s="89">
        <f>H47+J47+M47</f>
        <v>1162033</v>
      </c>
      <c r="G47" s="90"/>
      <c r="H47" s="89">
        <f>ROUNDDOWN(H45*B46,0)</f>
        <v>1162033</v>
      </c>
      <c r="I47" s="89"/>
      <c r="J47" s="141"/>
      <c r="K47" s="141"/>
      <c r="L47" s="141"/>
      <c r="M47" s="141"/>
    </row>
    <row r="48" spans="1:13" s="10" customFormat="1" ht="19.5" customHeight="1">
      <c r="A48" s="80"/>
      <c r="B48" s="80"/>
      <c r="C48" s="81"/>
      <c r="D48" s="80"/>
      <c r="E48" s="83"/>
      <c r="F48" s="80"/>
      <c r="G48" s="88"/>
      <c r="H48" s="83"/>
      <c r="I48" s="80"/>
      <c r="J48" s="80"/>
      <c r="K48" s="80"/>
      <c r="L48" s="80"/>
      <c r="M48" s="80"/>
    </row>
    <row r="49" spans="1:13" s="11" customFormat="1" ht="19.5" customHeight="1">
      <c r="A49" s="19" t="s">
        <v>588</v>
      </c>
      <c r="B49" s="19"/>
      <c r="C49" s="77"/>
      <c r="D49" s="141"/>
      <c r="E49" s="141"/>
      <c r="F49" s="141"/>
      <c r="G49" s="78"/>
      <c r="H49" s="79"/>
      <c r="I49" s="141"/>
      <c r="J49" s="141"/>
      <c r="K49" s="141"/>
      <c r="L49" s="141"/>
      <c r="M49" s="141"/>
    </row>
    <row r="50" spans="1:13" s="10" customFormat="1" ht="19.5" customHeight="1">
      <c r="A50" s="80" t="s">
        <v>575</v>
      </c>
      <c r="B50" s="80"/>
      <c r="C50" s="81">
        <f>'1-2.수량산출'!C21</f>
        <v>0.6</v>
      </c>
      <c r="D50" s="82" t="s">
        <v>576</v>
      </c>
      <c r="E50" s="83">
        <f t="shared" ref="E50:F55" si="11">G50+I50+K50</f>
        <v>325327.32320500002</v>
      </c>
      <c r="F50" s="83">
        <f t="shared" si="11"/>
        <v>195196</v>
      </c>
      <c r="G50" s="83">
        <f>G39</f>
        <v>325327.32320500002</v>
      </c>
      <c r="H50" s="83">
        <f t="shared" ref="H50:H55" si="12">ROUNDDOWN(G50*C50,0)</f>
        <v>195196</v>
      </c>
      <c r="I50" s="83"/>
      <c r="J50" s="82"/>
      <c r="K50" s="82"/>
      <c r="L50" s="82"/>
      <c r="M50" s="82"/>
    </row>
    <row r="51" spans="1:13" s="10" customFormat="1" ht="19.5" customHeight="1">
      <c r="A51" s="80" t="s">
        <v>577</v>
      </c>
      <c r="B51" s="80"/>
      <c r="C51" s="81">
        <f>'1-2.수량산출'!D21</f>
        <v>0.8</v>
      </c>
      <c r="D51" s="82" t="s">
        <v>576</v>
      </c>
      <c r="E51" s="83">
        <f t="shared" si="11"/>
        <v>238578.78030000001</v>
      </c>
      <c r="F51" s="83">
        <f t="shared" si="11"/>
        <v>190863</v>
      </c>
      <c r="G51" s="83">
        <f t="shared" ref="G51:G55" si="13">G40</f>
        <v>238578.78030000001</v>
      </c>
      <c r="H51" s="83">
        <f t="shared" si="12"/>
        <v>190863</v>
      </c>
      <c r="I51" s="83"/>
      <c r="J51" s="82"/>
      <c r="K51" s="82"/>
      <c r="L51" s="82"/>
      <c r="M51" s="82"/>
    </row>
    <row r="52" spans="1:13" s="10" customFormat="1" ht="19.5" customHeight="1">
      <c r="A52" s="80" t="s">
        <v>578</v>
      </c>
      <c r="B52" s="80"/>
      <c r="C52" s="81">
        <f>'1-2.수량산출'!E21</f>
        <v>2.6</v>
      </c>
      <c r="D52" s="82" t="s">
        <v>576</v>
      </c>
      <c r="E52" s="83">
        <f t="shared" si="11"/>
        <v>199505.89618100002</v>
      </c>
      <c r="F52" s="83">
        <f t="shared" si="11"/>
        <v>518715</v>
      </c>
      <c r="G52" s="83">
        <f t="shared" si="13"/>
        <v>199505.89618100002</v>
      </c>
      <c r="H52" s="83">
        <f t="shared" si="12"/>
        <v>518715</v>
      </c>
      <c r="I52" s="83"/>
      <c r="J52" s="82"/>
      <c r="K52" s="82"/>
      <c r="L52" s="82"/>
      <c r="M52" s="82"/>
    </row>
    <row r="53" spans="1:13" s="10" customFormat="1" ht="19.5" customHeight="1">
      <c r="A53" s="80" t="s">
        <v>579</v>
      </c>
      <c r="B53" s="80"/>
      <c r="C53" s="81">
        <f>'1-2.수량산출'!F21</f>
        <v>2.6</v>
      </c>
      <c r="D53" s="82" t="s">
        <v>576</v>
      </c>
      <c r="E53" s="83">
        <f t="shared" si="11"/>
        <v>173018.78261300002</v>
      </c>
      <c r="F53" s="83">
        <f t="shared" si="11"/>
        <v>449848</v>
      </c>
      <c r="G53" s="83">
        <f t="shared" si="13"/>
        <v>173018.78261300002</v>
      </c>
      <c r="H53" s="83">
        <f t="shared" si="12"/>
        <v>449848</v>
      </c>
      <c r="I53" s="83"/>
      <c r="J53" s="82"/>
      <c r="K53" s="82"/>
      <c r="L53" s="82"/>
      <c r="M53" s="82"/>
    </row>
    <row r="54" spans="1:13" s="10" customFormat="1" ht="19.5" customHeight="1">
      <c r="A54" s="80" t="s">
        <v>580</v>
      </c>
      <c r="B54" s="80"/>
      <c r="C54" s="81">
        <f>'1-2.수량산출'!G21</f>
        <v>6.7</v>
      </c>
      <c r="D54" s="82" t="s">
        <v>576</v>
      </c>
      <c r="E54" s="83">
        <f t="shared" si="11"/>
        <v>134480.52881399999</v>
      </c>
      <c r="F54" s="83">
        <f t="shared" si="11"/>
        <v>901019</v>
      </c>
      <c r="G54" s="83">
        <f t="shared" si="13"/>
        <v>134480.52881399999</v>
      </c>
      <c r="H54" s="83">
        <f t="shared" si="12"/>
        <v>901019</v>
      </c>
      <c r="I54" s="83"/>
      <c r="J54" s="82"/>
      <c r="K54" s="82"/>
      <c r="L54" s="82"/>
      <c r="M54" s="82"/>
    </row>
    <row r="55" spans="1:13" s="10" customFormat="1" ht="19.5" customHeight="1">
      <c r="A55" s="80" t="s">
        <v>581</v>
      </c>
      <c r="B55" s="80"/>
      <c r="C55" s="81">
        <f>'1-2.수량산출'!H21</f>
        <v>6.7</v>
      </c>
      <c r="D55" s="82" t="s">
        <v>576</v>
      </c>
      <c r="E55" s="83">
        <f t="shared" si="11"/>
        <v>135345.48429600001</v>
      </c>
      <c r="F55" s="83">
        <f t="shared" si="11"/>
        <v>906814</v>
      </c>
      <c r="G55" s="83">
        <f t="shared" si="13"/>
        <v>135345.48429600001</v>
      </c>
      <c r="H55" s="83">
        <f t="shared" si="12"/>
        <v>906814</v>
      </c>
      <c r="I55" s="83"/>
      <c r="J55" s="82"/>
      <c r="K55" s="82"/>
      <c r="L55" s="82"/>
      <c r="M55" s="82"/>
    </row>
    <row r="56" spans="1:13" s="93" customFormat="1" ht="19.5" customHeight="1">
      <c r="A56" s="84" t="s">
        <v>582</v>
      </c>
      <c r="B56" s="85"/>
      <c r="C56" s="92"/>
      <c r="D56" s="85"/>
      <c r="E56" s="83"/>
      <c r="F56" s="83">
        <f>H56+J56+M56</f>
        <v>3162455</v>
      </c>
      <c r="G56" s="21"/>
      <c r="H56" s="86">
        <f>SUM(H50:H55)</f>
        <v>3162455</v>
      </c>
      <c r="I56" s="85"/>
      <c r="J56" s="85"/>
      <c r="K56" s="85"/>
      <c r="L56" s="85"/>
      <c r="M56" s="85"/>
    </row>
    <row r="57" spans="1:13" s="10" customFormat="1" ht="19.5" customHeight="1">
      <c r="A57" s="87" t="s">
        <v>583</v>
      </c>
      <c r="B57" s="240">
        <f>'1-2.수량산출'!D13</f>
        <v>0.28296000000000004</v>
      </c>
      <c r="C57" s="81"/>
      <c r="D57" s="80"/>
      <c r="E57" s="83"/>
      <c r="F57" s="80"/>
      <c r="G57" s="88"/>
      <c r="H57" s="83"/>
      <c r="I57" s="80"/>
      <c r="J57" s="80"/>
      <c r="K57" s="80"/>
      <c r="L57" s="80"/>
      <c r="M57" s="80"/>
    </row>
    <row r="58" spans="1:13" s="11" customFormat="1" ht="19.5" customHeight="1">
      <c r="A58" s="141" t="s">
        <v>584</v>
      </c>
      <c r="B58" s="19"/>
      <c r="C58" s="77"/>
      <c r="D58" s="141"/>
      <c r="E58" s="19"/>
      <c r="F58" s="89">
        <f>H58+J58+M58</f>
        <v>894848</v>
      </c>
      <c r="G58" s="90"/>
      <c r="H58" s="89">
        <f>ROUNDDOWN(H56*B57,0)</f>
        <v>894848</v>
      </c>
      <c r="I58" s="89"/>
      <c r="J58" s="141"/>
      <c r="K58" s="141"/>
      <c r="L58" s="141"/>
      <c r="M58" s="141"/>
    </row>
    <row r="59" spans="1:13" s="10" customFormat="1" ht="19.5" customHeight="1">
      <c r="A59" s="80"/>
      <c r="B59" s="80"/>
      <c r="C59" s="81"/>
      <c r="D59" s="80"/>
      <c r="E59" s="83"/>
      <c r="F59" s="80"/>
      <c r="G59" s="88"/>
      <c r="H59" s="83"/>
      <c r="I59" s="80"/>
      <c r="J59" s="80"/>
      <c r="K59" s="80"/>
      <c r="L59" s="80"/>
      <c r="M59" s="80"/>
    </row>
    <row r="60" spans="1:13" s="11" customFormat="1" ht="19.5" customHeight="1">
      <c r="A60" s="19" t="s">
        <v>589</v>
      </c>
      <c r="B60" s="19"/>
      <c r="C60" s="77"/>
      <c r="D60" s="141"/>
      <c r="E60" s="141"/>
      <c r="F60" s="141"/>
      <c r="G60" s="78"/>
      <c r="H60" s="79"/>
      <c r="I60" s="141"/>
      <c r="J60" s="141"/>
      <c r="K60" s="141"/>
      <c r="L60" s="141"/>
      <c r="M60" s="141"/>
    </row>
    <row r="61" spans="1:13" s="10" customFormat="1" ht="19.5" customHeight="1">
      <c r="A61" s="80" t="s">
        <v>575</v>
      </c>
      <c r="B61" s="80"/>
      <c r="C61" s="81">
        <f>'1-2.수량산출'!C22</f>
        <v>0.5</v>
      </c>
      <c r="D61" s="82" t="s">
        <v>576</v>
      </c>
      <c r="E61" s="83">
        <f t="shared" ref="E61:F66" si="14">G61+I61+K61</f>
        <v>325327.32320500002</v>
      </c>
      <c r="F61" s="83">
        <f t="shared" si="14"/>
        <v>162663</v>
      </c>
      <c r="G61" s="83">
        <f>G50</f>
        <v>325327.32320500002</v>
      </c>
      <c r="H61" s="83">
        <f t="shared" ref="H61:H66" si="15">ROUNDDOWN(G61*C61,0)</f>
        <v>162663</v>
      </c>
      <c r="I61" s="83"/>
      <c r="J61" s="82"/>
      <c r="K61" s="82"/>
      <c r="L61" s="82"/>
      <c r="M61" s="82"/>
    </row>
    <row r="62" spans="1:13" s="10" customFormat="1" ht="19.5" customHeight="1">
      <c r="A62" s="80" t="s">
        <v>577</v>
      </c>
      <c r="B62" s="80"/>
      <c r="C62" s="81">
        <f>'1-2.수량산출'!D22</f>
        <v>0.9</v>
      </c>
      <c r="D62" s="82" t="s">
        <v>576</v>
      </c>
      <c r="E62" s="83">
        <f t="shared" si="14"/>
        <v>238578.78030000001</v>
      </c>
      <c r="F62" s="83">
        <f t="shared" si="14"/>
        <v>214720</v>
      </c>
      <c r="G62" s="83">
        <f t="shared" ref="G62:G66" si="16">G51</f>
        <v>238578.78030000001</v>
      </c>
      <c r="H62" s="83">
        <f t="shared" si="15"/>
        <v>214720</v>
      </c>
      <c r="I62" s="83"/>
      <c r="J62" s="82"/>
      <c r="K62" s="82"/>
      <c r="L62" s="82"/>
      <c r="M62" s="82"/>
    </row>
    <row r="63" spans="1:13" s="10" customFormat="1" ht="19.5" customHeight="1">
      <c r="A63" s="80" t="s">
        <v>578</v>
      </c>
      <c r="B63" s="80"/>
      <c r="C63" s="81">
        <f>'1-2.수량산출'!E22</f>
        <v>4</v>
      </c>
      <c r="D63" s="82" t="s">
        <v>576</v>
      </c>
      <c r="E63" s="83">
        <f t="shared" si="14"/>
        <v>199505.89618100002</v>
      </c>
      <c r="F63" s="83">
        <f t="shared" si="14"/>
        <v>798023</v>
      </c>
      <c r="G63" s="83">
        <f t="shared" si="16"/>
        <v>199505.89618100002</v>
      </c>
      <c r="H63" s="83">
        <f t="shared" si="15"/>
        <v>798023</v>
      </c>
      <c r="I63" s="83"/>
      <c r="J63" s="82"/>
      <c r="K63" s="82"/>
      <c r="L63" s="82"/>
      <c r="M63" s="82"/>
    </row>
    <row r="64" spans="1:13" s="10" customFormat="1" ht="19.5" customHeight="1">
      <c r="A64" s="80" t="s">
        <v>579</v>
      </c>
      <c r="B64" s="80"/>
      <c r="C64" s="81">
        <f>'1-2.수량산출'!F22</f>
        <v>3.9</v>
      </c>
      <c r="D64" s="82" t="s">
        <v>576</v>
      </c>
      <c r="E64" s="83">
        <f t="shared" si="14"/>
        <v>173018.78261300002</v>
      </c>
      <c r="F64" s="83">
        <f t="shared" si="14"/>
        <v>674773</v>
      </c>
      <c r="G64" s="83">
        <f t="shared" si="16"/>
        <v>173018.78261300002</v>
      </c>
      <c r="H64" s="83">
        <f t="shared" si="15"/>
        <v>674773</v>
      </c>
      <c r="I64" s="83"/>
      <c r="J64" s="82"/>
      <c r="K64" s="82"/>
      <c r="L64" s="82"/>
      <c r="M64" s="82"/>
    </row>
    <row r="65" spans="1:13" s="10" customFormat="1" ht="19.5" customHeight="1">
      <c r="A65" s="80" t="s">
        <v>580</v>
      </c>
      <c r="B65" s="80"/>
      <c r="C65" s="81">
        <f>'1-2.수량산출'!G22</f>
        <v>6.7</v>
      </c>
      <c r="D65" s="82" t="s">
        <v>576</v>
      </c>
      <c r="E65" s="83">
        <f t="shared" si="14"/>
        <v>134480.52881399999</v>
      </c>
      <c r="F65" s="83">
        <f t="shared" si="14"/>
        <v>901019</v>
      </c>
      <c r="G65" s="83">
        <f t="shared" si="16"/>
        <v>134480.52881399999</v>
      </c>
      <c r="H65" s="83">
        <f t="shared" si="15"/>
        <v>901019</v>
      </c>
      <c r="I65" s="83"/>
      <c r="J65" s="82"/>
      <c r="K65" s="82"/>
      <c r="L65" s="82"/>
      <c r="M65" s="82"/>
    </row>
    <row r="66" spans="1:13" s="10" customFormat="1" ht="19.5" customHeight="1">
      <c r="A66" s="80" t="s">
        <v>581</v>
      </c>
      <c r="B66" s="80"/>
      <c r="C66" s="81">
        <f>'1-2.수량산출'!H22</f>
        <v>10</v>
      </c>
      <c r="D66" s="82" t="s">
        <v>576</v>
      </c>
      <c r="E66" s="83">
        <f t="shared" si="14"/>
        <v>135345.48429600001</v>
      </c>
      <c r="F66" s="83">
        <f t="shared" si="14"/>
        <v>1353454</v>
      </c>
      <c r="G66" s="83">
        <f t="shared" si="16"/>
        <v>135345.48429600001</v>
      </c>
      <c r="H66" s="83">
        <f t="shared" si="15"/>
        <v>1353454</v>
      </c>
      <c r="I66" s="83"/>
      <c r="J66" s="82"/>
      <c r="K66" s="82"/>
      <c r="L66" s="82"/>
      <c r="M66" s="82"/>
    </row>
    <row r="67" spans="1:13" s="93" customFormat="1" ht="19.5" customHeight="1">
      <c r="A67" s="84" t="s">
        <v>582</v>
      </c>
      <c r="B67" s="85"/>
      <c r="C67" s="92"/>
      <c r="D67" s="85"/>
      <c r="E67" s="83"/>
      <c r="F67" s="83">
        <f>H67+J67+M67</f>
        <v>4104652</v>
      </c>
      <c r="G67" s="21"/>
      <c r="H67" s="86">
        <f>SUM(H61:H66)</f>
        <v>4104652</v>
      </c>
      <c r="I67" s="85"/>
      <c r="J67" s="85"/>
      <c r="K67" s="85"/>
      <c r="L67" s="85"/>
      <c r="M67" s="85"/>
    </row>
    <row r="68" spans="1:13" s="10" customFormat="1" ht="19.5" customHeight="1">
      <c r="A68" s="87" t="s">
        <v>583</v>
      </c>
      <c r="B68" s="240">
        <f>'1-2.수량산출'!D13</f>
        <v>0.28296000000000004</v>
      </c>
      <c r="C68" s="81"/>
      <c r="D68" s="80"/>
      <c r="E68" s="83"/>
      <c r="F68" s="80"/>
      <c r="G68" s="88"/>
      <c r="H68" s="83"/>
      <c r="I68" s="80"/>
      <c r="J68" s="80"/>
      <c r="K68" s="80"/>
      <c r="L68" s="80"/>
      <c r="M68" s="80"/>
    </row>
    <row r="69" spans="1:13" s="11" customFormat="1" ht="19.5" customHeight="1">
      <c r="A69" s="141" t="s">
        <v>584</v>
      </c>
      <c r="B69" s="19"/>
      <c r="C69" s="77"/>
      <c r="D69" s="141"/>
      <c r="E69" s="19"/>
      <c r="F69" s="89">
        <f>H69+J69+M69</f>
        <v>1161452</v>
      </c>
      <c r="G69" s="90"/>
      <c r="H69" s="89">
        <f>ROUNDDOWN(H67*B68,0)</f>
        <v>1161452</v>
      </c>
      <c r="I69" s="89"/>
      <c r="J69" s="141"/>
      <c r="K69" s="141"/>
      <c r="L69" s="141"/>
      <c r="M69" s="141"/>
    </row>
    <row r="70" spans="1:13" s="10" customFormat="1" ht="19.5" customHeight="1">
      <c r="A70" s="80"/>
      <c r="B70" s="80"/>
      <c r="C70" s="81"/>
      <c r="D70" s="80"/>
      <c r="E70" s="83"/>
      <c r="F70" s="80"/>
      <c r="G70" s="88"/>
      <c r="H70" s="83"/>
      <c r="I70" s="80"/>
      <c r="J70" s="80"/>
      <c r="K70" s="80"/>
      <c r="L70" s="80"/>
      <c r="M70" s="80"/>
    </row>
    <row r="71" spans="1:13" s="11" customFormat="1" ht="19.5" customHeight="1">
      <c r="A71" s="19" t="s">
        <v>590</v>
      </c>
      <c r="B71" s="19"/>
      <c r="C71" s="77"/>
      <c r="D71" s="141"/>
      <c r="E71" s="141"/>
      <c r="F71" s="141"/>
      <c r="G71" s="78"/>
      <c r="H71" s="79"/>
      <c r="I71" s="141"/>
      <c r="J71" s="141"/>
      <c r="K71" s="141"/>
      <c r="L71" s="141"/>
      <c r="M71" s="141"/>
    </row>
    <row r="72" spans="1:13" s="10" customFormat="1" ht="19.5" customHeight="1">
      <c r="A72" s="80" t="s">
        <v>575</v>
      </c>
      <c r="B72" s="80"/>
      <c r="C72" s="81">
        <f>'1-2.수량산출'!C23</f>
        <v>1.3</v>
      </c>
      <c r="D72" s="82" t="s">
        <v>576</v>
      </c>
      <c r="E72" s="83">
        <f t="shared" ref="E72:F77" si="17">G72+I72+K72</f>
        <v>325327.32320500002</v>
      </c>
      <c r="F72" s="83">
        <f t="shared" si="17"/>
        <v>422925</v>
      </c>
      <c r="G72" s="83">
        <f>G61</f>
        <v>325327.32320500002</v>
      </c>
      <c r="H72" s="83">
        <f t="shared" ref="H72:H77" si="18">ROUNDDOWN(G72*C72,0)</f>
        <v>422925</v>
      </c>
      <c r="I72" s="83"/>
      <c r="J72" s="82"/>
      <c r="K72" s="82"/>
      <c r="L72" s="82"/>
      <c r="M72" s="82"/>
    </row>
    <row r="73" spans="1:13" s="10" customFormat="1" ht="19.5" customHeight="1">
      <c r="A73" s="80" t="s">
        <v>577</v>
      </c>
      <c r="B73" s="80"/>
      <c r="C73" s="81">
        <f>'1-2.수량산출'!D23</f>
        <v>2</v>
      </c>
      <c r="D73" s="82" t="s">
        <v>576</v>
      </c>
      <c r="E73" s="83">
        <f t="shared" si="17"/>
        <v>238578.78030000001</v>
      </c>
      <c r="F73" s="83">
        <f t="shared" si="17"/>
        <v>477157</v>
      </c>
      <c r="G73" s="83">
        <f t="shared" ref="G73:G77" si="19">G62</f>
        <v>238578.78030000001</v>
      </c>
      <c r="H73" s="83">
        <f t="shared" si="18"/>
        <v>477157</v>
      </c>
      <c r="I73" s="83"/>
      <c r="J73" s="82"/>
      <c r="K73" s="82"/>
      <c r="L73" s="82"/>
      <c r="M73" s="82"/>
    </row>
    <row r="74" spans="1:13" s="10" customFormat="1" ht="19.5" customHeight="1">
      <c r="A74" s="80" t="s">
        <v>578</v>
      </c>
      <c r="B74" s="80"/>
      <c r="C74" s="81">
        <f>'1-2.수량산출'!E23</f>
        <v>4.5999999999999996</v>
      </c>
      <c r="D74" s="82" t="s">
        <v>576</v>
      </c>
      <c r="E74" s="83">
        <f t="shared" si="17"/>
        <v>199505.89618100002</v>
      </c>
      <c r="F74" s="83">
        <f t="shared" si="17"/>
        <v>917727</v>
      </c>
      <c r="G74" s="83">
        <f t="shared" si="19"/>
        <v>199505.89618100002</v>
      </c>
      <c r="H74" s="83">
        <f t="shared" si="18"/>
        <v>917727</v>
      </c>
      <c r="I74" s="83"/>
      <c r="J74" s="82"/>
      <c r="K74" s="82"/>
      <c r="L74" s="82"/>
      <c r="M74" s="82"/>
    </row>
    <row r="75" spans="1:13" s="10" customFormat="1" ht="19.5" customHeight="1">
      <c r="A75" s="80" t="s">
        <v>579</v>
      </c>
      <c r="B75" s="80"/>
      <c r="C75" s="81">
        <f>'1-2.수량산출'!F23</f>
        <v>0</v>
      </c>
      <c r="D75" s="82" t="s">
        <v>576</v>
      </c>
      <c r="E75" s="83">
        <f t="shared" si="17"/>
        <v>173018.78261300002</v>
      </c>
      <c r="F75" s="83">
        <f t="shared" si="17"/>
        <v>0</v>
      </c>
      <c r="G75" s="83">
        <f t="shared" si="19"/>
        <v>173018.78261300002</v>
      </c>
      <c r="H75" s="83">
        <f t="shared" si="18"/>
        <v>0</v>
      </c>
      <c r="I75" s="83"/>
      <c r="J75" s="82"/>
      <c r="K75" s="82"/>
      <c r="L75" s="82"/>
      <c r="M75" s="82"/>
    </row>
    <row r="76" spans="1:13" s="10" customFormat="1" ht="19.5" customHeight="1">
      <c r="A76" s="80" t="s">
        <v>580</v>
      </c>
      <c r="B76" s="80"/>
      <c r="C76" s="81">
        <f>'1-2.수량산출'!G23</f>
        <v>13.2</v>
      </c>
      <c r="D76" s="82" t="s">
        <v>576</v>
      </c>
      <c r="E76" s="83">
        <f t="shared" si="17"/>
        <v>134480.52881399999</v>
      </c>
      <c r="F76" s="83">
        <f t="shared" si="17"/>
        <v>1775142</v>
      </c>
      <c r="G76" s="83">
        <f t="shared" si="19"/>
        <v>134480.52881399999</v>
      </c>
      <c r="H76" s="83">
        <f t="shared" si="18"/>
        <v>1775142</v>
      </c>
      <c r="I76" s="83"/>
      <c r="J76" s="82"/>
      <c r="K76" s="82"/>
      <c r="L76" s="82"/>
      <c r="M76" s="82"/>
    </row>
    <row r="77" spans="1:13" s="10" customFormat="1" ht="19.5" customHeight="1">
      <c r="A77" s="80" t="s">
        <v>581</v>
      </c>
      <c r="B77" s="80"/>
      <c r="C77" s="81">
        <f>'1-2.수량산출'!H23</f>
        <v>13.2</v>
      </c>
      <c r="D77" s="82" t="s">
        <v>576</v>
      </c>
      <c r="E77" s="83">
        <f t="shared" si="17"/>
        <v>135345.48429600001</v>
      </c>
      <c r="F77" s="83">
        <f t="shared" si="17"/>
        <v>1786560</v>
      </c>
      <c r="G77" s="83">
        <f t="shared" si="19"/>
        <v>135345.48429600001</v>
      </c>
      <c r="H77" s="83">
        <f t="shared" si="18"/>
        <v>1786560</v>
      </c>
      <c r="I77" s="83"/>
      <c r="J77" s="82"/>
      <c r="K77" s="82"/>
      <c r="L77" s="82"/>
      <c r="M77" s="82"/>
    </row>
    <row r="78" spans="1:13" s="93" customFormat="1" ht="19.5" customHeight="1">
      <c r="A78" s="84" t="s">
        <v>582</v>
      </c>
      <c r="B78" s="85"/>
      <c r="C78" s="92"/>
      <c r="D78" s="85"/>
      <c r="E78" s="83"/>
      <c r="F78" s="83">
        <f>H78+J78+M78</f>
        <v>5379511</v>
      </c>
      <c r="G78" s="21"/>
      <c r="H78" s="86">
        <f>SUM(H72:H77)</f>
        <v>5379511</v>
      </c>
      <c r="I78" s="85"/>
      <c r="J78" s="85"/>
      <c r="K78" s="85"/>
      <c r="L78" s="85"/>
      <c r="M78" s="85"/>
    </row>
    <row r="79" spans="1:13" s="10" customFormat="1" ht="19.5" customHeight="1">
      <c r="A79" s="87" t="s">
        <v>583</v>
      </c>
      <c r="B79" s="240">
        <f>'1-2.수량산출'!D13</f>
        <v>0.28296000000000004</v>
      </c>
      <c r="C79" s="81"/>
      <c r="D79" s="80"/>
      <c r="E79" s="83"/>
      <c r="F79" s="80"/>
      <c r="G79" s="88"/>
      <c r="H79" s="83"/>
      <c r="I79" s="80"/>
      <c r="J79" s="80"/>
      <c r="K79" s="80"/>
      <c r="L79" s="80"/>
      <c r="M79" s="80"/>
    </row>
    <row r="80" spans="1:13" s="11" customFormat="1" ht="19.5" customHeight="1">
      <c r="A80" s="141" t="s">
        <v>584</v>
      </c>
      <c r="B80" s="19"/>
      <c r="C80" s="77"/>
      <c r="D80" s="141"/>
      <c r="E80" s="19"/>
      <c r="F80" s="89">
        <f>H80+J80+M80</f>
        <v>1522186</v>
      </c>
      <c r="G80" s="90"/>
      <c r="H80" s="89">
        <f>ROUNDDOWN(H78*B79,0)</f>
        <v>1522186</v>
      </c>
      <c r="I80" s="89"/>
      <c r="J80" s="141"/>
      <c r="K80" s="141"/>
      <c r="L80" s="141"/>
      <c r="M80" s="141"/>
    </row>
    <row r="81" spans="1:13" s="10" customFormat="1" ht="19.5" customHeight="1">
      <c r="A81" s="80"/>
      <c r="B81" s="80"/>
      <c r="C81" s="81"/>
      <c r="D81" s="80"/>
      <c r="E81" s="83"/>
      <c r="F81" s="80"/>
      <c r="G81" s="88"/>
      <c r="H81" s="83"/>
      <c r="I81" s="80"/>
      <c r="J81" s="80"/>
      <c r="K81" s="80"/>
      <c r="L81" s="80"/>
      <c r="M81" s="80"/>
    </row>
    <row r="82" spans="1:13" s="11" customFormat="1" ht="19.5" customHeight="1">
      <c r="A82" s="19" t="s">
        <v>591</v>
      </c>
      <c r="B82" s="19"/>
      <c r="C82" s="77"/>
      <c r="D82" s="141"/>
      <c r="E82" s="141"/>
      <c r="F82" s="141"/>
      <c r="G82" s="78"/>
      <c r="H82" s="79"/>
      <c r="I82" s="141"/>
      <c r="J82" s="141"/>
      <c r="K82" s="141"/>
      <c r="L82" s="141"/>
      <c r="M82" s="141"/>
    </row>
    <row r="83" spans="1:13" s="10" customFormat="1" ht="19.5" customHeight="1">
      <c r="A83" s="80" t="s">
        <v>575</v>
      </c>
      <c r="B83" s="80"/>
      <c r="C83" s="81">
        <f>'1-2.수량산출'!C24</f>
        <v>0.7</v>
      </c>
      <c r="D83" s="82" t="s">
        <v>576</v>
      </c>
      <c r="E83" s="83">
        <f t="shared" ref="E83:F88" si="20">G83+I83+K83</f>
        <v>325327.32320500002</v>
      </c>
      <c r="F83" s="83">
        <f t="shared" si="20"/>
        <v>227729</v>
      </c>
      <c r="G83" s="83">
        <f>G72</f>
        <v>325327.32320500002</v>
      </c>
      <c r="H83" s="83">
        <f t="shared" ref="H83:H88" si="21">ROUNDDOWN(G83*C83,0)</f>
        <v>227729</v>
      </c>
      <c r="I83" s="83"/>
      <c r="J83" s="82"/>
      <c r="K83" s="82"/>
      <c r="L83" s="82"/>
      <c r="M83" s="82"/>
    </row>
    <row r="84" spans="1:13" s="10" customFormat="1" ht="19.5" customHeight="1">
      <c r="A84" s="80" t="s">
        <v>577</v>
      </c>
      <c r="B84" s="80"/>
      <c r="C84" s="81">
        <f>'1-2.수량산출'!D24</f>
        <v>0.7</v>
      </c>
      <c r="D84" s="82" t="s">
        <v>576</v>
      </c>
      <c r="E84" s="83">
        <f t="shared" si="20"/>
        <v>238578.78030000001</v>
      </c>
      <c r="F84" s="83">
        <f t="shared" si="20"/>
        <v>167005</v>
      </c>
      <c r="G84" s="83">
        <f t="shared" ref="G84:G88" si="22">G73</f>
        <v>238578.78030000001</v>
      </c>
      <c r="H84" s="83">
        <f t="shared" si="21"/>
        <v>167005</v>
      </c>
      <c r="I84" s="83"/>
      <c r="J84" s="82"/>
      <c r="K84" s="82"/>
      <c r="L84" s="82"/>
      <c r="M84" s="82"/>
    </row>
    <row r="85" spans="1:13" s="10" customFormat="1" ht="19.5" customHeight="1">
      <c r="A85" s="80" t="s">
        <v>578</v>
      </c>
      <c r="B85" s="80"/>
      <c r="C85" s="81">
        <f>'1-2.수량산출'!E24</f>
        <v>4.0999999999999996</v>
      </c>
      <c r="D85" s="82" t="s">
        <v>576</v>
      </c>
      <c r="E85" s="83">
        <f t="shared" si="20"/>
        <v>199505.89618100002</v>
      </c>
      <c r="F85" s="83">
        <f t="shared" si="20"/>
        <v>817974</v>
      </c>
      <c r="G85" s="83">
        <f t="shared" si="22"/>
        <v>199505.89618100002</v>
      </c>
      <c r="H85" s="83">
        <f t="shared" si="21"/>
        <v>817974</v>
      </c>
      <c r="I85" s="83"/>
      <c r="J85" s="82"/>
      <c r="K85" s="82"/>
      <c r="L85" s="82"/>
      <c r="M85" s="82"/>
    </row>
    <row r="86" spans="1:13" s="10" customFormat="1" ht="19.5" customHeight="1">
      <c r="A86" s="80" t="s">
        <v>579</v>
      </c>
      <c r="B86" s="80"/>
      <c r="C86" s="81">
        <f>'1-2.수량산출'!F24</f>
        <v>4.0999999999999996</v>
      </c>
      <c r="D86" s="82" t="s">
        <v>576</v>
      </c>
      <c r="E86" s="83">
        <f t="shared" si="20"/>
        <v>173018.78261300002</v>
      </c>
      <c r="F86" s="83">
        <f t="shared" si="20"/>
        <v>709377</v>
      </c>
      <c r="G86" s="83">
        <f t="shared" si="22"/>
        <v>173018.78261300002</v>
      </c>
      <c r="H86" s="83">
        <f t="shared" si="21"/>
        <v>709377</v>
      </c>
      <c r="I86" s="83"/>
      <c r="J86" s="82"/>
      <c r="K86" s="82"/>
      <c r="L86" s="82"/>
      <c r="M86" s="82"/>
    </row>
    <row r="87" spans="1:13" s="10" customFormat="1" ht="19.5" customHeight="1">
      <c r="A87" s="80" t="s">
        <v>580</v>
      </c>
      <c r="B87" s="80"/>
      <c r="C87" s="81">
        <f>'1-2.수량산출'!G24</f>
        <v>6.7</v>
      </c>
      <c r="D87" s="82" t="s">
        <v>576</v>
      </c>
      <c r="E87" s="83">
        <f t="shared" si="20"/>
        <v>134480.52881399999</v>
      </c>
      <c r="F87" s="83">
        <f t="shared" si="20"/>
        <v>901019</v>
      </c>
      <c r="G87" s="83">
        <f t="shared" si="22"/>
        <v>134480.52881399999</v>
      </c>
      <c r="H87" s="83">
        <f t="shared" si="21"/>
        <v>901019</v>
      </c>
      <c r="I87" s="83"/>
      <c r="J87" s="82"/>
      <c r="K87" s="82"/>
      <c r="L87" s="82"/>
      <c r="M87" s="82"/>
    </row>
    <row r="88" spans="1:13" s="10" customFormat="1" ht="19.5" customHeight="1">
      <c r="A88" s="80" t="s">
        <v>581</v>
      </c>
      <c r="B88" s="80"/>
      <c r="C88" s="81">
        <f>'1-2.수량산출'!H24</f>
        <v>10.1</v>
      </c>
      <c r="D88" s="82" t="s">
        <v>576</v>
      </c>
      <c r="E88" s="83">
        <f t="shared" si="20"/>
        <v>135345.48429600001</v>
      </c>
      <c r="F88" s="83">
        <f t="shared" si="20"/>
        <v>1366989</v>
      </c>
      <c r="G88" s="83">
        <f t="shared" si="22"/>
        <v>135345.48429600001</v>
      </c>
      <c r="H88" s="83">
        <f t="shared" si="21"/>
        <v>1366989</v>
      </c>
      <c r="I88" s="83"/>
      <c r="J88" s="82"/>
      <c r="K88" s="82"/>
      <c r="L88" s="82"/>
      <c r="M88" s="82"/>
    </row>
    <row r="89" spans="1:13" s="93" customFormat="1" ht="19.5" customHeight="1">
      <c r="A89" s="84" t="s">
        <v>582</v>
      </c>
      <c r="B89" s="85"/>
      <c r="C89" s="92"/>
      <c r="D89" s="85"/>
      <c r="E89" s="83"/>
      <c r="F89" s="83">
        <f>H89+J89+M89</f>
        <v>4190093</v>
      </c>
      <c r="G89" s="21"/>
      <c r="H89" s="86">
        <f>SUM(H83:H88)</f>
        <v>4190093</v>
      </c>
      <c r="I89" s="85"/>
      <c r="J89" s="85"/>
      <c r="K89" s="85"/>
      <c r="L89" s="85"/>
      <c r="M89" s="85"/>
    </row>
    <row r="90" spans="1:13" s="10" customFormat="1" ht="19.5" customHeight="1">
      <c r="A90" s="87" t="s">
        <v>583</v>
      </c>
      <c r="B90" s="240">
        <f>'1-2.수량산출'!D13</f>
        <v>0.28296000000000004</v>
      </c>
      <c r="C90" s="81"/>
      <c r="D90" s="80"/>
      <c r="E90" s="83"/>
      <c r="F90" s="80"/>
      <c r="G90" s="88"/>
      <c r="H90" s="83"/>
      <c r="I90" s="80"/>
      <c r="J90" s="80"/>
      <c r="K90" s="80"/>
      <c r="L90" s="80"/>
      <c r="M90" s="80"/>
    </row>
    <row r="91" spans="1:13" s="11" customFormat="1" ht="19.5" customHeight="1">
      <c r="A91" s="141" t="s">
        <v>584</v>
      </c>
      <c r="B91" s="19"/>
      <c r="C91" s="77"/>
      <c r="D91" s="141"/>
      <c r="E91" s="19"/>
      <c r="F91" s="89">
        <f>H91+J91+M91</f>
        <v>1185628</v>
      </c>
      <c r="G91" s="90"/>
      <c r="H91" s="89">
        <f>ROUNDDOWN(H89*B90,0)</f>
        <v>1185628</v>
      </c>
      <c r="I91" s="89"/>
      <c r="J91" s="141"/>
      <c r="K91" s="141"/>
      <c r="L91" s="141"/>
      <c r="M91" s="141"/>
    </row>
    <row r="92" spans="1:13" s="10" customFormat="1" ht="19.5" customHeight="1">
      <c r="A92" s="80"/>
      <c r="B92" s="80"/>
      <c r="C92" s="81"/>
      <c r="D92" s="80"/>
      <c r="E92" s="83"/>
      <c r="F92" s="80"/>
      <c r="G92" s="88"/>
      <c r="H92" s="83"/>
      <c r="I92" s="80"/>
      <c r="J92" s="80"/>
      <c r="K92" s="80"/>
      <c r="L92" s="80"/>
      <c r="M92" s="80"/>
    </row>
    <row r="93" spans="1:13" s="11" customFormat="1" ht="19.5" customHeight="1">
      <c r="A93" s="19" t="s">
        <v>592</v>
      </c>
      <c r="B93" s="19"/>
      <c r="C93" s="77"/>
      <c r="D93" s="141"/>
      <c r="E93" s="141"/>
      <c r="F93" s="141"/>
      <c r="G93" s="78"/>
      <c r="H93" s="79"/>
      <c r="I93" s="141"/>
      <c r="J93" s="141"/>
      <c r="K93" s="141"/>
      <c r="L93" s="141"/>
      <c r="M93" s="141"/>
    </row>
    <row r="94" spans="1:13" s="10" customFormat="1" ht="19.5" customHeight="1">
      <c r="A94" s="80" t="s">
        <v>575</v>
      </c>
      <c r="B94" s="80"/>
      <c r="C94" s="81">
        <f>'1-2.수량산출'!C25</f>
        <v>1.3</v>
      </c>
      <c r="D94" s="82" t="s">
        <v>576</v>
      </c>
      <c r="E94" s="83">
        <f t="shared" ref="E94:F99" si="23">G94+I94+K94</f>
        <v>325327.32320500002</v>
      </c>
      <c r="F94" s="83">
        <f t="shared" si="23"/>
        <v>422925</v>
      </c>
      <c r="G94" s="83">
        <f>G83</f>
        <v>325327.32320500002</v>
      </c>
      <c r="H94" s="83">
        <f t="shared" ref="H94:H99" si="24">ROUNDDOWN(G94*C94,0)</f>
        <v>422925</v>
      </c>
      <c r="I94" s="83"/>
      <c r="J94" s="82"/>
      <c r="K94" s="82"/>
      <c r="L94" s="82"/>
      <c r="M94" s="82"/>
    </row>
    <row r="95" spans="1:13" s="10" customFormat="1" ht="19.5" customHeight="1">
      <c r="A95" s="80" t="s">
        <v>577</v>
      </c>
      <c r="B95" s="80"/>
      <c r="C95" s="81">
        <f>'1-2.수량산출'!D25</f>
        <v>1.3</v>
      </c>
      <c r="D95" s="82" t="s">
        <v>576</v>
      </c>
      <c r="E95" s="83">
        <f t="shared" si="23"/>
        <v>238578.78030000001</v>
      </c>
      <c r="F95" s="83">
        <f t="shared" si="23"/>
        <v>310152</v>
      </c>
      <c r="G95" s="83">
        <f t="shared" ref="G95:G99" si="25">G84</f>
        <v>238578.78030000001</v>
      </c>
      <c r="H95" s="83">
        <f t="shared" si="24"/>
        <v>310152</v>
      </c>
      <c r="I95" s="83"/>
      <c r="J95" s="82"/>
      <c r="K95" s="82"/>
      <c r="L95" s="82"/>
      <c r="M95" s="82"/>
    </row>
    <row r="96" spans="1:13" s="10" customFormat="1" ht="19.5" customHeight="1">
      <c r="A96" s="80" t="s">
        <v>578</v>
      </c>
      <c r="B96" s="80"/>
      <c r="C96" s="81">
        <f>'1-2.수량산출'!E25</f>
        <v>7.5</v>
      </c>
      <c r="D96" s="82" t="s">
        <v>576</v>
      </c>
      <c r="E96" s="83">
        <f t="shared" si="23"/>
        <v>199505.89618100002</v>
      </c>
      <c r="F96" s="83">
        <f t="shared" si="23"/>
        <v>1496294</v>
      </c>
      <c r="G96" s="83">
        <f t="shared" si="25"/>
        <v>199505.89618100002</v>
      </c>
      <c r="H96" s="83">
        <f t="shared" si="24"/>
        <v>1496294</v>
      </c>
      <c r="I96" s="83"/>
      <c r="J96" s="82"/>
      <c r="K96" s="82"/>
      <c r="L96" s="82"/>
      <c r="M96" s="82"/>
    </row>
    <row r="97" spans="1:13" s="10" customFormat="1" ht="19.5" customHeight="1">
      <c r="A97" s="80" t="s">
        <v>579</v>
      </c>
      <c r="B97" s="80"/>
      <c r="C97" s="81">
        <f>'1-2.수량산출'!F25</f>
        <v>8.1</v>
      </c>
      <c r="D97" s="82" t="s">
        <v>576</v>
      </c>
      <c r="E97" s="83">
        <f t="shared" si="23"/>
        <v>173018.78261300002</v>
      </c>
      <c r="F97" s="83">
        <f t="shared" si="23"/>
        <v>1401452</v>
      </c>
      <c r="G97" s="83">
        <f t="shared" si="25"/>
        <v>173018.78261300002</v>
      </c>
      <c r="H97" s="83">
        <f t="shared" si="24"/>
        <v>1401452</v>
      </c>
      <c r="I97" s="83"/>
      <c r="J97" s="82"/>
      <c r="K97" s="82"/>
      <c r="L97" s="82"/>
      <c r="M97" s="82"/>
    </row>
    <row r="98" spans="1:13" s="10" customFormat="1" ht="19.5" customHeight="1">
      <c r="A98" s="80" t="s">
        <v>580</v>
      </c>
      <c r="B98" s="80"/>
      <c r="C98" s="81">
        <f>'1-2.수량산출'!G25</f>
        <v>27</v>
      </c>
      <c r="D98" s="82" t="s">
        <v>576</v>
      </c>
      <c r="E98" s="83">
        <f t="shared" si="23"/>
        <v>134480.52881399999</v>
      </c>
      <c r="F98" s="83">
        <f t="shared" si="23"/>
        <v>3630974</v>
      </c>
      <c r="G98" s="83">
        <f t="shared" si="25"/>
        <v>134480.52881399999</v>
      </c>
      <c r="H98" s="83">
        <f t="shared" si="24"/>
        <v>3630974</v>
      </c>
      <c r="I98" s="83"/>
      <c r="J98" s="82"/>
      <c r="K98" s="82"/>
      <c r="L98" s="82"/>
      <c r="M98" s="82"/>
    </row>
    <row r="99" spans="1:13" s="10" customFormat="1" ht="19.5" customHeight="1">
      <c r="A99" s="80" t="s">
        <v>581</v>
      </c>
      <c r="B99" s="80"/>
      <c r="C99" s="81">
        <f>'1-2.수량산출'!H25</f>
        <v>27</v>
      </c>
      <c r="D99" s="82" t="s">
        <v>576</v>
      </c>
      <c r="E99" s="83">
        <f t="shared" si="23"/>
        <v>135345.48429600001</v>
      </c>
      <c r="F99" s="83">
        <f t="shared" si="23"/>
        <v>3654328</v>
      </c>
      <c r="G99" s="83">
        <f t="shared" si="25"/>
        <v>135345.48429600001</v>
      </c>
      <c r="H99" s="83">
        <f t="shared" si="24"/>
        <v>3654328</v>
      </c>
      <c r="I99" s="83"/>
      <c r="J99" s="82"/>
      <c r="K99" s="82"/>
      <c r="L99" s="82"/>
      <c r="M99" s="82"/>
    </row>
    <row r="100" spans="1:13" s="93" customFormat="1" ht="19.5" customHeight="1">
      <c r="A100" s="84" t="s">
        <v>582</v>
      </c>
      <c r="B100" s="85"/>
      <c r="C100" s="92"/>
      <c r="D100" s="85"/>
      <c r="E100" s="83"/>
      <c r="F100" s="83">
        <f>H100+J100+M100</f>
        <v>10916125</v>
      </c>
      <c r="G100" s="21"/>
      <c r="H100" s="86">
        <f>SUM(H94:H99)</f>
        <v>10916125</v>
      </c>
      <c r="I100" s="85"/>
      <c r="J100" s="85"/>
      <c r="K100" s="85"/>
      <c r="L100" s="85"/>
      <c r="M100" s="85"/>
    </row>
    <row r="101" spans="1:13" s="10" customFormat="1" ht="19.5" customHeight="1">
      <c r="A101" s="87" t="s">
        <v>583</v>
      </c>
      <c r="B101" s="240">
        <f>'1-2.수량산출'!D13</f>
        <v>0.28296000000000004</v>
      </c>
      <c r="C101" s="81"/>
      <c r="D101" s="80"/>
      <c r="E101" s="83"/>
      <c r="F101" s="80"/>
      <c r="G101" s="88"/>
      <c r="H101" s="83"/>
      <c r="I101" s="80"/>
      <c r="J101" s="80"/>
      <c r="K101" s="80"/>
      <c r="L101" s="80"/>
      <c r="M101" s="80"/>
    </row>
    <row r="102" spans="1:13" s="11" customFormat="1" ht="19.5" customHeight="1">
      <c r="A102" s="141" t="s">
        <v>584</v>
      </c>
      <c r="B102" s="19"/>
      <c r="C102" s="77"/>
      <c r="D102" s="141"/>
      <c r="E102" s="19"/>
      <c r="F102" s="89">
        <f>H102+J102+M102</f>
        <v>3088826</v>
      </c>
      <c r="G102" s="90"/>
      <c r="H102" s="89">
        <f>ROUNDDOWN(H100*B101,0)</f>
        <v>3088826</v>
      </c>
      <c r="I102" s="89"/>
      <c r="J102" s="141"/>
      <c r="K102" s="141"/>
      <c r="L102" s="141"/>
      <c r="M102" s="141"/>
    </row>
    <row r="103" spans="1:13" s="10" customFormat="1" ht="19.5" customHeight="1">
      <c r="A103" s="80"/>
      <c r="B103" s="80"/>
      <c r="C103" s="81"/>
      <c r="D103" s="80"/>
      <c r="E103" s="83"/>
      <c r="F103" s="80"/>
      <c r="G103" s="88"/>
      <c r="H103" s="83"/>
      <c r="I103" s="80"/>
      <c r="J103" s="80"/>
      <c r="K103" s="80"/>
      <c r="L103" s="80"/>
      <c r="M103" s="80"/>
    </row>
    <row r="104" spans="1:13" s="11" customFormat="1" ht="19.5" customHeight="1">
      <c r="A104" s="19" t="s">
        <v>593</v>
      </c>
      <c r="B104" s="19"/>
      <c r="C104" s="77"/>
      <c r="D104" s="141"/>
      <c r="E104" s="141"/>
      <c r="F104" s="141"/>
      <c r="G104" s="78"/>
      <c r="H104" s="79"/>
      <c r="I104" s="141"/>
      <c r="J104" s="141"/>
      <c r="K104" s="141"/>
      <c r="L104" s="141"/>
      <c r="M104" s="141"/>
    </row>
    <row r="105" spans="1:13" s="10" customFormat="1" ht="19.5" customHeight="1">
      <c r="A105" s="80" t="s">
        <v>575</v>
      </c>
      <c r="B105" s="80"/>
      <c r="C105" s="81">
        <f>'1-2.수량산출'!C26</f>
        <v>0.8</v>
      </c>
      <c r="D105" s="82" t="s">
        <v>576</v>
      </c>
      <c r="E105" s="83">
        <f t="shared" ref="E105:F110" si="26">G105+I105+K105</f>
        <v>325327.32320500002</v>
      </c>
      <c r="F105" s="83">
        <f t="shared" si="26"/>
        <v>260261</v>
      </c>
      <c r="G105" s="83">
        <f>G94</f>
        <v>325327.32320500002</v>
      </c>
      <c r="H105" s="83">
        <f t="shared" ref="H105:H110" si="27">ROUNDDOWN(G105*C105,0)</f>
        <v>260261</v>
      </c>
      <c r="I105" s="83"/>
      <c r="J105" s="82"/>
      <c r="K105" s="82"/>
      <c r="L105" s="82"/>
      <c r="M105" s="82"/>
    </row>
    <row r="106" spans="1:13" s="10" customFormat="1" ht="19.5" customHeight="1">
      <c r="A106" s="80" t="s">
        <v>577</v>
      </c>
      <c r="B106" s="80"/>
      <c r="C106" s="81">
        <f>'1-2.수량산출'!D26</f>
        <v>0.5</v>
      </c>
      <c r="D106" s="82" t="s">
        <v>576</v>
      </c>
      <c r="E106" s="83">
        <f t="shared" si="26"/>
        <v>238578.78030000001</v>
      </c>
      <c r="F106" s="83">
        <f t="shared" si="26"/>
        <v>119289</v>
      </c>
      <c r="G106" s="83">
        <f t="shared" ref="G106:G110" si="28">G95</f>
        <v>238578.78030000001</v>
      </c>
      <c r="H106" s="83">
        <f t="shared" si="27"/>
        <v>119289</v>
      </c>
      <c r="I106" s="83"/>
      <c r="J106" s="82"/>
      <c r="K106" s="82"/>
      <c r="L106" s="82"/>
      <c r="M106" s="82"/>
    </row>
    <row r="107" spans="1:13" s="10" customFormat="1" ht="19.5" customHeight="1">
      <c r="A107" s="80" t="s">
        <v>578</v>
      </c>
      <c r="B107" s="80"/>
      <c r="C107" s="81">
        <f>'1-2.수량산출'!E26</f>
        <v>4</v>
      </c>
      <c r="D107" s="82" t="s">
        <v>576</v>
      </c>
      <c r="E107" s="83">
        <f t="shared" si="26"/>
        <v>199505.89618100002</v>
      </c>
      <c r="F107" s="83">
        <f t="shared" si="26"/>
        <v>798023</v>
      </c>
      <c r="G107" s="83">
        <f t="shared" si="28"/>
        <v>199505.89618100002</v>
      </c>
      <c r="H107" s="83">
        <f t="shared" si="27"/>
        <v>798023</v>
      </c>
      <c r="I107" s="83"/>
      <c r="J107" s="82"/>
      <c r="K107" s="82"/>
      <c r="L107" s="82"/>
      <c r="M107" s="82"/>
    </row>
    <row r="108" spans="1:13" s="10" customFormat="1" ht="19.5" customHeight="1">
      <c r="A108" s="80" t="s">
        <v>579</v>
      </c>
      <c r="B108" s="80"/>
      <c r="C108" s="81">
        <f>'1-2.수량산출'!F26</f>
        <v>4</v>
      </c>
      <c r="D108" s="82" t="s">
        <v>576</v>
      </c>
      <c r="E108" s="83">
        <f t="shared" si="26"/>
        <v>173018.78261300002</v>
      </c>
      <c r="F108" s="83">
        <f t="shared" si="26"/>
        <v>692075</v>
      </c>
      <c r="G108" s="83">
        <f t="shared" si="28"/>
        <v>173018.78261300002</v>
      </c>
      <c r="H108" s="83">
        <f t="shared" si="27"/>
        <v>692075</v>
      </c>
      <c r="I108" s="83"/>
      <c r="J108" s="82"/>
      <c r="K108" s="82"/>
      <c r="L108" s="82"/>
      <c r="M108" s="82"/>
    </row>
    <row r="109" spans="1:13" s="10" customFormat="1" ht="19.5" customHeight="1">
      <c r="A109" s="80" t="s">
        <v>580</v>
      </c>
      <c r="B109" s="80"/>
      <c r="C109" s="81">
        <f>'1-2.수량산출'!G26</f>
        <v>13.2</v>
      </c>
      <c r="D109" s="82" t="s">
        <v>576</v>
      </c>
      <c r="E109" s="83">
        <f t="shared" si="26"/>
        <v>134480.52881399999</v>
      </c>
      <c r="F109" s="83">
        <f t="shared" si="26"/>
        <v>1775142</v>
      </c>
      <c r="G109" s="83">
        <f t="shared" si="28"/>
        <v>134480.52881399999</v>
      </c>
      <c r="H109" s="83">
        <f t="shared" si="27"/>
        <v>1775142</v>
      </c>
      <c r="I109" s="83"/>
      <c r="J109" s="82"/>
      <c r="K109" s="82"/>
      <c r="L109" s="82"/>
      <c r="M109" s="82"/>
    </row>
    <row r="110" spans="1:13" s="10" customFormat="1" ht="19.5" customHeight="1">
      <c r="A110" s="80" t="s">
        <v>581</v>
      </c>
      <c r="B110" s="80"/>
      <c r="C110" s="81">
        <f>'1-2.수량산출'!H26</f>
        <v>16.5</v>
      </c>
      <c r="D110" s="82" t="s">
        <v>576</v>
      </c>
      <c r="E110" s="83">
        <f t="shared" si="26"/>
        <v>135345.48429600001</v>
      </c>
      <c r="F110" s="83">
        <f t="shared" si="26"/>
        <v>2233200</v>
      </c>
      <c r="G110" s="83">
        <f t="shared" si="28"/>
        <v>135345.48429600001</v>
      </c>
      <c r="H110" s="83">
        <f t="shared" si="27"/>
        <v>2233200</v>
      </c>
      <c r="I110" s="83"/>
      <c r="J110" s="82"/>
      <c r="K110" s="82"/>
      <c r="L110" s="82"/>
      <c r="M110" s="82"/>
    </row>
    <row r="111" spans="1:13" s="93" customFormat="1" ht="19.5" customHeight="1">
      <c r="A111" s="84" t="s">
        <v>582</v>
      </c>
      <c r="B111" s="85"/>
      <c r="C111" s="92"/>
      <c r="D111" s="85"/>
      <c r="E111" s="83"/>
      <c r="F111" s="83">
        <f>H111+J111+M111</f>
        <v>5877990</v>
      </c>
      <c r="G111" s="21"/>
      <c r="H111" s="86">
        <f>SUM(H105:H110)</f>
        <v>5877990</v>
      </c>
      <c r="I111" s="85"/>
      <c r="J111" s="85"/>
      <c r="K111" s="85"/>
      <c r="L111" s="85"/>
      <c r="M111" s="85"/>
    </row>
    <row r="112" spans="1:13" s="10" customFormat="1" ht="19.5" customHeight="1">
      <c r="A112" s="87" t="s">
        <v>583</v>
      </c>
      <c r="B112" s="240">
        <f>'1-2.수량산출'!D13</f>
        <v>0.28296000000000004</v>
      </c>
      <c r="C112" s="81"/>
      <c r="D112" s="80"/>
      <c r="E112" s="83"/>
      <c r="F112" s="80"/>
      <c r="G112" s="88"/>
      <c r="H112" s="83"/>
      <c r="I112" s="80"/>
      <c r="J112" s="80"/>
      <c r="K112" s="80"/>
      <c r="L112" s="80"/>
      <c r="M112" s="80"/>
    </row>
    <row r="113" spans="1:13" s="11" customFormat="1" ht="19.5" customHeight="1">
      <c r="A113" s="141" t="s">
        <v>584</v>
      </c>
      <c r="B113" s="19"/>
      <c r="C113" s="77"/>
      <c r="D113" s="141"/>
      <c r="E113" s="19"/>
      <c r="F113" s="89">
        <f>H113+J113+M113</f>
        <v>1663236</v>
      </c>
      <c r="G113" s="90"/>
      <c r="H113" s="89">
        <f>ROUNDDOWN(H111*B112,0)</f>
        <v>1663236</v>
      </c>
      <c r="I113" s="89"/>
      <c r="J113" s="141"/>
      <c r="K113" s="141"/>
      <c r="L113" s="141"/>
      <c r="M113" s="141"/>
    </row>
    <row r="114" spans="1:13" s="10" customFormat="1" ht="19.5" customHeight="1">
      <c r="A114" s="80"/>
      <c r="B114" s="80"/>
      <c r="C114" s="81"/>
      <c r="D114" s="80"/>
      <c r="E114" s="83"/>
      <c r="F114" s="80"/>
      <c r="G114" s="88"/>
      <c r="H114" s="83"/>
      <c r="I114" s="80"/>
      <c r="J114" s="80"/>
      <c r="K114" s="80"/>
      <c r="L114" s="80"/>
      <c r="M114" s="80"/>
    </row>
    <row r="115" spans="1:13" s="11" customFormat="1" ht="19.5" customHeight="1">
      <c r="A115" s="19" t="s">
        <v>594</v>
      </c>
      <c r="B115" s="19"/>
      <c r="C115" s="77"/>
      <c r="D115" s="141"/>
      <c r="E115" s="141"/>
      <c r="F115" s="141"/>
      <c r="G115" s="78"/>
      <c r="H115" s="79"/>
      <c r="I115" s="141"/>
      <c r="J115" s="141"/>
      <c r="K115" s="141"/>
      <c r="L115" s="141"/>
      <c r="M115" s="141"/>
    </row>
    <row r="116" spans="1:13" s="10" customFormat="1" ht="19.5" customHeight="1">
      <c r="A116" s="80" t="s">
        <v>575</v>
      </c>
      <c r="B116" s="80"/>
      <c r="C116" s="81">
        <f>'1-2.수량산출'!C27</f>
        <v>1</v>
      </c>
      <c r="D116" s="82" t="s">
        <v>576</v>
      </c>
      <c r="E116" s="83">
        <f t="shared" ref="E116:F121" si="29">G116+I116+K116</f>
        <v>325327.32320500002</v>
      </c>
      <c r="F116" s="83">
        <f t="shared" si="29"/>
        <v>325327</v>
      </c>
      <c r="G116" s="83">
        <f>G105</f>
        <v>325327.32320500002</v>
      </c>
      <c r="H116" s="83">
        <f t="shared" ref="H116:H121" si="30">ROUNDDOWN(G116*C116,0)</f>
        <v>325327</v>
      </c>
      <c r="I116" s="83"/>
      <c r="J116" s="82"/>
      <c r="K116" s="82"/>
      <c r="L116" s="82"/>
      <c r="M116" s="82"/>
    </row>
    <row r="117" spans="1:13" s="10" customFormat="1" ht="19.5" customHeight="1">
      <c r="A117" s="80" t="s">
        <v>577</v>
      </c>
      <c r="B117" s="80"/>
      <c r="C117" s="81">
        <f>'1-2.수량산출'!D27</f>
        <v>1.6</v>
      </c>
      <c r="D117" s="82" t="s">
        <v>576</v>
      </c>
      <c r="E117" s="83">
        <f t="shared" si="29"/>
        <v>238578.78030000001</v>
      </c>
      <c r="F117" s="83">
        <f t="shared" si="29"/>
        <v>381726</v>
      </c>
      <c r="G117" s="83">
        <f t="shared" ref="G117:G121" si="31">G106</f>
        <v>238578.78030000001</v>
      </c>
      <c r="H117" s="83">
        <f t="shared" si="30"/>
        <v>381726</v>
      </c>
      <c r="I117" s="83"/>
      <c r="J117" s="82"/>
      <c r="K117" s="82"/>
      <c r="L117" s="82"/>
      <c r="M117" s="82"/>
    </row>
    <row r="118" spans="1:13" s="10" customFormat="1" ht="19.5" customHeight="1">
      <c r="A118" s="80" t="s">
        <v>578</v>
      </c>
      <c r="B118" s="80"/>
      <c r="C118" s="81">
        <f>'1-2.수량산출'!E27</f>
        <v>6.7</v>
      </c>
      <c r="D118" s="82" t="s">
        <v>576</v>
      </c>
      <c r="E118" s="83">
        <f t="shared" si="29"/>
        <v>199505.89618100002</v>
      </c>
      <c r="F118" s="83">
        <f t="shared" si="29"/>
        <v>1336689</v>
      </c>
      <c r="G118" s="83">
        <f t="shared" si="31"/>
        <v>199505.89618100002</v>
      </c>
      <c r="H118" s="83">
        <f t="shared" si="30"/>
        <v>1336689</v>
      </c>
      <c r="I118" s="83"/>
      <c r="J118" s="82"/>
      <c r="K118" s="82"/>
      <c r="L118" s="82"/>
      <c r="M118" s="82"/>
    </row>
    <row r="119" spans="1:13" s="10" customFormat="1" ht="19.5" customHeight="1">
      <c r="A119" s="80" t="s">
        <v>579</v>
      </c>
      <c r="B119" s="80"/>
      <c r="C119" s="81">
        <f>'1-2.수량산출'!F27</f>
        <v>6.7</v>
      </c>
      <c r="D119" s="82" t="s">
        <v>576</v>
      </c>
      <c r="E119" s="83">
        <f t="shared" si="29"/>
        <v>173018.78261300002</v>
      </c>
      <c r="F119" s="83">
        <f t="shared" si="29"/>
        <v>1159225</v>
      </c>
      <c r="G119" s="83">
        <f t="shared" si="31"/>
        <v>173018.78261300002</v>
      </c>
      <c r="H119" s="83">
        <f t="shared" si="30"/>
        <v>1159225</v>
      </c>
      <c r="I119" s="83"/>
      <c r="J119" s="82"/>
      <c r="K119" s="82"/>
      <c r="L119" s="82"/>
      <c r="M119" s="82"/>
    </row>
    <row r="120" spans="1:13" s="10" customFormat="1" ht="19.5" customHeight="1">
      <c r="A120" s="80" t="s">
        <v>580</v>
      </c>
      <c r="B120" s="80"/>
      <c r="C120" s="81">
        <f>'1-2.수량산출'!G27</f>
        <v>13.5</v>
      </c>
      <c r="D120" s="82" t="s">
        <v>576</v>
      </c>
      <c r="E120" s="83">
        <f t="shared" si="29"/>
        <v>134480.52881399999</v>
      </c>
      <c r="F120" s="83">
        <f t="shared" si="29"/>
        <v>1815487</v>
      </c>
      <c r="G120" s="83">
        <f t="shared" si="31"/>
        <v>134480.52881399999</v>
      </c>
      <c r="H120" s="83">
        <f t="shared" si="30"/>
        <v>1815487</v>
      </c>
      <c r="I120" s="83"/>
      <c r="J120" s="82"/>
      <c r="K120" s="82"/>
      <c r="L120" s="82"/>
      <c r="M120" s="82"/>
    </row>
    <row r="121" spans="1:13" s="10" customFormat="1" ht="19.5" customHeight="1">
      <c r="A121" s="80" t="s">
        <v>581</v>
      </c>
      <c r="B121" s="80"/>
      <c r="C121" s="81">
        <f>'1-2.수량산출'!H27</f>
        <v>13.5</v>
      </c>
      <c r="D121" s="82" t="s">
        <v>576</v>
      </c>
      <c r="E121" s="83">
        <f t="shared" si="29"/>
        <v>135345.48429600001</v>
      </c>
      <c r="F121" s="83">
        <f t="shared" si="29"/>
        <v>1827164</v>
      </c>
      <c r="G121" s="83">
        <f t="shared" si="31"/>
        <v>135345.48429600001</v>
      </c>
      <c r="H121" s="83">
        <f t="shared" si="30"/>
        <v>1827164</v>
      </c>
      <c r="I121" s="83"/>
      <c r="J121" s="82"/>
      <c r="K121" s="82"/>
      <c r="L121" s="82"/>
      <c r="M121" s="82"/>
    </row>
    <row r="122" spans="1:13" s="93" customFormat="1" ht="19.5" customHeight="1">
      <c r="A122" s="84" t="s">
        <v>582</v>
      </c>
      <c r="B122" s="85"/>
      <c r="C122" s="92"/>
      <c r="D122" s="85"/>
      <c r="E122" s="83"/>
      <c r="F122" s="83">
        <f>H122+J122+M122</f>
        <v>6845618</v>
      </c>
      <c r="G122" s="21"/>
      <c r="H122" s="86">
        <f>SUM(H116:H121)</f>
        <v>6845618</v>
      </c>
      <c r="I122" s="85"/>
      <c r="J122" s="85"/>
      <c r="K122" s="85"/>
      <c r="L122" s="85"/>
      <c r="M122" s="85"/>
    </row>
    <row r="123" spans="1:13" s="10" customFormat="1" ht="19.5" customHeight="1">
      <c r="A123" s="87" t="s">
        <v>583</v>
      </c>
      <c r="B123" s="240">
        <f>'1-2.수량산출'!D13</f>
        <v>0.28296000000000004</v>
      </c>
      <c r="C123" s="81"/>
      <c r="D123" s="80"/>
      <c r="E123" s="83"/>
      <c r="F123" s="80"/>
      <c r="G123" s="88"/>
      <c r="H123" s="83"/>
      <c r="I123" s="80"/>
      <c r="J123" s="80"/>
      <c r="K123" s="80"/>
      <c r="L123" s="80"/>
      <c r="M123" s="80"/>
    </row>
    <row r="124" spans="1:13" s="11" customFormat="1" ht="19.5" customHeight="1">
      <c r="A124" s="141" t="s">
        <v>584</v>
      </c>
      <c r="B124" s="19"/>
      <c r="C124" s="77"/>
      <c r="D124" s="141"/>
      <c r="E124" s="19"/>
      <c r="F124" s="89">
        <f>H124+J124+M124</f>
        <v>1937036</v>
      </c>
      <c r="G124" s="90"/>
      <c r="H124" s="89">
        <f>ROUNDDOWN(H122*B123,0)</f>
        <v>1937036</v>
      </c>
      <c r="I124" s="89"/>
      <c r="J124" s="141"/>
      <c r="K124" s="141"/>
      <c r="L124" s="141"/>
      <c r="M124" s="141"/>
    </row>
    <row r="125" spans="1:13" s="10" customFormat="1" ht="19.5" customHeight="1">
      <c r="A125" s="80"/>
      <c r="B125" s="80"/>
      <c r="C125" s="81"/>
      <c r="D125" s="80"/>
      <c r="E125" s="83"/>
      <c r="F125" s="80"/>
      <c r="G125" s="88"/>
      <c r="H125" s="83"/>
      <c r="I125" s="80"/>
      <c r="J125" s="80"/>
      <c r="K125" s="80"/>
      <c r="L125" s="80"/>
      <c r="M125" s="80"/>
    </row>
    <row r="126" spans="1:13" s="11" customFormat="1" ht="19.5" customHeight="1">
      <c r="A126" s="19" t="s">
        <v>595</v>
      </c>
      <c r="B126" s="19"/>
      <c r="C126" s="77"/>
      <c r="D126" s="141"/>
      <c r="E126" s="141"/>
      <c r="F126" s="141"/>
      <c r="G126" s="78"/>
      <c r="H126" s="79"/>
      <c r="I126" s="141"/>
      <c r="J126" s="141"/>
      <c r="K126" s="141"/>
      <c r="L126" s="141"/>
      <c r="M126" s="141"/>
    </row>
    <row r="127" spans="1:13" s="10" customFormat="1" ht="19.5" customHeight="1">
      <c r="A127" s="80" t="s">
        <v>575</v>
      </c>
      <c r="B127" s="80"/>
      <c r="C127" s="81">
        <f>'1-2.수량산출'!C28</f>
        <v>0.5</v>
      </c>
      <c r="D127" s="82" t="s">
        <v>576</v>
      </c>
      <c r="E127" s="83">
        <f t="shared" ref="E127:F132" si="32">G127+I127+K127</f>
        <v>325327.32320500002</v>
      </c>
      <c r="F127" s="83">
        <f t="shared" si="32"/>
        <v>162663</v>
      </c>
      <c r="G127" s="83">
        <f>G116</f>
        <v>325327.32320500002</v>
      </c>
      <c r="H127" s="83">
        <f t="shared" ref="H127:H132" si="33">ROUNDDOWN(G127*C127,0)</f>
        <v>162663</v>
      </c>
      <c r="I127" s="83"/>
      <c r="J127" s="82"/>
      <c r="K127" s="82"/>
      <c r="L127" s="82"/>
      <c r="M127" s="82"/>
    </row>
    <row r="128" spans="1:13" s="10" customFormat="1" ht="19.5" customHeight="1">
      <c r="A128" s="80" t="s">
        <v>577</v>
      </c>
      <c r="B128" s="80"/>
      <c r="C128" s="81">
        <f>'1-2.수량산출'!D28</f>
        <v>0.8</v>
      </c>
      <c r="D128" s="82" t="s">
        <v>576</v>
      </c>
      <c r="E128" s="83">
        <f t="shared" si="32"/>
        <v>238578.78030000001</v>
      </c>
      <c r="F128" s="83">
        <f t="shared" si="32"/>
        <v>190863</v>
      </c>
      <c r="G128" s="83">
        <f t="shared" ref="G128:G132" si="34">G117</f>
        <v>238578.78030000001</v>
      </c>
      <c r="H128" s="83">
        <f t="shared" si="33"/>
        <v>190863</v>
      </c>
      <c r="I128" s="83"/>
      <c r="J128" s="82"/>
      <c r="K128" s="82"/>
      <c r="L128" s="82"/>
      <c r="M128" s="82"/>
    </row>
    <row r="129" spans="1:13" s="10" customFormat="1" ht="19.5" customHeight="1">
      <c r="A129" s="80" t="s">
        <v>578</v>
      </c>
      <c r="B129" s="80"/>
      <c r="C129" s="81">
        <f>'1-2.수량산출'!E28</f>
        <v>4</v>
      </c>
      <c r="D129" s="82" t="s">
        <v>576</v>
      </c>
      <c r="E129" s="83">
        <f t="shared" si="32"/>
        <v>199505.89618100002</v>
      </c>
      <c r="F129" s="83">
        <f t="shared" si="32"/>
        <v>798023</v>
      </c>
      <c r="G129" s="83">
        <f t="shared" si="34"/>
        <v>199505.89618100002</v>
      </c>
      <c r="H129" s="83">
        <f t="shared" si="33"/>
        <v>798023</v>
      </c>
      <c r="I129" s="83"/>
      <c r="J129" s="82"/>
      <c r="K129" s="82"/>
      <c r="L129" s="82"/>
      <c r="M129" s="82"/>
    </row>
    <row r="130" spans="1:13" s="10" customFormat="1" ht="19.5" customHeight="1">
      <c r="A130" s="80" t="s">
        <v>579</v>
      </c>
      <c r="B130" s="80"/>
      <c r="C130" s="81">
        <f>'1-2.수량산출'!F28</f>
        <v>4</v>
      </c>
      <c r="D130" s="82" t="s">
        <v>576</v>
      </c>
      <c r="E130" s="83">
        <f t="shared" si="32"/>
        <v>173018.78261300002</v>
      </c>
      <c r="F130" s="83">
        <f t="shared" si="32"/>
        <v>692075</v>
      </c>
      <c r="G130" s="83">
        <f t="shared" si="34"/>
        <v>173018.78261300002</v>
      </c>
      <c r="H130" s="83">
        <f t="shared" si="33"/>
        <v>692075</v>
      </c>
      <c r="I130" s="83"/>
      <c r="J130" s="82"/>
      <c r="K130" s="82"/>
      <c r="L130" s="82"/>
      <c r="M130" s="82"/>
    </row>
    <row r="131" spans="1:13" s="10" customFormat="1" ht="19.5" customHeight="1">
      <c r="A131" s="80" t="s">
        <v>580</v>
      </c>
      <c r="B131" s="80"/>
      <c r="C131" s="81">
        <f>'1-2.수량산출'!G28</f>
        <v>6.6</v>
      </c>
      <c r="D131" s="82" t="s">
        <v>576</v>
      </c>
      <c r="E131" s="83">
        <f t="shared" si="32"/>
        <v>134480.52881399999</v>
      </c>
      <c r="F131" s="83">
        <f t="shared" si="32"/>
        <v>887571</v>
      </c>
      <c r="G131" s="83">
        <f t="shared" si="34"/>
        <v>134480.52881399999</v>
      </c>
      <c r="H131" s="83">
        <f t="shared" si="33"/>
        <v>887571</v>
      </c>
      <c r="I131" s="83"/>
      <c r="J131" s="82"/>
      <c r="K131" s="82"/>
      <c r="L131" s="82"/>
      <c r="M131" s="82"/>
    </row>
    <row r="132" spans="1:13" s="10" customFormat="1" ht="19.5" customHeight="1">
      <c r="A132" s="80" t="s">
        <v>581</v>
      </c>
      <c r="B132" s="80"/>
      <c r="C132" s="81">
        <f>'1-2.수량산출'!H28</f>
        <v>9.9</v>
      </c>
      <c r="D132" s="82" t="s">
        <v>576</v>
      </c>
      <c r="E132" s="83">
        <f t="shared" si="32"/>
        <v>135345.48429600001</v>
      </c>
      <c r="F132" s="83">
        <f t="shared" si="32"/>
        <v>1339920</v>
      </c>
      <c r="G132" s="83">
        <f t="shared" si="34"/>
        <v>135345.48429600001</v>
      </c>
      <c r="H132" s="83">
        <f t="shared" si="33"/>
        <v>1339920</v>
      </c>
      <c r="I132" s="83"/>
      <c r="J132" s="82"/>
      <c r="K132" s="82"/>
      <c r="L132" s="82"/>
      <c r="M132" s="82"/>
    </row>
    <row r="133" spans="1:13" s="93" customFormat="1" ht="19.5" customHeight="1">
      <c r="A133" s="84" t="s">
        <v>582</v>
      </c>
      <c r="B133" s="85"/>
      <c r="C133" s="92"/>
      <c r="D133" s="85"/>
      <c r="E133" s="83"/>
      <c r="F133" s="83">
        <f>H133+J133+M133</f>
        <v>4071115</v>
      </c>
      <c r="G133" s="21"/>
      <c r="H133" s="86">
        <f>SUM(H127:H132)</f>
        <v>4071115</v>
      </c>
      <c r="I133" s="85"/>
      <c r="J133" s="85"/>
      <c r="K133" s="85"/>
      <c r="L133" s="85"/>
      <c r="M133" s="85"/>
    </row>
    <row r="134" spans="1:13" s="10" customFormat="1" ht="19.5" customHeight="1">
      <c r="A134" s="87" t="s">
        <v>583</v>
      </c>
      <c r="B134" s="240">
        <f>'1-2.수량산출'!D13</f>
        <v>0.28296000000000004</v>
      </c>
      <c r="C134" s="81"/>
      <c r="D134" s="80"/>
      <c r="E134" s="83"/>
      <c r="F134" s="80"/>
      <c r="G134" s="88"/>
      <c r="H134" s="83"/>
      <c r="I134" s="80"/>
      <c r="J134" s="80"/>
      <c r="K134" s="80"/>
      <c r="L134" s="80"/>
      <c r="M134" s="80"/>
    </row>
    <row r="135" spans="1:13" s="11" customFormat="1" ht="19.5" customHeight="1">
      <c r="A135" s="141" t="s">
        <v>584</v>
      </c>
      <c r="B135" s="19"/>
      <c r="C135" s="77"/>
      <c r="D135" s="141"/>
      <c r="E135" s="19"/>
      <c r="F135" s="89">
        <f>H135+J135+M135</f>
        <v>1151962</v>
      </c>
      <c r="G135" s="90"/>
      <c r="H135" s="89">
        <f>ROUNDDOWN(H133*B134,0)</f>
        <v>1151962</v>
      </c>
      <c r="I135" s="89"/>
      <c r="J135" s="141"/>
      <c r="K135" s="141"/>
      <c r="L135" s="141"/>
      <c r="M135" s="141"/>
    </row>
    <row r="136" spans="1:13" s="10" customFormat="1" ht="19.5" customHeight="1">
      <c r="A136" s="80"/>
      <c r="B136" s="80"/>
      <c r="C136" s="81"/>
      <c r="D136" s="80"/>
      <c r="E136" s="83"/>
      <c r="F136" s="80"/>
      <c r="G136" s="88"/>
      <c r="H136" s="83"/>
      <c r="I136" s="80"/>
      <c r="J136" s="80"/>
      <c r="K136" s="80"/>
      <c r="L136" s="80"/>
      <c r="M136" s="80"/>
    </row>
    <row r="137" spans="1:13" s="11" customFormat="1" ht="19.5" customHeight="1">
      <c r="A137" s="19" t="s">
        <v>596</v>
      </c>
      <c r="B137" s="19"/>
      <c r="C137" s="77"/>
      <c r="D137" s="141"/>
      <c r="E137" s="141"/>
      <c r="F137" s="141"/>
      <c r="G137" s="78"/>
      <c r="H137" s="79"/>
      <c r="I137" s="141"/>
      <c r="J137" s="141"/>
      <c r="K137" s="141"/>
      <c r="L137" s="141"/>
      <c r="M137" s="141"/>
    </row>
    <row r="138" spans="1:13" s="10" customFormat="1" ht="19.5" customHeight="1">
      <c r="A138" s="80" t="s">
        <v>575</v>
      </c>
      <c r="B138" s="80"/>
      <c r="C138" s="81">
        <f>'1-2.수량산출'!C29</f>
        <v>0.5</v>
      </c>
      <c r="D138" s="82" t="s">
        <v>576</v>
      </c>
      <c r="E138" s="83">
        <f t="shared" ref="E138:F143" si="35">G138+I138+K138</f>
        <v>325327.32320500002</v>
      </c>
      <c r="F138" s="83">
        <f t="shared" si="35"/>
        <v>162663</v>
      </c>
      <c r="G138" s="83">
        <f>G127</f>
        <v>325327.32320500002</v>
      </c>
      <c r="H138" s="83">
        <f t="shared" ref="H138:H143" si="36">ROUNDDOWN(G138*C138,0)</f>
        <v>162663</v>
      </c>
      <c r="I138" s="83"/>
      <c r="J138" s="82"/>
      <c r="K138" s="82"/>
      <c r="L138" s="82"/>
      <c r="M138" s="82"/>
    </row>
    <row r="139" spans="1:13" s="10" customFormat="1" ht="19.5" customHeight="1">
      <c r="A139" s="80" t="s">
        <v>577</v>
      </c>
      <c r="B139" s="80"/>
      <c r="C139" s="81">
        <f>'1-2.수량산출'!D29</f>
        <v>0.9</v>
      </c>
      <c r="D139" s="82" t="s">
        <v>576</v>
      </c>
      <c r="E139" s="83">
        <f t="shared" si="35"/>
        <v>238578.78030000001</v>
      </c>
      <c r="F139" s="83">
        <f t="shared" si="35"/>
        <v>214720</v>
      </c>
      <c r="G139" s="83">
        <f t="shared" ref="G139:G143" si="37">G128</f>
        <v>238578.78030000001</v>
      </c>
      <c r="H139" s="83">
        <f t="shared" si="36"/>
        <v>214720</v>
      </c>
      <c r="I139" s="83"/>
      <c r="J139" s="82"/>
      <c r="K139" s="82"/>
      <c r="L139" s="82"/>
      <c r="M139" s="82"/>
    </row>
    <row r="140" spans="1:13" s="10" customFormat="1" ht="19.5" customHeight="1">
      <c r="A140" s="80" t="s">
        <v>578</v>
      </c>
      <c r="B140" s="80"/>
      <c r="C140" s="81">
        <f>'1-2.수량산출'!E29</f>
        <v>4.0999999999999996</v>
      </c>
      <c r="D140" s="82" t="s">
        <v>576</v>
      </c>
      <c r="E140" s="83">
        <f t="shared" si="35"/>
        <v>199505.89618100002</v>
      </c>
      <c r="F140" s="83">
        <f t="shared" si="35"/>
        <v>817974</v>
      </c>
      <c r="G140" s="83">
        <f t="shared" si="37"/>
        <v>199505.89618100002</v>
      </c>
      <c r="H140" s="83">
        <f t="shared" si="36"/>
        <v>817974</v>
      </c>
      <c r="I140" s="83"/>
      <c r="J140" s="82"/>
      <c r="K140" s="82"/>
      <c r="L140" s="82"/>
      <c r="M140" s="82"/>
    </row>
    <row r="141" spans="1:13" s="10" customFormat="1" ht="19.5" customHeight="1">
      <c r="A141" s="80" t="s">
        <v>579</v>
      </c>
      <c r="B141" s="80"/>
      <c r="C141" s="81">
        <f>'1-2.수량산출'!F29</f>
        <v>4</v>
      </c>
      <c r="D141" s="82" t="s">
        <v>576</v>
      </c>
      <c r="E141" s="83">
        <f t="shared" si="35"/>
        <v>173018.78261300002</v>
      </c>
      <c r="F141" s="83">
        <f t="shared" si="35"/>
        <v>692075</v>
      </c>
      <c r="G141" s="83">
        <f t="shared" si="37"/>
        <v>173018.78261300002</v>
      </c>
      <c r="H141" s="83">
        <f t="shared" si="36"/>
        <v>692075</v>
      </c>
      <c r="I141" s="83"/>
      <c r="J141" s="82"/>
      <c r="K141" s="82"/>
      <c r="L141" s="82"/>
      <c r="M141" s="82"/>
    </row>
    <row r="142" spans="1:13" s="10" customFormat="1" ht="19.5" customHeight="1">
      <c r="A142" s="80" t="s">
        <v>580</v>
      </c>
      <c r="B142" s="80"/>
      <c r="C142" s="81">
        <f>'1-2.수량산출'!G29</f>
        <v>6.8</v>
      </c>
      <c r="D142" s="82" t="s">
        <v>576</v>
      </c>
      <c r="E142" s="83">
        <f t="shared" si="35"/>
        <v>134480.52881399999</v>
      </c>
      <c r="F142" s="83">
        <f t="shared" si="35"/>
        <v>914467</v>
      </c>
      <c r="G142" s="83">
        <f t="shared" si="37"/>
        <v>134480.52881399999</v>
      </c>
      <c r="H142" s="83">
        <f t="shared" si="36"/>
        <v>914467</v>
      </c>
      <c r="I142" s="83"/>
      <c r="J142" s="82"/>
      <c r="K142" s="82"/>
      <c r="L142" s="82"/>
      <c r="M142" s="82"/>
    </row>
    <row r="143" spans="1:13" s="10" customFormat="1" ht="19.5" customHeight="1">
      <c r="A143" s="80" t="s">
        <v>581</v>
      </c>
      <c r="B143" s="80"/>
      <c r="C143" s="81">
        <f>'1-2.수량산출'!H29</f>
        <v>10.199999999999999</v>
      </c>
      <c r="D143" s="82" t="s">
        <v>576</v>
      </c>
      <c r="E143" s="83">
        <f t="shared" si="35"/>
        <v>135345.48429600001</v>
      </c>
      <c r="F143" s="83">
        <f t="shared" si="35"/>
        <v>1380523</v>
      </c>
      <c r="G143" s="83">
        <f t="shared" si="37"/>
        <v>135345.48429600001</v>
      </c>
      <c r="H143" s="83">
        <f t="shared" si="36"/>
        <v>1380523</v>
      </c>
      <c r="I143" s="83"/>
      <c r="J143" s="82"/>
      <c r="K143" s="82"/>
      <c r="L143" s="82"/>
      <c r="M143" s="82"/>
    </row>
    <row r="144" spans="1:13" s="10" customFormat="1" ht="19.5" customHeight="1">
      <c r="A144" s="84" t="s">
        <v>582</v>
      </c>
      <c r="B144" s="85"/>
      <c r="C144" s="92"/>
      <c r="D144" s="85"/>
      <c r="E144" s="83"/>
      <c r="F144" s="83">
        <f>H144+J144+M144</f>
        <v>4182422</v>
      </c>
      <c r="G144" s="21"/>
      <c r="H144" s="86">
        <f>SUM(H138:H143)</f>
        <v>4182422</v>
      </c>
      <c r="I144" s="85"/>
      <c r="J144" s="85"/>
      <c r="K144" s="85"/>
      <c r="L144" s="85"/>
      <c r="M144" s="85"/>
    </row>
    <row r="145" spans="1:13" s="10" customFormat="1" ht="19.5" customHeight="1">
      <c r="A145" s="87" t="s">
        <v>583</v>
      </c>
      <c r="B145" s="240">
        <f>'1-2.수량산출'!D13</f>
        <v>0.28296000000000004</v>
      </c>
      <c r="C145" s="81"/>
      <c r="D145" s="80"/>
      <c r="E145" s="83"/>
      <c r="F145" s="80"/>
      <c r="G145" s="88"/>
      <c r="H145" s="83"/>
      <c r="I145" s="80"/>
      <c r="J145" s="80"/>
      <c r="K145" s="80"/>
      <c r="L145" s="80"/>
      <c r="M145" s="80"/>
    </row>
    <row r="146" spans="1:13" s="11" customFormat="1" ht="19.5" customHeight="1">
      <c r="A146" s="141" t="s">
        <v>584</v>
      </c>
      <c r="B146" s="19"/>
      <c r="C146" s="77"/>
      <c r="D146" s="141"/>
      <c r="E146" s="19"/>
      <c r="F146" s="89">
        <f>H146+J146+M146</f>
        <v>1183458</v>
      </c>
      <c r="G146" s="90"/>
      <c r="H146" s="89">
        <f>ROUNDDOWN(H144*B145,0)</f>
        <v>1183458</v>
      </c>
      <c r="I146" s="89"/>
      <c r="J146" s="141"/>
      <c r="K146" s="141"/>
      <c r="L146" s="141"/>
      <c r="M146" s="141"/>
    </row>
    <row r="147" spans="1:13" s="10" customFormat="1" ht="19.5" customHeight="1">
      <c r="A147" s="80"/>
      <c r="B147" s="80"/>
      <c r="C147" s="81"/>
      <c r="D147" s="80"/>
      <c r="E147" s="83"/>
      <c r="F147" s="80"/>
      <c r="G147" s="88"/>
      <c r="H147" s="83"/>
      <c r="I147" s="80"/>
      <c r="J147" s="80"/>
      <c r="K147" s="80"/>
      <c r="L147" s="80"/>
      <c r="M147" s="80"/>
    </row>
    <row r="148" spans="1:13" s="11" customFormat="1" ht="19.5" customHeight="1">
      <c r="A148" s="19" t="s">
        <v>597</v>
      </c>
      <c r="B148" s="19"/>
      <c r="C148" s="77"/>
      <c r="D148" s="141"/>
      <c r="E148" s="141"/>
      <c r="F148" s="141"/>
      <c r="G148" s="78"/>
      <c r="H148" s="79"/>
      <c r="I148" s="141"/>
      <c r="J148" s="141"/>
      <c r="K148" s="141"/>
      <c r="L148" s="141"/>
      <c r="M148" s="141"/>
    </row>
    <row r="149" spans="1:13" s="10" customFormat="1" ht="19.5" customHeight="1">
      <c r="A149" s="80" t="s">
        <v>575</v>
      </c>
      <c r="B149" s="80"/>
      <c r="C149" s="81">
        <f>'1-2.수량산출'!C30</f>
        <v>0.9</v>
      </c>
      <c r="D149" s="82" t="s">
        <v>576</v>
      </c>
      <c r="E149" s="83">
        <f t="shared" ref="E149:F154" si="38">G149+I149+K149</f>
        <v>325327.32320500002</v>
      </c>
      <c r="F149" s="83">
        <f t="shared" si="38"/>
        <v>292794</v>
      </c>
      <c r="G149" s="83">
        <f>G138</f>
        <v>325327.32320500002</v>
      </c>
      <c r="H149" s="83">
        <f t="shared" ref="H149:H154" si="39">ROUNDDOWN(G149*C149,0)</f>
        <v>292794</v>
      </c>
      <c r="I149" s="83"/>
      <c r="J149" s="82"/>
      <c r="K149" s="82"/>
      <c r="L149" s="82"/>
      <c r="M149" s="82"/>
    </row>
    <row r="150" spans="1:13" s="10" customFormat="1" ht="19.5" customHeight="1">
      <c r="A150" s="80" t="s">
        <v>577</v>
      </c>
      <c r="B150" s="80"/>
      <c r="C150" s="81">
        <f>'1-2.수량산출'!D30</f>
        <v>0.4</v>
      </c>
      <c r="D150" s="82" t="s">
        <v>576</v>
      </c>
      <c r="E150" s="83">
        <f t="shared" si="38"/>
        <v>238578.78030000001</v>
      </c>
      <c r="F150" s="83">
        <f t="shared" si="38"/>
        <v>95431</v>
      </c>
      <c r="G150" s="83">
        <f t="shared" ref="G150:G154" si="40">G139</f>
        <v>238578.78030000001</v>
      </c>
      <c r="H150" s="83">
        <f t="shared" si="39"/>
        <v>95431</v>
      </c>
      <c r="I150" s="83"/>
      <c r="J150" s="82"/>
      <c r="K150" s="82"/>
      <c r="L150" s="82"/>
      <c r="M150" s="82"/>
    </row>
    <row r="151" spans="1:13" s="10" customFormat="1" ht="19.5" customHeight="1">
      <c r="A151" s="80" t="s">
        <v>578</v>
      </c>
      <c r="B151" s="80"/>
      <c r="C151" s="81">
        <f>'1-2.수량산출'!E30</f>
        <v>4</v>
      </c>
      <c r="D151" s="82" t="s">
        <v>576</v>
      </c>
      <c r="E151" s="83">
        <f t="shared" si="38"/>
        <v>199505.89618100002</v>
      </c>
      <c r="F151" s="83">
        <f t="shared" si="38"/>
        <v>798023</v>
      </c>
      <c r="G151" s="83">
        <f t="shared" si="40"/>
        <v>199505.89618100002</v>
      </c>
      <c r="H151" s="83">
        <f t="shared" si="39"/>
        <v>798023</v>
      </c>
      <c r="I151" s="83"/>
      <c r="J151" s="82"/>
      <c r="K151" s="82"/>
      <c r="L151" s="82"/>
      <c r="M151" s="82"/>
    </row>
    <row r="152" spans="1:13" s="10" customFormat="1" ht="19.5" customHeight="1">
      <c r="A152" s="80" t="s">
        <v>579</v>
      </c>
      <c r="B152" s="80"/>
      <c r="C152" s="81">
        <f>'1-2.수량산출'!F30</f>
        <v>4</v>
      </c>
      <c r="D152" s="82" t="s">
        <v>576</v>
      </c>
      <c r="E152" s="83">
        <f t="shared" si="38"/>
        <v>173018.78261300002</v>
      </c>
      <c r="F152" s="83">
        <f t="shared" si="38"/>
        <v>692075</v>
      </c>
      <c r="G152" s="83">
        <f t="shared" si="40"/>
        <v>173018.78261300002</v>
      </c>
      <c r="H152" s="83">
        <f t="shared" si="39"/>
        <v>692075</v>
      </c>
      <c r="I152" s="83"/>
      <c r="J152" s="82"/>
      <c r="K152" s="82"/>
      <c r="L152" s="82"/>
      <c r="M152" s="82"/>
    </row>
    <row r="153" spans="1:13" s="10" customFormat="1" ht="19.5" customHeight="1">
      <c r="A153" s="80" t="s">
        <v>580</v>
      </c>
      <c r="B153" s="80"/>
      <c r="C153" s="81">
        <f>'1-2.수량산출'!G30</f>
        <v>6.6</v>
      </c>
      <c r="D153" s="82" t="s">
        <v>576</v>
      </c>
      <c r="E153" s="83">
        <f t="shared" si="38"/>
        <v>134480.52881399999</v>
      </c>
      <c r="F153" s="83">
        <f t="shared" si="38"/>
        <v>887571</v>
      </c>
      <c r="G153" s="83">
        <f t="shared" si="40"/>
        <v>134480.52881399999</v>
      </c>
      <c r="H153" s="83">
        <f t="shared" si="39"/>
        <v>887571</v>
      </c>
      <c r="I153" s="83"/>
      <c r="J153" s="82"/>
      <c r="K153" s="82"/>
      <c r="L153" s="82"/>
      <c r="M153" s="82"/>
    </row>
    <row r="154" spans="1:13" s="10" customFormat="1" ht="19.5" customHeight="1">
      <c r="A154" s="80" t="s">
        <v>581</v>
      </c>
      <c r="B154" s="80"/>
      <c r="C154" s="81">
        <f>'1-2.수량산출'!H30</f>
        <v>9.9</v>
      </c>
      <c r="D154" s="82" t="s">
        <v>576</v>
      </c>
      <c r="E154" s="83">
        <f t="shared" si="38"/>
        <v>135345.48429600001</v>
      </c>
      <c r="F154" s="83">
        <f t="shared" si="38"/>
        <v>1339920</v>
      </c>
      <c r="G154" s="83">
        <f t="shared" si="40"/>
        <v>135345.48429600001</v>
      </c>
      <c r="H154" s="83">
        <f t="shared" si="39"/>
        <v>1339920</v>
      </c>
      <c r="I154" s="83"/>
      <c r="J154" s="82"/>
      <c r="K154" s="82"/>
      <c r="L154" s="82"/>
      <c r="M154" s="82"/>
    </row>
    <row r="155" spans="1:13" s="93" customFormat="1" ht="19.5" customHeight="1">
      <c r="A155" s="84" t="s">
        <v>582</v>
      </c>
      <c r="B155" s="85"/>
      <c r="C155" s="92"/>
      <c r="D155" s="85"/>
      <c r="E155" s="83"/>
      <c r="F155" s="83">
        <f>H155+J155+M155</f>
        <v>4105814</v>
      </c>
      <c r="G155" s="21"/>
      <c r="H155" s="86">
        <f>SUM(H149:H154)</f>
        <v>4105814</v>
      </c>
      <c r="I155" s="85"/>
      <c r="J155" s="85"/>
      <c r="K155" s="85"/>
      <c r="L155" s="85"/>
      <c r="M155" s="85"/>
    </row>
    <row r="156" spans="1:13" s="10" customFormat="1" ht="19.5" customHeight="1">
      <c r="A156" s="87" t="s">
        <v>583</v>
      </c>
      <c r="B156" s="240">
        <f>'1-2.수량산출'!D13</f>
        <v>0.28296000000000004</v>
      </c>
      <c r="C156" s="81"/>
      <c r="D156" s="80"/>
      <c r="E156" s="83"/>
      <c r="F156" s="80"/>
      <c r="G156" s="88"/>
      <c r="H156" s="83"/>
      <c r="I156" s="80"/>
      <c r="J156" s="80"/>
      <c r="K156" s="80"/>
      <c r="L156" s="80"/>
      <c r="M156" s="80"/>
    </row>
    <row r="157" spans="1:13" s="11" customFormat="1" ht="19.5" customHeight="1">
      <c r="A157" s="141" t="s">
        <v>584</v>
      </c>
      <c r="B157" s="19"/>
      <c r="C157" s="77"/>
      <c r="D157" s="141"/>
      <c r="E157" s="19"/>
      <c r="F157" s="89">
        <f>H157+J157+M157</f>
        <v>1161781</v>
      </c>
      <c r="G157" s="90"/>
      <c r="H157" s="89">
        <f>ROUNDDOWN(H155*B156,0)</f>
        <v>1161781</v>
      </c>
      <c r="I157" s="89"/>
      <c r="J157" s="141"/>
      <c r="K157" s="141"/>
      <c r="L157" s="141"/>
      <c r="M157" s="141"/>
    </row>
    <row r="158" spans="1:13" s="10" customFormat="1" ht="19.5" customHeight="1">
      <c r="A158" s="80"/>
      <c r="B158" s="80"/>
      <c r="C158" s="81"/>
      <c r="D158" s="80"/>
      <c r="E158" s="83"/>
      <c r="F158" s="80"/>
      <c r="G158" s="88"/>
      <c r="H158" s="83"/>
      <c r="I158" s="80"/>
      <c r="J158" s="80"/>
      <c r="K158" s="80"/>
      <c r="L158" s="80"/>
      <c r="M158" s="80"/>
    </row>
    <row r="159" spans="1:13" s="11" customFormat="1" ht="19.5" customHeight="1">
      <c r="A159" s="19" t="s">
        <v>598</v>
      </c>
      <c r="B159" s="19"/>
      <c r="C159" s="77"/>
      <c r="D159" s="141"/>
      <c r="E159" s="141"/>
      <c r="F159" s="141"/>
      <c r="G159" s="78"/>
      <c r="H159" s="79"/>
      <c r="I159" s="141"/>
      <c r="J159" s="141"/>
      <c r="K159" s="141"/>
      <c r="L159" s="141"/>
      <c r="M159" s="141"/>
    </row>
    <row r="160" spans="1:13" s="10" customFormat="1" ht="19.5" customHeight="1">
      <c r="A160" s="80" t="s">
        <v>575</v>
      </c>
      <c r="B160" s="80"/>
      <c r="C160" s="81">
        <f>'1-2.수량산출'!C33</f>
        <v>0.3</v>
      </c>
      <c r="D160" s="82" t="s">
        <v>576</v>
      </c>
      <c r="E160" s="83">
        <f t="shared" ref="E160:F165" si="41">G160+I160+K160</f>
        <v>325327.32320500002</v>
      </c>
      <c r="F160" s="83">
        <f t="shared" si="41"/>
        <v>97598</v>
      </c>
      <c r="G160" s="83">
        <f>G149</f>
        <v>325327.32320500002</v>
      </c>
      <c r="H160" s="83">
        <f t="shared" ref="H160:H165" si="42">ROUNDDOWN(G160*C160,0)</f>
        <v>97598</v>
      </c>
      <c r="I160" s="83"/>
      <c r="J160" s="82"/>
      <c r="K160" s="82"/>
      <c r="L160" s="82"/>
      <c r="M160" s="82"/>
    </row>
    <row r="161" spans="1:13" s="10" customFormat="1" ht="19.5" customHeight="1">
      <c r="A161" s="80" t="s">
        <v>577</v>
      </c>
      <c r="B161" s="80"/>
      <c r="C161" s="81">
        <f>'1-2.수량산출'!D33</f>
        <v>1.3</v>
      </c>
      <c r="D161" s="82" t="s">
        <v>576</v>
      </c>
      <c r="E161" s="83">
        <f t="shared" si="41"/>
        <v>238578.78030000001</v>
      </c>
      <c r="F161" s="83">
        <f t="shared" si="41"/>
        <v>310152</v>
      </c>
      <c r="G161" s="83">
        <f t="shared" ref="G161:G165" si="43">G150</f>
        <v>238578.78030000001</v>
      </c>
      <c r="H161" s="83">
        <f t="shared" si="42"/>
        <v>310152</v>
      </c>
      <c r="I161" s="83"/>
      <c r="J161" s="82"/>
      <c r="K161" s="82"/>
      <c r="L161" s="82"/>
      <c r="M161" s="82"/>
    </row>
    <row r="162" spans="1:13" s="10" customFormat="1" ht="19.5" customHeight="1">
      <c r="A162" s="80" t="s">
        <v>578</v>
      </c>
      <c r="B162" s="80"/>
      <c r="C162" s="81">
        <f>'1-2.수량산출'!E33</f>
        <v>4.0999999999999996</v>
      </c>
      <c r="D162" s="82" t="s">
        <v>576</v>
      </c>
      <c r="E162" s="83">
        <f t="shared" si="41"/>
        <v>199505.89618100002</v>
      </c>
      <c r="F162" s="83">
        <f t="shared" si="41"/>
        <v>817974</v>
      </c>
      <c r="G162" s="83">
        <f t="shared" si="43"/>
        <v>199505.89618100002</v>
      </c>
      <c r="H162" s="83">
        <f t="shared" si="42"/>
        <v>817974</v>
      </c>
      <c r="I162" s="83"/>
      <c r="J162" s="82"/>
      <c r="K162" s="82"/>
      <c r="L162" s="82"/>
      <c r="M162" s="82"/>
    </row>
    <row r="163" spans="1:13" s="10" customFormat="1" ht="19.5" customHeight="1">
      <c r="A163" s="80" t="s">
        <v>579</v>
      </c>
      <c r="B163" s="80"/>
      <c r="C163" s="81">
        <f>'1-2.수량산출'!F33</f>
        <v>4</v>
      </c>
      <c r="D163" s="82" t="s">
        <v>576</v>
      </c>
      <c r="E163" s="83">
        <f t="shared" si="41"/>
        <v>173018.78261300002</v>
      </c>
      <c r="F163" s="83">
        <f t="shared" si="41"/>
        <v>692075</v>
      </c>
      <c r="G163" s="83">
        <f t="shared" si="43"/>
        <v>173018.78261300002</v>
      </c>
      <c r="H163" s="83">
        <f t="shared" si="42"/>
        <v>692075</v>
      </c>
      <c r="I163" s="83"/>
      <c r="J163" s="82"/>
      <c r="K163" s="82"/>
      <c r="L163" s="82"/>
      <c r="M163" s="82"/>
    </row>
    <row r="164" spans="1:13" s="10" customFormat="1" ht="19.5" customHeight="1">
      <c r="A164" s="80" t="s">
        <v>580</v>
      </c>
      <c r="B164" s="80"/>
      <c r="C164" s="81">
        <f>'1-2.수량산출'!G33</f>
        <v>6.9</v>
      </c>
      <c r="D164" s="82" t="s">
        <v>576</v>
      </c>
      <c r="E164" s="83">
        <f t="shared" si="41"/>
        <v>134480.52881399999</v>
      </c>
      <c r="F164" s="83">
        <f t="shared" si="41"/>
        <v>927915</v>
      </c>
      <c r="G164" s="83">
        <f t="shared" si="43"/>
        <v>134480.52881399999</v>
      </c>
      <c r="H164" s="83">
        <f t="shared" si="42"/>
        <v>927915</v>
      </c>
      <c r="I164" s="83"/>
      <c r="J164" s="82"/>
      <c r="K164" s="82"/>
      <c r="L164" s="82"/>
      <c r="M164" s="82"/>
    </row>
    <row r="165" spans="1:13" s="10" customFormat="1" ht="19.5" customHeight="1">
      <c r="A165" s="80" t="s">
        <v>581</v>
      </c>
      <c r="B165" s="80"/>
      <c r="C165" s="81">
        <f>'1-2.수량산출'!H33</f>
        <v>5.9</v>
      </c>
      <c r="D165" s="82" t="s">
        <v>576</v>
      </c>
      <c r="E165" s="83">
        <f t="shared" si="41"/>
        <v>135345.48429600001</v>
      </c>
      <c r="F165" s="83">
        <f t="shared" si="41"/>
        <v>798538</v>
      </c>
      <c r="G165" s="83">
        <f t="shared" si="43"/>
        <v>135345.48429600001</v>
      </c>
      <c r="H165" s="83">
        <f t="shared" si="42"/>
        <v>798538</v>
      </c>
      <c r="I165" s="83"/>
      <c r="J165" s="82"/>
      <c r="K165" s="82"/>
      <c r="L165" s="82"/>
      <c r="M165" s="82"/>
    </row>
    <row r="166" spans="1:13" s="93" customFormat="1" ht="19.5" customHeight="1">
      <c r="A166" s="84" t="s">
        <v>582</v>
      </c>
      <c r="B166" s="85"/>
      <c r="C166" s="92"/>
      <c r="D166" s="85"/>
      <c r="E166" s="83"/>
      <c r="F166" s="83">
        <f>H166+J166+M166</f>
        <v>3644252</v>
      </c>
      <c r="G166" s="21"/>
      <c r="H166" s="86">
        <f>SUM(H160:H165)</f>
        <v>3644252</v>
      </c>
      <c r="I166" s="85"/>
      <c r="J166" s="85"/>
      <c r="K166" s="85"/>
      <c r="L166" s="85"/>
      <c r="M166" s="85"/>
    </row>
    <row r="167" spans="1:13" s="10" customFormat="1" ht="19.5" customHeight="1">
      <c r="A167" s="87" t="s">
        <v>583</v>
      </c>
      <c r="B167" s="240">
        <f>'1-2.수량산출'!D13</f>
        <v>0.28296000000000004</v>
      </c>
      <c r="C167" s="81"/>
      <c r="D167" s="80"/>
      <c r="E167" s="83"/>
      <c r="F167" s="80"/>
      <c r="G167" s="88"/>
      <c r="H167" s="83"/>
      <c r="I167" s="80"/>
      <c r="J167" s="80"/>
      <c r="K167" s="80"/>
      <c r="L167" s="80"/>
      <c r="M167" s="80"/>
    </row>
    <row r="168" spans="1:13" s="11" customFormat="1" ht="19.5" customHeight="1">
      <c r="A168" s="141" t="s">
        <v>584</v>
      </c>
      <c r="B168" s="19"/>
      <c r="C168" s="77"/>
      <c r="D168" s="141"/>
      <c r="E168" s="19"/>
      <c r="F168" s="89">
        <f>H168+J168+M168</f>
        <v>1031177</v>
      </c>
      <c r="G168" s="90"/>
      <c r="H168" s="89">
        <f>ROUNDDOWN(H166*B167,0)</f>
        <v>1031177</v>
      </c>
      <c r="I168" s="89"/>
      <c r="J168" s="141"/>
      <c r="K168" s="141"/>
      <c r="L168" s="141"/>
      <c r="M168" s="141"/>
    </row>
    <row r="169" spans="1:13" s="10" customFormat="1" ht="19.5" customHeight="1">
      <c r="A169" s="80"/>
      <c r="B169" s="80"/>
      <c r="C169" s="81"/>
      <c r="D169" s="80"/>
      <c r="E169" s="83"/>
      <c r="F169" s="80"/>
      <c r="G169" s="88"/>
      <c r="H169" s="83"/>
      <c r="I169" s="80"/>
      <c r="J169" s="80"/>
      <c r="K169" s="80"/>
      <c r="L169" s="80"/>
      <c r="M169" s="80"/>
    </row>
    <row r="170" spans="1:13" s="11" customFormat="1" ht="19.5" customHeight="1">
      <c r="A170" s="19" t="s">
        <v>599</v>
      </c>
      <c r="B170" s="19"/>
      <c r="C170" s="77"/>
      <c r="D170" s="141"/>
      <c r="E170" s="141"/>
      <c r="F170" s="141"/>
      <c r="G170" s="78"/>
      <c r="H170" s="79"/>
      <c r="I170" s="141"/>
      <c r="J170" s="141"/>
      <c r="K170" s="141"/>
      <c r="L170" s="141"/>
      <c r="M170" s="141"/>
    </row>
    <row r="171" spans="1:13" s="10" customFormat="1" ht="19.5" customHeight="1">
      <c r="A171" s="80" t="s">
        <v>575</v>
      </c>
      <c r="B171" s="80"/>
      <c r="C171" s="81">
        <f>'1-2.수량산출'!C34</f>
        <v>0.3</v>
      </c>
      <c r="D171" s="82" t="s">
        <v>576</v>
      </c>
      <c r="E171" s="83">
        <f t="shared" ref="E171:F176" si="44">G171+I171+K171</f>
        <v>325327.32320500002</v>
      </c>
      <c r="F171" s="83">
        <f t="shared" si="44"/>
        <v>97598</v>
      </c>
      <c r="G171" s="83">
        <f>G160</f>
        <v>325327.32320500002</v>
      </c>
      <c r="H171" s="83">
        <f t="shared" ref="H171:H176" si="45">ROUNDDOWN(G171*C171,0)</f>
        <v>97598</v>
      </c>
      <c r="I171" s="83"/>
      <c r="J171" s="82"/>
      <c r="K171" s="82"/>
      <c r="L171" s="82"/>
      <c r="M171" s="82"/>
    </row>
    <row r="172" spans="1:13" s="10" customFormat="1" ht="19.5" customHeight="1">
      <c r="A172" s="80" t="s">
        <v>577</v>
      </c>
      <c r="B172" s="80"/>
      <c r="C172" s="81">
        <f>'1-2.수량산출'!D34</f>
        <v>1.2</v>
      </c>
      <c r="D172" s="82" t="s">
        <v>576</v>
      </c>
      <c r="E172" s="83">
        <f t="shared" si="44"/>
        <v>238578.78030000001</v>
      </c>
      <c r="F172" s="83">
        <f t="shared" si="44"/>
        <v>286294</v>
      </c>
      <c r="G172" s="83">
        <f t="shared" ref="G172:G176" si="46">G161</f>
        <v>238578.78030000001</v>
      </c>
      <c r="H172" s="83">
        <f t="shared" si="45"/>
        <v>286294</v>
      </c>
      <c r="I172" s="83"/>
      <c r="J172" s="82"/>
      <c r="K172" s="82"/>
      <c r="L172" s="82"/>
      <c r="M172" s="82"/>
    </row>
    <row r="173" spans="1:13" s="10" customFormat="1" ht="19.5" customHeight="1">
      <c r="A173" s="80" t="s">
        <v>578</v>
      </c>
      <c r="B173" s="80"/>
      <c r="C173" s="81">
        <f>'1-2.수량산출'!E34</f>
        <v>4</v>
      </c>
      <c r="D173" s="82" t="s">
        <v>576</v>
      </c>
      <c r="E173" s="83">
        <f t="shared" si="44"/>
        <v>199505.89618100002</v>
      </c>
      <c r="F173" s="83">
        <f t="shared" si="44"/>
        <v>798023</v>
      </c>
      <c r="G173" s="83">
        <f t="shared" si="46"/>
        <v>199505.89618100002</v>
      </c>
      <c r="H173" s="83">
        <f t="shared" si="45"/>
        <v>798023</v>
      </c>
      <c r="I173" s="83"/>
      <c r="J173" s="82"/>
      <c r="K173" s="82"/>
      <c r="L173" s="82"/>
      <c r="M173" s="82"/>
    </row>
    <row r="174" spans="1:13" s="10" customFormat="1" ht="19.5" customHeight="1">
      <c r="A174" s="80" t="s">
        <v>579</v>
      </c>
      <c r="B174" s="80"/>
      <c r="C174" s="81">
        <f>'1-2.수량산출'!F34</f>
        <v>4</v>
      </c>
      <c r="D174" s="82" t="s">
        <v>576</v>
      </c>
      <c r="E174" s="83">
        <f t="shared" si="44"/>
        <v>173018.78261300002</v>
      </c>
      <c r="F174" s="83">
        <f t="shared" si="44"/>
        <v>692075</v>
      </c>
      <c r="G174" s="83">
        <f t="shared" si="46"/>
        <v>173018.78261300002</v>
      </c>
      <c r="H174" s="83">
        <f t="shared" si="45"/>
        <v>692075</v>
      </c>
      <c r="I174" s="83"/>
      <c r="J174" s="82"/>
      <c r="K174" s="82"/>
      <c r="L174" s="82"/>
      <c r="M174" s="82"/>
    </row>
    <row r="175" spans="1:13" s="10" customFormat="1" ht="19.5" customHeight="1">
      <c r="A175" s="80" t="s">
        <v>580</v>
      </c>
      <c r="B175" s="80"/>
      <c r="C175" s="81">
        <f>'1-2.수량산출'!G34</f>
        <v>6.6</v>
      </c>
      <c r="D175" s="82" t="s">
        <v>576</v>
      </c>
      <c r="E175" s="83">
        <f t="shared" si="44"/>
        <v>134480.52881399999</v>
      </c>
      <c r="F175" s="83">
        <f t="shared" si="44"/>
        <v>887571</v>
      </c>
      <c r="G175" s="83">
        <f t="shared" si="46"/>
        <v>134480.52881399999</v>
      </c>
      <c r="H175" s="83">
        <f t="shared" si="45"/>
        <v>887571</v>
      </c>
      <c r="I175" s="83"/>
      <c r="J175" s="82"/>
      <c r="K175" s="82"/>
      <c r="L175" s="82"/>
      <c r="M175" s="82"/>
    </row>
    <row r="176" spans="1:13" s="10" customFormat="1" ht="19.5" customHeight="1">
      <c r="A176" s="80" t="s">
        <v>581</v>
      </c>
      <c r="B176" s="80"/>
      <c r="C176" s="81">
        <f>'1-2.수량산출'!H34</f>
        <v>10.1</v>
      </c>
      <c r="D176" s="82" t="s">
        <v>576</v>
      </c>
      <c r="E176" s="83">
        <f t="shared" si="44"/>
        <v>135345.48429600001</v>
      </c>
      <c r="F176" s="83">
        <f t="shared" si="44"/>
        <v>1366989</v>
      </c>
      <c r="G176" s="83">
        <f t="shared" si="46"/>
        <v>135345.48429600001</v>
      </c>
      <c r="H176" s="83">
        <f t="shared" si="45"/>
        <v>1366989</v>
      </c>
      <c r="I176" s="83"/>
      <c r="J176" s="82"/>
      <c r="K176" s="82"/>
      <c r="L176" s="82"/>
      <c r="M176" s="82"/>
    </row>
    <row r="177" spans="1:13" s="93" customFormat="1" ht="19.5" customHeight="1">
      <c r="A177" s="84" t="s">
        <v>582</v>
      </c>
      <c r="B177" s="85"/>
      <c r="C177" s="92"/>
      <c r="D177" s="85"/>
      <c r="E177" s="85"/>
      <c r="F177" s="83">
        <f>H177+J177+M177</f>
        <v>4128550</v>
      </c>
      <c r="G177" s="21"/>
      <c r="H177" s="86">
        <f>SUM(H171:H176)</f>
        <v>4128550</v>
      </c>
      <c r="I177" s="85"/>
      <c r="J177" s="85"/>
      <c r="K177" s="85"/>
      <c r="L177" s="85"/>
      <c r="M177" s="85"/>
    </row>
    <row r="178" spans="1:13" s="10" customFormat="1" ht="19.5" customHeight="1">
      <c r="A178" s="87" t="s">
        <v>583</v>
      </c>
      <c r="B178" s="240">
        <f>'1-2.수량산출'!D13</f>
        <v>0.28296000000000004</v>
      </c>
      <c r="C178" s="81"/>
      <c r="D178" s="80"/>
      <c r="E178" s="80"/>
      <c r="F178" s="80"/>
      <c r="G178" s="88"/>
      <c r="H178" s="83"/>
      <c r="I178" s="80"/>
      <c r="J178" s="80"/>
      <c r="K178" s="80"/>
      <c r="L178" s="80"/>
      <c r="M178" s="80"/>
    </row>
    <row r="179" spans="1:13" s="11" customFormat="1" ht="19.5" customHeight="1">
      <c r="A179" s="141" t="s">
        <v>584</v>
      </c>
      <c r="B179" s="19"/>
      <c r="C179" s="77"/>
      <c r="D179" s="141"/>
      <c r="E179" s="19"/>
      <c r="F179" s="89">
        <f>H179+J179+M179</f>
        <v>1168214</v>
      </c>
      <c r="G179" s="90"/>
      <c r="H179" s="89">
        <f>ROUNDDOWN(H177*B178,0)</f>
        <v>1168214</v>
      </c>
      <c r="I179" s="89"/>
      <c r="J179" s="141"/>
      <c r="K179" s="141"/>
      <c r="L179" s="141"/>
      <c r="M179" s="141"/>
    </row>
    <row r="180" spans="1:13" s="11" customFormat="1" ht="19.5" customHeight="1">
      <c r="A180" s="141"/>
      <c r="B180" s="19"/>
      <c r="C180" s="77"/>
      <c r="D180" s="141"/>
      <c r="E180" s="19"/>
      <c r="F180" s="89"/>
      <c r="G180" s="90"/>
      <c r="H180" s="89"/>
      <c r="I180" s="89"/>
      <c r="J180" s="141"/>
      <c r="K180" s="141"/>
      <c r="L180" s="141"/>
      <c r="M180" s="141"/>
    </row>
    <row r="181" spans="1:13" s="11" customFormat="1" ht="19.5" customHeight="1">
      <c r="A181" s="19" t="s">
        <v>600</v>
      </c>
      <c r="B181" s="19"/>
      <c r="C181" s="77"/>
      <c r="D181" s="141"/>
      <c r="E181" s="141"/>
      <c r="F181" s="141"/>
      <c r="G181" s="78"/>
      <c r="H181" s="79"/>
      <c r="I181" s="141"/>
      <c r="J181" s="141"/>
      <c r="K181" s="141"/>
      <c r="L181" s="141"/>
      <c r="M181" s="141"/>
    </row>
    <row r="182" spans="1:13" s="10" customFormat="1" ht="19.5" customHeight="1">
      <c r="A182" s="80" t="s">
        <v>575</v>
      </c>
      <c r="B182" s="80"/>
      <c r="C182" s="81">
        <f>'1-2.수량산출'!C35</f>
        <v>2</v>
      </c>
      <c r="D182" s="82" t="s">
        <v>576</v>
      </c>
      <c r="E182" s="83">
        <f t="shared" ref="E182:F187" si="47">G182+I182+K182</f>
        <v>325327.32320500002</v>
      </c>
      <c r="F182" s="83">
        <f t="shared" si="47"/>
        <v>650654</v>
      </c>
      <c r="G182" s="83">
        <f>G171</f>
        <v>325327.32320500002</v>
      </c>
      <c r="H182" s="83">
        <f t="shared" ref="H182:H187" si="48">ROUNDDOWN(G182*C182,0)</f>
        <v>650654</v>
      </c>
      <c r="I182" s="83"/>
      <c r="J182" s="82"/>
      <c r="K182" s="82"/>
      <c r="L182" s="82"/>
      <c r="M182" s="82"/>
    </row>
    <row r="183" spans="1:13" s="10" customFormat="1" ht="19.5" customHeight="1">
      <c r="A183" s="80" t="s">
        <v>577</v>
      </c>
      <c r="B183" s="80"/>
      <c r="C183" s="81">
        <f>'1-2.수량산출'!D35</f>
        <v>2</v>
      </c>
      <c r="D183" s="82" t="s">
        <v>576</v>
      </c>
      <c r="E183" s="83">
        <f t="shared" si="47"/>
        <v>238578.78030000001</v>
      </c>
      <c r="F183" s="83">
        <f t="shared" si="47"/>
        <v>477157</v>
      </c>
      <c r="G183" s="83">
        <f t="shared" ref="G183:G187" si="49">G172</f>
        <v>238578.78030000001</v>
      </c>
      <c r="H183" s="83">
        <f t="shared" si="48"/>
        <v>477157</v>
      </c>
      <c r="I183" s="83"/>
      <c r="J183" s="82"/>
      <c r="K183" s="82"/>
      <c r="L183" s="82"/>
      <c r="M183" s="82"/>
    </row>
    <row r="184" spans="1:13" s="10" customFormat="1" ht="19.5" customHeight="1">
      <c r="A184" s="80" t="s">
        <v>578</v>
      </c>
      <c r="B184" s="80"/>
      <c r="C184" s="81">
        <f>'1-2.수량산출'!E35</f>
        <v>2</v>
      </c>
      <c r="D184" s="82" t="s">
        <v>576</v>
      </c>
      <c r="E184" s="83">
        <f t="shared" si="47"/>
        <v>199505.89618100002</v>
      </c>
      <c r="F184" s="83">
        <f t="shared" si="47"/>
        <v>399011</v>
      </c>
      <c r="G184" s="83">
        <f t="shared" si="49"/>
        <v>199505.89618100002</v>
      </c>
      <c r="H184" s="83">
        <f t="shared" si="48"/>
        <v>399011</v>
      </c>
      <c r="I184" s="83"/>
      <c r="J184" s="82"/>
      <c r="K184" s="82"/>
      <c r="L184" s="82"/>
      <c r="M184" s="82"/>
    </row>
    <row r="185" spans="1:13" s="10" customFormat="1" ht="19.5" customHeight="1">
      <c r="A185" s="80" t="s">
        <v>579</v>
      </c>
      <c r="B185" s="80"/>
      <c r="C185" s="81">
        <f>'1-2.수량산출'!F35</f>
        <v>4</v>
      </c>
      <c r="D185" s="82" t="s">
        <v>576</v>
      </c>
      <c r="E185" s="83">
        <f t="shared" si="47"/>
        <v>173018.78261300002</v>
      </c>
      <c r="F185" s="83">
        <f t="shared" si="47"/>
        <v>692075</v>
      </c>
      <c r="G185" s="83">
        <f t="shared" si="49"/>
        <v>173018.78261300002</v>
      </c>
      <c r="H185" s="83">
        <f t="shared" si="48"/>
        <v>692075</v>
      </c>
      <c r="I185" s="83"/>
      <c r="J185" s="82"/>
      <c r="K185" s="82"/>
      <c r="L185" s="82"/>
      <c r="M185" s="82"/>
    </row>
    <row r="186" spans="1:13" s="10" customFormat="1" ht="19.5" customHeight="1">
      <c r="A186" s="80" t="s">
        <v>580</v>
      </c>
      <c r="B186" s="80"/>
      <c r="C186" s="81">
        <f>'1-2.수량산출'!G35</f>
        <v>4</v>
      </c>
      <c r="D186" s="82" t="s">
        <v>576</v>
      </c>
      <c r="E186" s="83">
        <f t="shared" si="47"/>
        <v>134480.52881399999</v>
      </c>
      <c r="F186" s="83">
        <f t="shared" si="47"/>
        <v>537922</v>
      </c>
      <c r="G186" s="83">
        <f t="shared" si="49"/>
        <v>134480.52881399999</v>
      </c>
      <c r="H186" s="83">
        <f t="shared" si="48"/>
        <v>537922</v>
      </c>
      <c r="I186" s="83"/>
      <c r="J186" s="82"/>
      <c r="K186" s="82"/>
      <c r="L186" s="82"/>
      <c r="M186" s="82"/>
    </row>
    <row r="187" spans="1:13" s="10" customFormat="1" ht="19.5" customHeight="1">
      <c r="A187" s="80" t="s">
        <v>581</v>
      </c>
      <c r="B187" s="80"/>
      <c r="C187" s="81">
        <f>'1-2.수량산출'!H35</f>
        <v>4</v>
      </c>
      <c r="D187" s="82" t="s">
        <v>576</v>
      </c>
      <c r="E187" s="83">
        <f t="shared" si="47"/>
        <v>135345.48429600001</v>
      </c>
      <c r="F187" s="83">
        <f t="shared" si="47"/>
        <v>541381</v>
      </c>
      <c r="G187" s="83">
        <f t="shared" si="49"/>
        <v>135345.48429600001</v>
      </c>
      <c r="H187" s="83">
        <f t="shared" si="48"/>
        <v>541381</v>
      </c>
      <c r="I187" s="83"/>
      <c r="J187" s="82"/>
      <c r="K187" s="82"/>
      <c r="L187" s="82"/>
      <c r="M187" s="82"/>
    </row>
    <row r="188" spans="1:13" s="93" customFormat="1" ht="19.5" customHeight="1">
      <c r="A188" s="84" t="s">
        <v>582</v>
      </c>
      <c r="B188" s="85"/>
      <c r="C188" s="92"/>
      <c r="D188" s="85"/>
      <c r="E188" s="85"/>
      <c r="F188" s="83">
        <f>H188+J188+M188</f>
        <v>3298200</v>
      </c>
      <c r="G188" s="21"/>
      <c r="H188" s="86">
        <f>SUM(H182:H187)</f>
        <v>3298200</v>
      </c>
      <c r="I188" s="85"/>
      <c r="J188" s="85"/>
      <c r="K188" s="85"/>
      <c r="L188" s="85"/>
      <c r="M188" s="85"/>
    </row>
    <row r="189" spans="1:13" s="10" customFormat="1" ht="19.5" customHeight="1">
      <c r="A189" s="87" t="s">
        <v>583</v>
      </c>
      <c r="B189" s="240">
        <f>'1-2.수량산출'!D13</f>
        <v>0.28296000000000004</v>
      </c>
      <c r="C189" s="81"/>
      <c r="D189" s="80"/>
      <c r="E189" s="80"/>
      <c r="F189" s="80"/>
      <c r="G189" s="88"/>
      <c r="H189" s="83"/>
      <c r="I189" s="80"/>
      <c r="J189" s="80"/>
      <c r="K189" s="80"/>
      <c r="L189" s="80"/>
      <c r="M189" s="80"/>
    </row>
    <row r="190" spans="1:13" s="10" customFormat="1" ht="19.5" customHeight="1">
      <c r="A190" s="141" t="s">
        <v>584</v>
      </c>
      <c r="B190" s="19"/>
      <c r="C190" s="77"/>
      <c r="D190" s="141"/>
      <c r="E190" s="19"/>
      <c r="F190" s="89">
        <f>H190+J190+M190</f>
        <v>933258</v>
      </c>
      <c r="G190" s="90"/>
      <c r="H190" s="89">
        <f>ROUNDDOWN(H188*B189,0)</f>
        <v>933258</v>
      </c>
      <c r="I190" s="80"/>
      <c r="J190" s="80"/>
      <c r="K190" s="80"/>
      <c r="L190" s="80"/>
      <c r="M190" s="80"/>
    </row>
    <row r="191" spans="1:13" s="10" customFormat="1" ht="19.5" customHeight="1">
      <c r="A191" s="80"/>
      <c r="B191" s="80"/>
      <c r="C191" s="81"/>
      <c r="D191" s="80"/>
      <c r="E191" s="80"/>
      <c r="F191" s="80"/>
      <c r="G191" s="88"/>
      <c r="H191" s="83"/>
      <c r="I191" s="80"/>
      <c r="J191" s="80"/>
      <c r="K191" s="80"/>
      <c r="L191" s="80"/>
      <c r="M191" s="80"/>
    </row>
    <row r="192" spans="1:13" s="11" customFormat="1" ht="19.5" customHeight="1">
      <c r="A192" s="19" t="s">
        <v>601</v>
      </c>
      <c r="B192" s="19"/>
      <c r="C192" s="77"/>
      <c r="D192" s="141"/>
      <c r="E192" s="141"/>
      <c r="F192" s="141"/>
      <c r="G192" s="78"/>
      <c r="H192" s="79"/>
      <c r="I192" s="141"/>
      <c r="J192" s="141"/>
      <c r="K192" s="141"/>
      <c r="L192" s="141"/>
      <c r="M192" s="141"/>
    </row>
    <row r="193" spans="1:13" s="10" customFormat="1" ht="19.5" customHeight="1">
      <c r="A193" s="80" t="s">
        <v>602</v>
      </c>
      <c r="B193" s="80"/>
      <c r="C193" s="110">
        <v>1</v>
      </c>
      <c r="D193" s="82" t="s">
        <v>603</v>
      </c>
      <c r="E193" s="83"/>
      <c r="F193" s="83">
        <f>H193+J193+L193</f>
        <v>1638522.5936750001</v>
      </c>
      <c r="G193" s="83"/>
      <c r="H193" s="83"/>
      <c r="I193" s="83"/>
      <c r="J193" s="82"/>
      <c r="K193" s="20">
        <f>'1-2.수량산출'!H39</f>
        <v>1638522.5936750001</v>
      </c>
      <c r="L193" s="20">
        <f>K193</f>
        <v>1638522.5936750001</v>
      </c>
      <c r="M193" s="82"/>
    </row>
    <row r="194" spans="1:13" s="10" customFormat="1" ht="19.5" customHeight="1">
      <c r="A194" s="80" t="s">
        <v>604</v>
      </c>
      <c r="B194" s="80"/>
      <c r="C194" s="110">
        <v>1</v>
      </c>
      <c r="D194" s="82" t="s">
        <v>603</v>
      </c>
      <c r="E194" s="83"/>
      <c r="F194" s="83">
        <f>H194+J194+L194</f>
        <v>486513.59120000002</v>
      </c>
      <c r="G194" s="83"/>
      <c r="H194" s="83"/>
      <c r="I194" s="83"/>
      <c r="J194" s="82"/>
      <c r="K194" s="20">
        <f>'1-2.수량산출'!H43</f>
        <v>486513.59120000002</v>
      </c>
      <c r="L194" s="20">
        <f>K194</f>
        <v>486513.59120000002</v>
      </c>
      <c r="M194" s="82"/>
    </row>
    <row r="195" spans="1:13" s="11" customFormat="1" ht="19.5" customHeight="1">
      <c r="A195" s="141" t="s">
        <v>584</v>
      </c>
      <c r="B195" s="19"/>
      <c r="C195" s="111"/>
      <c r="D195" s="141"/>
      <c r="E195" s="19"/>
      <c r="F195" s="89">
        <f>SUM(F193:F194)</f>
        <v>2125036.1848750003</v>
      </c>
      <c r="G195" s="90"/>
      <c r="H195" s="89"/>
      <c r="I195" s="89"/>
      <c r="J195" s="141"/>
      <c r="K195" s="78"/>
      <c r="L195" s="78">
        <f>SUM(L193:L194)</f>
        <v>2125036.1848750003</v>
      </c>
      <c r="M195" s="141"/>
    </row>
    <row r="196" spans="1:13" s="10" customFormat="1" ht="19.5" customHeight="1">
      <c r="A196" s="80"/>
      <c r="B196" s="80"/>
      <c r="C196" s="110"/>
      <c r="D196" s="80"/>
      <c r="E196" s="80"/>
      <c r="F196" s="94"/>
      <c r="G196" s="88"/>
      <c r="H196" s="83"/>
      <c r="I196" s="80"/>
      <c r="J196" s="80"/>
      <c r="K196" s="88"/>
      <c r="L196" s="88"/>
      <c r="M196" s="80"/>
    </row>
    <row r="197" spans="1:13" s="11" customFormat="1" ht="19.5" customHeight="1">
      <c r="A197" s="19" t="s">
        <v>605</v>
      </c>
      <c r="B197" s="19"/>
      <c r="C197" s="111"/>
      <c r="D197" s="141"/>
      <c r="E197" s="141"/>
      <c r="F197" s="141"/>
      <c r="G197" s="78"/>
      <c r="H197" s="79"/>
      <c r="I197" s="141"/>
      <c r="J197" s="141"/>
      <c r="K197" s="141"/>
      <c r="L197" s="141"/>
      <c r="M197" s="141"/>
    </row>
    <row r="198" spans="1:13" s="10" customFormat="1" ht="19.5" customHeight="1">
      <c r="A198" s="80" t="s">
        <v>606</v>
      </c>
      <c r="B198" s="80"/>
      <c r="C198" s="110">
        <v>1</v>
      </c>
      <c r="D198" s="82" t="s">
        <v>603</v>
      </c>
      <c r="E198" s="83"/>
      <c r="F198" s="83">
        <f>H198+J198+L198</f>
        <v>2550950.3840000005</v>
      </c>
      <c r="G198" s="88"/>
      <c r="H198" s="83"/>
      <c r="I198" s="80"/>
      <c r="J198" s="80"/>
      <c r="K198" s="88"/>
      <c r="L198" s="88">
        <f>'1-2.수량산출'!H55</f>
        <v>2550950.3840000005</v>
      </c>
      <c r="M198" s="88"/>
    </row>
    <row r="199" spans="1:13" s="11" customFormat="1" ht="19.5" customHeight="1">
      <c r="A199" s="141" t="s">
        <v>584</v>
      </c>
      <c r="B199" s="19"/>
      <c r="C199" s="77"/>
      <c r="D199" s="141"/>
      <c r="E199" s="19"/>
      <c r="F199" s="89">
        <f>F198</f>
        <v>2550950.3840000005</v>
      </c>
      <c r="G199" s="90"/>
      <c r="H199" s="89"/>
      <c r="I199" s="89"/>
      <c r="J199" s="141"/>
      <c r="K199" s="141"/>
      <c r="L199" s="78">
        <f>F199</f>
        <v>2550950.3840000005</v>
      </c>
      <c r="M199" s="141"/>
    </row>
    <row r="200" spans="1:13" ht="19.5" customHeight="1">
      <c r="A200" s="576"/>
      <c r="B200" s="576"/>
      <c r="C200" s="577"/>
      <c r="D200" s="576"/>
      <c r="E200" s="576"/>
      <c r="F200" s="576"/>
      <c r="G200" s="578"/>
      <c r="H200" s="579"/>
      <c r="I200" s="576"/>
      <c r="J200" s="576"/>
      <c r="K200" s="576"/>
      <c r="L200" s="576"/>
      <c r="M200" s="576"/>
    </row>
    <row r="201" spans="1:13" ht="19.5" customHeight="1">
      <c r="A201" s="19" t="s">
        <v>550</v>
      </c>
      <c r="B201" s="580"/>
      <c r="C201" s="581"/>
      <c r="D201" s="580"/>
      <c r="E201" s="580"/>
      <c r="F201" s="580"/>
      <c r="G201" s="582"/>
      <c r="H201" s="583"/>
      <c r="I201" s="580"/>
      <c r="J201" s="580"/>
      <c r="K201" s="580"/>
      <c r="L201" s="580"/>
      <c r="M201" s="580"/>
    </row>
    <row r="202" spans="1:13" ht="19.5" customHeight="1">
      <c r="A202" s="80" t="s">
        <v>92</v>
      </c>
      <c r="B202" s="80"/>
      <c r="C202" s="81">
        <f>'1-2.수량산출'!C32</f>
        <v>4.5</v>
      </c>
      <c r="D202" s="82" t="s">
        <v>461</v>
      </c>
      <c r="E202" s="94">
        <f>E182</f>
        <v>325327.32320500002</v>
      </c>
      <c r="F202" s="83">
        <f t="shared" ref="F202:F207" si="50">H202+J202+L202</f>
        <v>1463972</v>
      </c>
      <c r="G202" s="88">
        <f t="shared" ref="G202:G207" si="51">G182</f>
        <v>325327.32320500002</v>
      </c>
      <c r="H202" s="83">
        <f t="shared" ref="H202:H207" si="52">ROUNDDOWN(C202*G202,0)</f>
        <v>1463972</v>
      </c>
      <c r="I202" s="80"/>
      <c r="J202" s="80"/>
      <c r="K202" s="80"/>
      <c r="L202" s="80"/>
      <c r="M202" s="80"/>
    </row>
    <row r="203" spans="1:13" ht="19.5" customHeight="1">
      <c r="A203" s="80" t="s">
        <v>93</v>
      </c>
      <c r="B203" s="80"/>
      <c r="C203" s="81">
        <f>'1-2.수량산출'!D32</f>
        <v>7.9</v>
      </c>
      <c r="D203" s="82" t="s">
        <v>461</v>
      </c>
      <c r="E203" s="94">
        <v>247598</v>
      </c>
      <c r="F203" s="83">
        <f t="shared" si="50"/>
        <v>1884772</v>
      </c>
      <c r="G203" s="88">
        <f t="shared" si="51"/>
        <v>238578.78030000001</v>
      </c>
      <c r="H203" s="83">
        <f t="shared" si="52"/>
        <v>1884772</v>
      </c>
      <c r="I203" s="80"/>
      <c r="J203" s="80"/>
      <c r="K203" s="80"/>
      <c r="L203" s="80"/>
      <c r="M203" s="80"/>
    </row>
    <row r="204" spans="1:13" ht="19.5" customHeight="1">
      <c r="A204" s="80" t="s">
        <v>94</v>
      </c>
      <c r="B204" s="80"/>
      <c r="C204" s="81">
        <f>'1-2.수량산출'!E32</f>
        <v>13.6</v>
      </c>
      <c r="D204" s="82" t="s">
        <v>461</v>
      </c>
      <c r="E204" s="94">
        <v>205518</v>
      </c>
      <c r="F204" s="83">
        <f t="shared" si="50"/>
        <v>2713280</v>
      </c>
      <c r="G204" s="88">
        <f t="shared" si="51"/>
        <v>199505.89618100002</v>
      </c>
      <c r="H204" s="83">
        <f t="shared" si="52"/>
        <v>2713280</v>
      </c>
      <c r="I204" s="80"/>
      <c r="J204" s="80"/>
      <c r="K204" s="80"/>
      <c r="L204" s="80"/>
      <c r="M204" s="80"/>
    </row>
    <row r="205" spans="1:13" ht="19.5" customHeight="1">
      <c r="A205" s="80" t="s">
        <v>95</v>
      </c>
      <c r="B205" s="80"/>
      <c r="C205" s="81">
        <f>'1-2.수량산출'!F32</f>
        <v>14.8</v>
      </c>
      <c r="D205" s="82" t="s">
        <v>461</v>
      </c>
      <c r="E205" s="94">
        <v>187789</v>
      </c>
      <c r="F205" s="83">
        <f t="shared" si="50"/>
        <v>2560677</v>
      </c>
      <c r="G205" s="88">
        <f t="shared" si="51"/>
        <v>173018.78261300002</v>
      </c>
      <c r="H205" s="83">
        <f t="shared" si="52"/>
        <v>2560677</v>
      </c>
      <c r="I205" s="80"/>
      <c r="J205" s="80"/>
      <c r="K205" s="80"/>
      <c r="L205" s="80"/>
      <c r="M205" s="80"/>
    </row>
    <row r="206" spans="1:13" ht="19.5" customHeight="1">
      <c r="A206" s="80" t="s">
        <v>96</v>
      </c>
      <c r="B206" s="80"/>
      <c r="C206" s="81">
        <f>'1-2.수량산출'!G32</f>
        <v>17.399999999999999</v>
      </c>
      <c r="D206" s="82" t="s">
        <v>461</v>
      </c>
      <c r="E206" s="94">
        <v>140332</v>
      </c>
      <c r="F206" s="83">
        <f t="shared" si="50"/>
        <v>2339961</v>
      </c>
      <c r="G206" s="88">
        <f t="shared" si="51"/>
        <v>134480.52881399999</v>
      </c>
      <c r="H206" s="83">
        <f t="shared" si="52"/>
        <v>2339961</v>
      </c>
      <c r="I206" s="80"/>
      <c r="J206" s="80"/>
      <c r="K206" s="80"/>
      <c r="L206" s="80"/>
      <c r="M206" s="80"/>
    </row>
    <row r="207" spans="1:13" ht="19.5" customHeight="1">
      <c r="A207" s="80" t="s">
        <v>551</v>
      </c>
      <c r="B207" s="80"/>
      <c r="C207" s="81">
        <f>'1-2.수량산출'!H32</f>
        <v>17.399999999999999</v>
      </c>
      <c r="D207" s="82" t="s">
        <v>461</v>
      </c>
      <c r="E207" s="94">
        <v>147647</v>
      </c>
      <c r="F207" s="83">
        <f t="shared" si="50"/>
        <v>2355011</v>
      </c>
      <c r="G207" s="88">
        <f t="shared" si="51"/>
        <v>135345.48429600001</v>
      </c>
      <c r="H207" s="83">
        <f t="shared" si="52"/>
        <v>2355011</v>
      </c>
      <c r="I207" s="80"/>
      <c r="J207" s="80"/>
      <c r="K207" s="80"/>
      <c r="L207" s="80"/>
      <c r="M207" s="80"/>
    </row>
    <row r="208" spans="1:13" ht="19.5" customHeight="1">
      <c r="A208" s="84" t="s">
        <v>552</v>
      </c>
      <c r="B208" s="80"/>
      <c r="C208" s="81"/>
      <c r="D208" s="82"/>
      <c r="E208" s="83"/>
      <c r="F208" s="83">
        <f>SUM(F202:F207)</f>
        <v>13317673</v>
      </c>
      <c r="G208" s="83"/>
      <c r="H208" s="83">
        <f>SUM(H202:H207)</f>
        <v>13317673</v>
      </c>
      <c r="I208" s="80"/>
      <c r="J208" s="80"/>
      <c r="K208" s="80"/>
      <c r="L208" s="80"/>
      <c r="M208" s="80"/>
    </row>
    <row r="209" spans="1:13" ht="19.5" customHeight="1">
      <c r="A209" s="87" t="s">
        <v>553</v>
      </c>
      <c r="B209" s="240">
        <f>'1-2.수량산출'!D13</f>
        <v>0.28296000000000004</v>
      </c>
      <c r="C209" s="81"/>
      <c r="D209" s="80"/>
      <c r="E209" s="80"/>
      <c r="F209" s="80"/>
      <c r="G209" s="88"/>
      <c r="H209" s="83"/>
      <c r="I209" s="80"/>
      <c r="J209" s="80"/>
      <c r="K209" s="80"/>
      <c r="L209" s="80"/>
      <c r="M209" s="80"/>
    </row>
    <row r="210" spans="1:13" ht="19.5" customHeight="1">
      <c r="A210" s="141" t="s">
        <v>3</v>
      </c>
      <c r="B210" s="80"/>
      <c r="C210" s="81"/>
      <c r="D210" s="80"/>
      <c r="E210" s="80"/>
      <c r="F210" s="83">
        <f>H210+J210+L210</f>
        <v>3768368</v>
      </c>
      <c r="G210" s="88"/>
      <c r="H210" s="83">
        <f>ROUNDDOWN(H208*B209,0)</f>
        <v>3768368</v>
      </c>
      <c r="I210" s="80"/>
      <c r="J210" s="80"/>
      <c r="K210" s="80"/>
      <c r="L210" s="80"/>
      <c r="M210" s="80"/>
    </row>
    <row r="211" spans="1:13" ht="19.5" customHeight="1">
      <c r="A211" s="141"/>
      <c r="B211" s="80"/>
      <c r="C211" s="81"/>
      <c r="D211" s="80"/>
      <c r="E211" s="80"/>
      <c r="F211" s="80"/>
      <c r="G211" s="88"/>
      <c r="H211" s="83"/>
      <c r="I211" s="80"/>
      <c r="J211" s="80"/>
      <c r="K211" s="80"/>
      <c r="L211" s="80"/>
      <c r="M211" s="80"/>
    </row>
    <row r="212" spans="1:13" ht="19.5" customHeight="1">
      <c r="A212" s="19" t="s">
        <v>607</v>
      </c>
      <c r="B212" s="80"/>
      <c r="C212" s="81"/>
      <c r="D212" s="80"/>
      <c r="E212" s="83"/>
      <c r="F212" s="83"/>
      <c r="G212" s="584"/>
      <c r="H212" s="83"/>
      <c r="I212" s="83"/>
      <c r="J212" s="83"/>
      <c r="K212" s="83"/>
      <c r="L212" s="83"/>
      <c r="M212" s="83"/>
    </row>
    <row r="213" spans="1:13" ht="19.5" customHeight="1">
      <c r="A213" s="80" t="s">
        <v>554</v>
      </c>
      <c r="B213" s="80"/>
      <c r="C213" s="110">
        <v>1</v>
      </c>
      <c r="D213" s="82" t="s">
        <v>167</v>
      </c>
      <c r="E213" s="83"/>
      <c r="F213" s="83">
        <f>H213+J213+L213</f>
        <v>24928176.384130433</v>
      </c>
      <c r="G213" s="584"/>
      <c r="H213" s="83"/>
      <c r="I213" s="83"/>
      <c r="J213" s="83"/>
      <c r="K213" s="83">
        <f>(('1-2.수량산출'!D4*10000-1000000)/(3300000-1000000)*(40000000-30000000)+30000000)*용역비총괄표!O9</f>
        <v>24928176.384130433</v>
      </c>
      <c r="L213" s="83">
        <f>C213*K213</f>
        <v>24928176.384130433</v>
      </c>
      <c r="M213" s="83"/>
    </row>
    <row r="214" spans="1:13" s="586" customFormat="1" ht="19.5" customHeight="1">
      <c r="A214" s="141" t="s">
        <v>3</v>
      </c>
      <c r="B214" s="19"/>
      <c r="C214" s="77"/>
      <c r="D214" s="19"/>
      <c r="E214" s="89"/>
      <c r="F214" s="89">
        <f>L214</f>
        <v>24928176.384130433</v>
      </c>
      <c r="G214" s="585"/>
      <c r="H214" s="89"/>
      <c r="I214" s="89"/>
      <c r="J214" s="89"/>
      <c r="K214" s="89"/>
      <c r="L214" s="89">
        <f>L213</f>
        <v>24928176.384130433</v>
      </c>
      <c r="M214" s="89"/>
    </row>
    <row r="215" spans="1:13" ht="25.15" customHeight="1">
      <c r="A215" s="19" t="s">
        <v>1252</v>
      </c>
      <c r="B215" s="580"/>
      <c r="C215" s="581"/>
      <c r="D215" s="580"/>
      <c r="E215" s="580"/>
      <c r="F215" s="580"/>
      <c r="G215" s="582"/>
      <c r="H215" s="583"/>
      <c r="I215" s="580"/>
      <c r="J215" s="580"/>
      <c r="K215" s="580"/>
      <c r="L215" s="580"/>
      <c r="M215" s="580"/>
    </row>
    <row r="216" spans="1:13" ht="25.15" customHeight="1">
      <c r="A216" s="80" t="s">
        <v>92</v>
      </c>
      <c r="B216" s="80"/>
      <c r="C216" s="81">
        <f>'1-2.수량산출'!C31</f>
        <v>0.6</v>
      </c>
      <c r="D216" s="82" t="s">
        <v>461</v>
      </c>
      <c r="E216" s="94">
        <f t="shared" ref="E216:E221" si="53">E202</f>
        <v>325327.32320500002</v>
      </c>
      <c r="F216" s="83">
        <f t="shared" ref="F216:F221" si="54">H216+J216+L216</f>
        <v>195196</v>
      </c>
      <c r="G216" s="88">
        <f t="shared" ref="G216:G221" si="55">G202</f>
        <v>325327.32320500002</v>
      </c>
      <c r="H216" s="83">
        <f t="shared" ref="H216:H221" si="56">ROUNDDOWN(C216*G216,0)</f>
        <v>195196</v>
      </c>
      <c r="I216" s="80"/>
      <c r="J216" s="80"/>
      <c r="K216" s="80"/>
      <c r="L216" s="80"/>
      <c r="M216" s="80"/>
    </row>
    <row r="217" spans="1:13" ht="25.15" customHeight="1">
      <c r="A217" s="80" t="s">
        <v>93</v>
      </c>
      <c r="B217" s="80"/>
      <c r="C217" s="81">
        <f>'1-2.수량산출'!D31</f>
        <v>1</v>
      </c>
      <c r="D217" s="82" t="s">
        <v>461</v>
      </c>
      <c r="E217" s="94">
        <f t="shared" si="53"/>
        <v>247598</v>
      </c>
      <c r="F217" s="83">
        <f t="shared" si="54"/>
        <v>238578</v>
      </c>
      <c r="G217" s="88">
        <f t="shared" si="55"/>
        <v>238578.78030000001</v>
      </c>
      <c r="H217" s="83">
        <f t="shared" si="56"/>
        <v>238578</v>
      </c>
      <c r="I217" s="80"/>
      <c r="J217" s="80"/>
      <c r="K217" s="80"/>
      <c r="L217" s="80"/>
      <c r="M217" s="80"/>
    </row>
    <row r="218" spans="1:13" ht="25.15" customHeight="1">
      <c r="A218" s="80" t="s">
        <v>94</v>
      </c>
      <c r="B218" s="80"/>
      <c r="C218" s="81">
        <f>'1-2.수량산출'!E31</f>
        <v>2.9</v>
      </c>
      <c r="D218" s="82" t="s">
        <v>461</v>
      </c>
      <c r="E218" s="94">
        <f t="shared" si="53"/>
        <v>205518</v>
      </c>
      <c r="F218" s="83">
        <f t="shared" si="54"/>
        <v>578567</v>
      </c>
      <c r="G218" s="88">
        <f t="shared" si="55"/>
        <v>199505.89618100002</v>
      </c>
      <c r="H218" s="83">
        <f t="shared" si="56"/>
        <v>578567</v>
      </c>
      <c r="I218" s="80"/>
      <c r="J218" s="80"/>
      <c r="K218" s="80"/>
      <c r="L218" s="80"/>
      <c r="M218" s="80"/>
    </row>
    <row r="219" spans="1:13" ht="25.15" customHeight="1">
      <c r="A219" s="80" t="s">
        <v>95</v>
      </c>
      <c r="B219" s="80"/>
      <c r="C219" s="81">
        <f>'1-2.수량산출'!F31</f>
        <v>3</v>
      </c>
      <c r="D219" s="82" t="s">
        <v>461</v>
      </c>
      <c r="E219" s="94">
        <f t="shared" si="53"/>
        <v>187789</v>
      </c>
      <c r="F219" s="83">
        <f t="shared" si="54"/>
        <v>519056</v>
      </c>
      <c r="G219" s="88">
        <f t="shared" si="55"/>
        <v>173018.78261300002</v>
      </c>
      <c r="H219" s="83">
        <f t="shared" si="56"/>
        <v>519056</v>
      </c>
      <c r="I219" s="80"/>
      <c r="J219" s="80"/>
      <c r="K219" s="80"/>
      <c r="L219" s="80"/>
      <c r="M219" s="80"/>
    </row>
    <row r="220" spans="1:13" ht="25.15" customHeight="1">
      <c r="A220" s="80" t="s">
        <v>96</v>
      </c>
      <c r="B220" s="80"/>
      <c r="C220" s="81">
        <f>'1-2.수량산출'!G31</f>
        <v>6.5</v>
      </c>
      <c r="D220" s="82" t="s">
        <v>461</v>
      </c>
      <c r="E220" s="94">
        <f t="shared" si="53"/>
        <v>140332</v>
      </c>
      <c r="F220" s="83">
        <f t="shared" si="54"/>
        <v>874123</v>
      </c>
      <c r="G220" s="88">
        <f t="shared" si="55"/>
        <v>134480.52881399999</v>
      </c>
      <c r="H220" s="83">
        <f t="shared" si="56"/>
        <v>874123</v>
      </c>
      <c r="I220" s="80"/>
      <c r="J220" s="80"/>
      <c r="K220" s="80"/>
      <c r="L220" s="80"/>
      <c r="M220" s="80"/>
    </row>
    <row r="221" spans="1:13" ht="25.15" customHeight="1">
      <c r="A221" s="80" t="s">
        <v>551</v>
      </c>
      <c r="B221" s="80"/>
      <c r="C221" s="81">
        <f>'1-2.수량산출'!H31</f>
        <v>7.8</v>
      </c>
      <c r="D221" s="82" t="s">
        <v>461</v>
      </c>
      <c r="E221" s="94">
        <f t="shared" si="53"/>
        <v>147647</v>
      </c>
      <c r="F221" s="83">
        <f t="shared" si="54"/>
        <v>1055694</v>
      </c>
      <c r="G221" s="88">
        <f t="shared" si="55"/>
        <v>135345.48429600001</v>
      </c>
      <c r="H221" s="83">
        <f t="shared" si="56"/>
        <v>1055694</v>
      </c>
      <c r="I221" s="80"/>
      <c r="J221" s="80"/>
      <c r="K221" s="80"/>
      <c r="L221" s="80"/>
      <c r="M221" s="80"/>
    </row>
    <row r="222" spans="1:13" ht="25.15" customHeight="1">
      <c r="A222" s="84" t="s">
        <v>552</v>
      </c>
      <c r="B222" s="80"/>
      <c r="C222" s="81"/>
      <c r="D222" s="82"/>
      <c r="E222" s="83"/>
      <c r="F222" s="83">
        <f>SUM(F216:F221)</f>
        <v>3461214</v>
      </c>
      <c r="G222" s="83"/>
      <c r="H222" s="83">
        <f>SUM(H216:H221)</f>
        <v>3461214</v>
      </c>
      <c r="I222" s="80"/>
      <c r="J222" s="80"/>
      <c r="K222" s="80"/>
      <c r="L222" s="80"/>
      <c r="M222" s="80"/>
    </row>
    <row r="223" spans="1:13" ht="25.15" customHeight="1">
      <c r="A223" s="87" t="s">
        <v>553</v>
      </c>
      <c r="B223" s="240">
        <f>'1-2.수량산출'!D13</f>
        <v>0.28296000000000004</v>
      </c>
      <c r="C223" s="81"/>
      <c r="D223" s="80"/>
      <c r="E223" s="80"/>
      <c r="F223" s="80"/>
      <c r="G223" s="88"/>
      <c r="H223" s="83"/>
      <c r="I223" s="80"/>
      <c r="J223" s="80"/>
      <c r="K223" s="80"/>
      <c r="L223" s="80"/>
      <c r="M223" s="80"/>
    </row>
    <row r="224" spans="1:13" ht="25.15" customHeight="1">
      <c r="A224" s="141" t="s">
        <v>3</v>
      </c>
      <c r="B224" s="80"/>
      <c r="C224" s="81"/>
      <c r="D224" s="80"/>
      <c r="E224" s="80"/>
      <c r="F224" s="89">
        <f>H224+J224+L224</f>
        <v>979385</v>
      </c>
      <c r="G224" s="88"/>
      <c r="H224" s="83">
        <f>ROUNDDOWN(H222*B223,0)</f>
        <v>979385</v>
      </c>
      <c r="I224" s="80"/>
      <c r="J224" s="80"/>
      <c r="K224" s="80"/>
      <c r="L224" s="80"/>
      <c r="M224" s="80"/>
    </row>
  </sheetData>
  <mergeCells count="10">
    <mergeCell ref="A1:M1"/>
    <mergeCell ref="A3:A4"/>
    <mergeCell ref="B3:B4"/>
    <mergeCell ref="C3:C4"/>
    <mergeCell ref="D3:D4"/>
    <mergeCell ref="E3:F3"/>
    <mergeCell ref="G3:H3"/>
    <mergeCell ref="I3:J3"/>
    <mergeCell ref="K3:L3"/>
    <mergeCell ref="M3:M4"/>
  </mergeCells>
  <phoneticPr fontId="2" type="noConversion"/>
  <printOptions horizontalCentered="1"/>
  <pageMargins left="0.70866141732283472" right="0.70866141732283472" top="0.74803149606299213" bottom="0.74803149606299213" header="0.31496062992125984" footer="0.31496062992125984"/>
  <pageSetup paperSize="9" scale="65" orientation="landscape" r:id="rId1"/>
  <rowBreaks count="3" manualBreakCount="3">
    <brk id="26" max="16383" man="1"/>
    <brk id="59" max="16383" man="1"/>
    <brk id="191" max="12"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3"/>
  <sheetViews>
    <sheetView view="pageBreakPreview" zoomScale="85" zoomScaleNormal="85" zoomScaleSheetLayoutView="85" workbookViewId="0">
      <selection activeCell="I8" sqref="I8:K8"/>
    </sheetView>
  </sheetViews>
  <sheetFormatPr defaultRowHeight="22.15" customHeight="1"/>
  <cols>
    <col min="1" max="1" width="6.5" style="22" customWidth="1"/>
    <col min="2" max="2" width="27.875" style="22" customWidth="1"/>
    <col min="3" max="3" width="7.625" style="23" customWidth="1"/>
    <col min="4" max="4" width="7.625" style="22" customWidth="1"/>
    <col min="5" max="5" width="9" style="22" customWidth="1"/>
    <col min="6" max="8" width="7.625" style="22" customWidth="1"/>
    <col min="9" max="9" width="11.875" style="22" customWidth="1"/>
    <col min="10" max="10" width="6.75" style="22" bestFit="1" customWidth="1"/>
    <col min="11" max="11" width="2" style="22" customWidth="1"/>
    <col min="12" max="12" width="13.375" style="22" customWidth="1"/>
    <col min="13" max="13" width="16.5" style="22" customWidth="1"/>
    <col min="14" max="19" width="9" style="22" customWidth="1"/>
    <col min="20" max="21" width="9" style="22"/>
    <col min="22" max="22" width="9" style="10" customWidth="1"/>
    <col min="23" max="23" width="20.625" style="10" customWidth="1"/>
    <col min="24" max="32" width="9" style="10"/>
    <col min="33" max="256" width="9" style="22"/>
    <col min="257" max="257" width="6.5" style="22" customWidth="1"/>
    <col min="258" max="258" width="27.875" style="22" customWidth="1"/>
    <col min="259" max="264" width="7.625" style="22" customWidth="1"/>
    <col min="265" max="265" width="12.875" style="22" customWidth="1"/>
    <col min="266" max="266" width="6.75" style="22" bestFit="1" customWidth="1"/>
    <col min="267" max="267" width="2" style="22" customWidth="1"/>
    <col min="268" max="268" width="6.5" style="22" customWidth="1"/>
    <col min="269" max="269" width="29.875" style="22" bestFit="1" customWidth="1"/>
    <col min="270" max="275" width="6.5" style="22" customWidth="1"/>
    <col min="276" max="512" width="9" style="22"/>
    <col min="513" max="513" width="6.5" style="22" customWidth="1"/>
    <col min="514" max="514" width="27.875" style="22" customWidth="1"/>
    <col min="515" max="520" width="7.625" style="22" customWidth="1"/>
    <col min="521" max="521" width="12.875" style="22" customWidth="1"/>
    <col min="522" max="522" width="6.75" style="22" bestFit="1" customWidth="1"/>
    <col min="523" max="523" width="2" style="22" customWidth="1"/>
    <col min="524" max="524" width="6.5" style="22" customWidth="1"/>
    <col min="525" max="525" width="29.875" style="22" bestFit="1" customWidth="1"/>
    <col min="526" max="531" width="6.5" style="22" customWidth="1"/>
    <col min="532" max="768" width="9" style="22"/>
    <col min="769" max="769" width="6.5" style="22" customWidth="1"/>
    <col min="770" max="770" width="27.875" style="22" customWidth="1"/>
    <col min="771" max="776" width="7.625" style="22" customWidth="1"/>
    <col min="777" max="777" width="12.875" style="22" customWidth="1"/>
    <col min="778" max="778" width="6.75" style="22" bestFit="1" customWidth="1"/>
    <col min="779" max="779" width="2" style="22" customWidth="1"/>
    <col min="780" max="780" width="6.5" style="22" customWidth="1"/>
    <col min="781" max="781" width="29.875" style="22" bestFit="1" customWidth="1"/>
    <col min="782" max="787" width="6.5" style="22" customWidth="1"/>
    <col min="788" max="1024" width="9" style="22"/>
    <col min="1025" max="1025" width="6.5" style="22" customWidth="1"/>
    <col min="1026" max="1026" width="27.875" style="22" customWidth="1"/>
    <col min="1027" max="1032" width="7.625" style="22" customWidth="1"/>
    <col min="1033" max="1033" width="12.875" style="22" customWidth="1"/>
    <col min="1034" max="1034" width="6.75" style="22" bestFit="1" customWidth="1"/>
    <col min="1035" max="1035" width="2" style="22" customWidth="1"/>
    <col min="1036" max="1036" width="6.5" style="22" customWidth="1"/>
    <col min="1037" max="1037" width="29.875" style="22" bestFit="1" customWidth="1"/>
    <col min="1038" max="1043" width="6.5" style="22" customWidth="1"/>
    <col min="1044" max="1280" width="9" style="22"/>
    <col min="1281" max="1281" width="6.5" style="22" customWidth="1"/>
    <col min="1282" max="1282" width="27.875" style="22" customWidth="1"/>
    <col min="1283" max="1288" width="7.625" style="22" customWidth="1"/>
    <col min="1289" max="1289" width="12.875" style="22" customWidth="1"/>
    <col min="1290" max="1290" width="6.75" style="22" bestFit="1" customWidth="1"/>
    <col min="1291" max="1291" width="2" style="22" customWidth="1"/>
    <col min="1292" max="1292" width="6.5" style="22" customWidth="1"/>
    <col min="1293" max="1293" width="29.875" style="22" bestFit="1" customWidth="1"/>
    <col min="1294" max="1299" width="6.5" style="22" customWidth="1"/>
    <col min="1300" max="1536" width="9" style="22"/>
    <col min="1537" max="1537" width="6.5" style="22" customWidth="1"/>
    <col min="1538" max="1538" width="27.875" style="22" customWidth="1"/>
    <col min="1539" max="1544" width="7.625" style="22" customWidth="1"/>
    <col min="1545" max="1545" width="12.875" style="22" customWidth="1"/>
    <col min="1546" max="1546" width="6.75" style="22" bestFit="1" customWidth="1"/>
    <col min="1547" max="1547" width="2" style="22" customWidth="1"/>
    <col min="1548" max="1548" width="6.5" style="22" customWidth="1"/>
    <col min="1549" max="1549" width="29.875" style="22" bestFit="1" customWidth="1"/>
    <col min="1550" max="1555" width="6.5" style="22" customWidth="1"/>
    <col min="1556" max="1792" width="9" style="22"/>
    <col min="1793" max="1793" width="6.5" style="22" customWidth="1"/>
    <col min="1794" max="1794" width="27.875" style="22" customWidth="1"/>
    <col min="1795" max="1800" width="7.625" style="22" customWidth="1"/>
    <col min="1801" max="1801" width="12.875" style="22" customWidth="1"/>
    <col min="1802" max="1802" width="6.75" style="22" bestFit="1" customWidth="1"/>
    <col min="1803" max="1803" width="2" style="22" customWidth="1"/>
    <col min="1804" max="1804" width="6.5" style="22" customWidth="1"/>
    <col min="1805" max="1805" width="29.875" style="22" bestFit="1" customWidth="1"/>
    <col min="1806" max="1811" width="6.5" style="22" customWidth="1"/>
    <col min="1812" max="2048" width="9" style="22"/>
    <col min="2049" max="2049" width="6.5" style="22" customWidth="1"/>
    <col min="2050" max="2050" width="27.875" style="22" customWidth="1"/>
    <col min="2051" max="2056" width="7.625" style="22" customWidth="1"/>
    <col min="2057" max="2057" width="12.875" style="22" customWidth="1"/>
    <col min="2058" max="2058" width="6.75" style="22" bestFit="1" customWidth="1"/>
    <col min="2059" max="2059" width="2" style="22" customWidth="1"/>
    <col min="2060" max="2060" width="6.5" style="22" customWidth="1"/>
    <col min="2061" max="2061" width="29.875" style="22" bestFit="1" customWidth="1"/>
    <col min="2062" max="2067" width="6.5" style="22" customWidth="1"/>
    <col min="2068" max="2304" width="9" style="22"/>
    <col min="2305" max="2305" width="6.5" style="22" customWidth="1"/>
    <col min="2306" max="2306" width="27.875" style="22" customWidth="1"/>
    <col min="2307" max="2312" width="7.625" style="22" customWidth="1"/>
    <col min="2313" max="2313" width="12.875" style="22" customWidth="1"/>
    <col min="2314" max="2314" width="6.75" style="22" bestFit="1" customWidth="1"/>
    <col min="2315" max="2315" width="2" style="22" customWidth="1"/>
    <col min="2316" max="2316" width="6.5" style="22" customWidth="1"/>
    <col min="2317" max="2317" width="29.875" style="22" bestFit="1" customWidth="1"/>
    <col min="2318" max="2323" width="6.5" style="22" customWidth="1"/>
    <col min="2324" max="2560" width="9" style="22"/>
    <col min="2561" max="2561" width="6.5" style="22" customWidth="1"/>
    <col min="2562" max="2562" width="27.875" style="22" customWidth="1"/>
    <col min="2563" max="2568" width="7.625" style="22" customWidth="1"/>
    <col min="2569" max="2569" width="12.875" style="22" customWidth="1"/>
    <col min="2570" max="2570" width="6.75" style="22" bestFit="1" customWidth="1"/>
    <col min="2571" max="2571" width="2" style="22" customWidth="1"/>
    <col min="2572" max="2572" width="6.5" style="22" customWidth="1"/>
    <col min="2573" max="2573" width="29.875" style="22" bestFit="1" customWidth="1"/>
    <col min="2574" max="2579" width="6.5" style="22" customWidth="1"/>
    <col min="2580" max="2816" width="9" style="22"/>
    <col min="2817" max="2817" width="6.5" style="22" customWidth="1"/>
    <col min="2818" max="2818" width="27.875" style="22" customWidth="1"/>
    <col min="2819" max="2824" width="7.625" style="22" customWidth="1"/>
    <col min="2825" max="2825" width="12.875" style="22" customWidth="1"/>
    <col min="2826" max="2826" width="6.75" style="22" bestFit="1" customWidth="1"/>
    <col min="2827" max="2827" width="2" style="22" customWidth="1"/>
    <col min="2828" max="2828" width="6.5" style="22" customWidth="1"/>
    <col min="2829" max="2829" width="29.875" style="22" bestFit="1" customWidth="1"/>
    <col min="2830" max="2835" width="6.5" style="22" customWidth="1"/>
    <col min="2836" max="3072" width="9" style="22"/>
    <col min="3073" max="3073" width="6.5" style="22" customWidth="1"/>
    <col min="3074" max="3074" width="27.875" style="22" customWidth="1"/>
    <col min="3075" max="3080" width="7.625" style="22" customWidth="1"/>
    <col min="3081" max="3081" width="12.875" style="22" customWidth="1"/>
    <col min="3082" max="3082" width="6.75" style="22" bestFit="1" customWidth="1"/>
    <col min="3083" max="3083" width="2" style="22" customWidth="1"/>
    <col min="3084" max="3084" width="6.5" style="22" customWidth="1"/>
    <col min="3085" max="3085" width="29.875" style="22" bestFit="1" customWidth="1"/>
    <col min="3086" max="3091" width="6.5" style="22" customWidth="1"/>
    <col min="3092" max="3328" width="9" style="22"/>
    <col min="3329" max="3329" width="6.5" style="22" customWidth="1"/>
    <col min="3330" max="3330" width="27.875" style="22" customWidth="1"/>
    <col min="3331" max="3336" width="7.625" style="22" customWidth="1"/>
    <col min="3337" max="3337" width="12.875" style="22" customWidth="1"/>
    <col min="3338" max="3338" width="6.75" style="22" bestFit="1" customWidth="1"/>
    <col min="3339" max="3339" width="2" style="22" customWidth="1"/>
    <col min="3340" max="3340" width="6.5" style="22" customWidth="1"/>
    <col min="3341" max="3341" width="29.875" style="22" bestFit="1" customWidth="1"/>
    <col min="3342" max="3347" width="6.5" style="22" customWidth="1"/>
    <col min="3348" max="3584" width="9" style="22"/>
    <col min="3585" max="3585" width="6.5" style="22" customWidth="1"/>
    <col min="3586" max="3586" width="27.875" style="22" customWidth="1"/>
    <col min="3587" max="3592" width="7.625" style="22" customWidth="1"/>
    <col min="3593" max="3593" width="12.875" style="22" customWidth="1"/>
    <col min="3594" max="3594" width="6.75" style="22" bestFit="1" customWidth="1"/>
    <col min="3595" max="3595" width="2" style="22" customWidth="1"/>
    <col min="3596" max="3596" width="6.5" style="22" customWidth="1"/>
    <col min="3597" max="3597" width="29.875" style="22" bestFit="1" customWidth="1"/>
    <col min="3598" max="3603" width="6.5" style="22" customWidth="1"/>
    <col min="3604" max="3840" width="9" style="22"/>
    <col min="3841" max="3841" width="6.5" style="22" customWidth="1"/>
    <col min="3842" max="3842" width="27.875" style="22" customWidth="1"/>
    <col min="3843" max="3848" width="7.625" style="22" customWidth="1"/>
    <col min="3849" max="3849" width="12.875" style="22" customWidth="1"/>
    <col min="3850" max="3850" width="6.75" style="22" bestFit="1" customWidth="1"/>
    <col min="3851" max="3851" width="2" style="22" customWidth="1"/>
    <col min="3852" max="3852" width="6.5" style="22" customWidth="1"/>
    <col min="3853" max="3853" width="29.875" style="22" bestFit="1" customWidth="1"/>
    <col min="3854" max="3859" width="6.5" style="22" customWidth="1"/>
    <col min="3860" max="4096" width="9" style="22"/>
    <col min="4097" max="4097" width="6.5" style="22" customWidth="1"/>
    <col min="4098" max="4098" width="27.875" style="22" customWidth="1"/>
    <col min="4099" max="4104" width="7.625" style="22" customWidth="1"/>
    <col min="4105" max="4105" width="12.875" style="22" customWidth="1"/>
    <col min="4106" max="4106" width="6.75" style="22" bestFit="1" customWidth="1"/>
    <col min="4107" max="4107" width="2" style="22" customWidth="1"/>
    <col min="4108" max="4108" width="6.5" style="22" customWidth="1"/>
    <col min="4109" max="4109" width="29.875" style="22" bestFit="1" customWidth="1"/>
    <col min="4110" max="4115" width="6.5" style="22" customWidth="1"/>
    <col min="4116" max="4352" width="9" style="22"/>
    <col min="4353" max="4353" width="6.5" style="22" customWidth="1"/>
    <col min="4354" max="4354" width="27.875" style="22" customWidth="1"/>
    <col min="4355" max="4360" width="7.625" style="22" customWidth="1"/>
    <col min="4361" max="4361" width="12.875" style="22" customWidth="1"/>
    <col min="4362" max="4362" width="6.75" style="22" bestFit="1" customWidth="1"/>
    <col min="4363" max="4363" width="2" style="22" customWidth="1"/>
    <col min="4364" max="4364" width="6.5" style="22" customWidth="1"/>
    <col min="4365" max="4365" width="29.875" style="22" bestFit="1" customWidth="1"/>
    <col min="4366" max="4371" width="6.5" style="22" customWidth="1"/>
    <col min="4372" max="4608" width="9" style="22"/>
    <col min="4609" max="4609" width="6.5" style="22" customWidth="1"/>
    <col min="4610" max="4610" width="27.875" style="22" customWidth="1"/>
    <col min="4611" max="4616" width="7.625" style="22" customWidth="1"/>
    <col min="4617" max="4617" width="12.875" style="22" customWidth="1"/>
    <col min="4618" max="4618" width="6.75" style="22" bestFit="1" customWidth="1"/>
    <col min="4619" max="4619" width="2" style="22" customWidth="1"/>
    <col min="4620" max="4620" width="6.5" style="22" customWidth="1"/>
    <col min="4621" max="4621" width="29.875" style="22" bestFit="1" customWidth="1"/>
    <col min="4622" max="4627" width="6.5" style="22" customWidth="1"/>
    <col min="4628" max="4864" width="9" style="22"/>
    <col min="4865" max="4865" width="6.5" style="22" customWidth="1"/>
    <col min="4866" max="4866" width="27.875" style="22" customWidth="1"/>
    <col min="4867" max="4872" width="7.625" style="22" customWidth="1"/>
    <col min="4873" max="4873" width="12.875" style="22" customWidth="1"/>
    <col min="4874" max="4874" width="6.75" style="22" bestFit="1" customWidth="1"/>
    <col min="4875" max="4875" width="2" style="22" customWidth="1"/>
    <col min="4876" max="4876" width="6.5" style="22" customWidth="1"/>
    <col min="4877" max="4877" width="29.875" style="22" bestFit="1" customWidth="1"/>
    <col min="4878" max="4883" width="6.5" style="22" customWidth="1"/>
    <col min="4884" max="5120" width="9" style="22"/>
    <col min="5121" max="5121" width="6.5" style="22" customWidth="1"/>
    <col min="5122" max="5122" width="27.875" style="22" customWidth="1"/>
    <col min="5123" max="5128" width="7.625" style="22" customWidth="1"/>
    <col min="5129" max="5129" width="12.875" style="22" customWidth="1"/>
    <col min="5130" max="5130" width="6.75" style="22" bestFit="1" customWidth="1"/>
    <col min="5131" max="5131" width="2" style="22" customWidth="1"/>
    <col min="5132" max="5132" width="6.5" style="22" customWidth="1"/>
    <col min="5133" max="5133" width="29.875" style="22" bestFit="1" customWidth="1"/>
    <col min="5134" max="5139" width="6.5" style="22" customWidth="1"/>
    <col min="5140" max="5376" width="9" style="22"/>
    <col min="5377" max="5377" width="6.5" style="22" customWidth="1"/>
    <col min="5378" max="5378" width="27.875" style="22" customWidth="1"/>
    <col min="5379" max="5384" width="7.625" style="22" customWidth="1"/>
    <col min="5385" max="5385" width="12.875" style="22" customWidth="1"/>
    <col min="5386" max="5386" width="6.75" style="22" bestFit="1" customWidth="1"/>
    <col min="5387" max="5387" width="2" style="22" customWidth="1"/>
    <col min="5388" max="5388" width="6.5" style="22" customWidth="1"/>
    <col min="5389" max="5389" width="29.875" style="22" bestFit="1" customWidth="1"/>
    <col min="5390" max="5395" width="6.5" style="22" customWidth="1"/>
    <col min="5396" max="5632" width="9" style="22"/>
    <col min="5633" max="5633" width="6.5" style="22" customWidth="1"/>
    <col min="5634" max="5634" width="27.875" style="22" customWidth="1"/>
    <col min="5635" max="5640" width="7.625" style="22" customWidth="1"/>
    <col min="5641" max="5641" width="12.875" style="22" customWidth="1"/>
    <col min="5642" max="5642" width="6.75" style="22" bestFit="1" customWidth="1"/>
    <col min="5643" max="5643" width="2" style="22" customWidth="1"/>
    <col min="5644" max="5644" width="6.5" style="22" customWidth="1"/>
    <col min="5645" max="5645" width="29.875" style="22" bestFit="1" customWidth="1"/>
    <col min="5646" max="5651" width="6.5" style="22" customWidth="1"/>
    <col min="5652" max="5888" width="9" style="22"/>
    <col min="5889" max="5889" width="6.5" style="22" customWidth="1"/>
    <col min="5890" max="5890" width="27.875" style="22" customWidth="1"/>
    <col min="5891" max="5896" width="7.625" style="22" customWidth="1"/>
    <col min="5897" max="5897" width="12.875" style="22" customWidth="1"/>
    <col min="5898" max="5898" width="6.75" style="22" bestFit="1" customWidth="1"/>
    <col min="5899" max="5899" width="2" style="22" customWidth="1"/>
    <col min="5900" max="5900" width="6.5" style="22" customWidth="1"/>
    <col min="5901" max="5901" width="29.875" style="22" bestFit="1" customWidth="1"/>
    <col min="5902" max="5907" width="6.5" style="22" customWidth="1"/>
    <col min="5908" max="6144" width="9" style="22"/>
    <col min="6145" max="6145" width="6.5" style="22" customWidth="1"/>
    <col min="6146" max="6146" width="27.875" style="22" customWidth="1"/>
    <col min="6147" max="6152" width="7.625" style="22" customWidth="1"/>
    <col min="6153" max="6153" width="12.875" style="22" customWidth="1"/>
    <col min="6154" max="6154" width="6.75" style="22" bestFit="1" customWidth="1"/>
    <col min="6155" max="6155" width="2" style="22" customWidth="1"/>
    <col min="6156" max="6156" width="6.5" style="22" customWidth="1"/>
    <col min="6157" max="6157" width="29.875" style="22" bestFit="1" customWidth="1"/>
    <col min="6158" max="6163" width="6.5" style="22" customWidth="1"/>
    <col min="6164" max="6400" width="9" style="22"/>
    <col min="6401" max="6401" width="6.5" style="22" customWidth="1"/>
    <col min="6402" max="6402" width="27.875" style="22" customWidth="1"/>
    <col min="6403" max="6408" width="7.625" style="22" customWidth="1"/>
    <col min="6409" max="6409" width="12.875" style="22" customWidth="1"/>
    <col min="6410" max="6410" width="6.75" style="22" bestFit="1" customWidth="1"/>
    <col min="6411" max="6411" width="2" style="22" customWidth="1"/>
    <col min="6412" max="6412" width="6.5" style="22" customWidth="1"/>
    <col min="6413" max="6413" width="29.875" style="22" bestFit="1" customWidth="1"/>
    <col min="6414" max="6419" width="6.5" style="22" customWidth="1"/>
    <col min="6420" max="6656" width="9" style="22"/>
    <col min="6657" max="6657" width="6.5" style="22" customWidth="1"/>
    <col min="6658" max="6658" width="27.875" style="22" customWidth="1"/>
    <col min="6659" max="6664" width="7.625" style="22" customWidth="1"/>
    <col min="6665" max="6665" width="12.875" style="22" customWidth="1"/>
    <col min="6666" max="6666" width="6.75" style="22" bestFit="1" customWidth="1"/>
    <col min="6667" max="6667" width="2" style="22" customWidth="1"/>
    <col min="6668" max="6668" width="6.5" style="22" customWidth="1"/>
    <col min="6669" max="6669" width="29.875" style="22" bestFit="1" customWidth="1"/>
    <col min="6670" max="6675" width="6.5" style="22" customWidth="1"/>
    <col min="6676" max="6912" width="9" style="22"/>
    <col min="6913" max="6913" width="6.5" style="22" customWidth="1"/>
    <col min="6914" max="6914" width="27.875" style="22" customWidth="1"/>
    <col min="6915" max="6920" width="7.625" style="22" customWidth="1"/>
    <col min="6921" max="6921" width="12.875" style="22" customWidth="1"/>
    <col min="6922" max="6922" width="6.75" style="22" bestFit="1" customWidth="1"/>
    <col min="6923" max="6923" width="2" style="22" customWidth="1"/>
    <col min="6924" max="6924" width="6.5" style="22" customWidth="1"/>
    <col min="6925" max="6925" width="29.875" style="22" bestFit="1" customWidth="1"/>
    <col min="6926" max="6931" width="6.5" style="22" customWidth="1"/>
    <col min="6932" max="7168" width="9" style="22"/>
    <col min="7169" max="7169" width="6.5" style="22" customWidth="1"/>
    <col min="7170" max="7170" width="27.875" style="22" customWidth="1"/>
    <col min="7171" max="7176" width="7.625" style="22" customWidth="1"/>
    <col min="7177" max="7177" width="12.875" style="22" customWidth="1"/>
    <col min="7178" max="7178" width="6.75" style="22" bestFit="1" customWidth="1"/>
    <col min="7179" max="7179" width="2" style="22" customWidth="1"/>
    <col min="7180" max="7180" width="6.5" style="22" customWidth="1"/>
    <col min="7181" max="7181" width="29.875" style="22" bestFit="1" customWidth="1"/>
    <col min="7182" max="7187" width="6.5" style="22" customWidth="1"/>
    <col min="7188" max="7424" width="9" style="22"/>
    <col min="7425" max="7425" width="6.5" style="22" customWidth="1"/>
    <col min="7426" max="7426" width="27.875" style="22" customWidth="1"/>
    <col min="7427" max="7432" width="7.625" style="22" customWidth="1"/>
    <col min="7433" max="7433" width="12.875" style="22" customWidth="1"/>
    <col min="7434" max="7434" width="6.75" style="22" bestFit="1" customWidth="1"/>
    <col min="7435" max="7435" width="2" style="22" customWidth="1"/>
    <col min="7436" max="7436" width="6.5" style="22" customWidth="1"/>
    <col min="7437" max="7437" width="29.875" style="22" bestFit="1" customWidth="1"/>
    <col min="7438" max="7443" width="6.5" style="22" customWidth="1"/>
    <col min="7444" max="7680" width="9" style="22"/>
    <col min="7681" max="7681" width="6.5" style="22" customWidth="1"/>
    <col min="7682" max="7682" width="27.875" style="22" customWidth="1"/>
    <col min="7683" max="7688" width="7.625" style="22" customWidth="1"/>
    <col min="7689" max="7689" width="12.875" style="22" customWidth="1"/>
    <col min="7690" max="7690" width="6.75" style="22" bestFit="1" customWidth="1"/>
    <col min="7691" max="7691" width="2" style="22" customWidth="1"/>
    <col min="7692" max="7692" width="6.5" style="22" customWidth="1"/>
    <col min="7693" max="7693" width="29.875" style="22" bestFit="1" customWidth="1"/>
    <col min="7694" max="7699" width="6.5" style="22" customWidth="1"/>
    <col min="7700" max="7936" width="9" style="22"/>
    <col min="7937" max="7937" width="6.5" style="22" customWidth="1"/>
    <col min="7938" max="7938" width="27.875" style="22" customWidth="1"/>
    <col min="7939" max="7944" width="7.625" style="22" customWidth="1"/>
    <col min="7945" max="7945" width="12.875" style="22" customWidth="1"/>
    <col min="7946" max="7946" width="6.75" style="22" bestFit="1" customWidth="1"/>
    <col min="7947" max="7947" width="2" style="22" customWidth="1"/>
    <col min="7948" max="7948" width="6.5" style="22" customWidth="1"/>
    <col min="7949" max="7949" width="29.875" style="22" bestFit="1" customWidth="1"/>
    <col min="7950" max="7955" width="6.5" style="22" customWidth="1"/>
    <col min="7956" max="8192" width="9" style="22"/>
    <col min="8193" max="8193" width="6.5" style="22" customWidth="1"/>
    <col min="8194" max="8194" width="27.875" style="22" customWidth="1"/>
    <col min="8195" max="8200" width="7.625" style="22" customWidth="1"/>
    <col min="8201" max="8201" width="12.875" style="22" customWidth="1"/>
    <col min="8202" max="8202" width="6.75" style="22" bestFit="1" customWidth="1"/>
    <col min="8203" max="8203" width="2" style="22" customWidth="1"/>
    <col min="8204" max="8204" width="6.5" style="22" customWidth="1"/>
    <col min="8205" max="8205" width="29.875" style="22" bestFit="1" customWidth="1"/>
    <col min="8206" max="8211" width="6.5" style="22" customWidth="1"/>
    <col min="8212" max="8448" width="9" style="22"/>
    <col min="8449" max="8449" width="6.5" style="22" customWidth="1"/>
    <col min="8450" max="8450" width="27.875" style="22" customWidth="1"/>
    <col min="8451" max="8456" width="7.625" style="22" customWidth="1"/>
    <col min="8457" max="8457" width="12.875" style="22" customWidth="1"/>
    <col min="8458" max="8458" width="6.75" style="22" bestFit="1" customWidth="1"/>
    <col min="8459" max="8459" width="2" style="22" customWidth="1"/>
    <col min="8460" max="8460" width="6.5" style="22" customWidth="1"/>
    <col min="8461" max="8461" width="29.875" style="22" bestFit="1" customWidth="1"/>
    <col min="8462" max="8467" width="6.5" style="22" customWidth="1"/>
    <col min="8468" max="8704" width="9" style="22"/>
    <col min="8705" max="8705" width="6.5" style="22" customWidth="1"/>
    <col min="8706" max="8706" width="27.875" style="22" customWidth="1"/>
    <col min="8707" max="8712" width="7.625" style="22" customWidth="1"/>
    <col min="8713" max="8713" width="12.875" style="22" customWidth="1"/>
    <col min="8714" max="8714" width="6.75" style="22" bestFit="1" customWidth="1"/>
    <col min="8715" max="8715" width="2" style="22" customWidth="1"/>
    <col min="8716" max="8716" width="6.5" style="22" customWidth="1"/>
    <col min="8717" max="8717" width="29.875" style="22" bestFit="1" customWidth="1"/>
    <col min="8718" max="8723" width="6.5" style="22" customWidth="1"/>
    <col min="8724" max="8960" width="9" style="22"/>
    <col min="8961" max="8961" width="6.5" style="22" customWidth="1"/>
    <col min="8962" max="8962" width="27.875" style="22" customWidth="1"/>
    <col min="8963" max="8968" width="7.625" style="22" customWidth="1"/>
    <col min="8969" max="8969" width="12.875" style="22" customWidth="1"/>
    <col min="8970" max="8970" width="6.75" style="22" bestFit="1" customWidth="1"/>
    <col min="8971" max="8971" width="2" style="22" customWidth="1"/>
    <col min="8972" max="8972" width="6.5" style="22" customWidth="1"/>
    <col min="8973" max="8973" width="29.875" style="22" bestFit="1" customWidth="1"/>
    <col min="8974" max="8979" width="6.5" style="22" customWidth="1"/>
    <col min="8980" max="9216" width="9" style="22"/>
    <col min="9217" max="9217" width="6.5" style="22" customWidth="1"/>
    <col min="9218" max="9218" width="27.875" style="22" customWidth="1"/>
    <col min="9219" max="9224" width="7.625" style="22" customWidth="1"/>
    <col min="9225" max="9225" width="12.875" style="22" customWidth="1"/>
    <col min="9226" max="9226" width="6.75" style="22" bestFit="1" customWidth="1"/>
    <col min="9227" max="9227" width="2" style="22" customWidth="1"/>
    <col min="9228" max="9228" width="6.5" style="22" customWidth="1"/>
    <col min="9229" max="9229" width="29.875" style="22" bestFit="1" customWidth="1"/>
    <col min="9230" max="9235" width="6.5" style="22" customWidth="1"/>
    <col min="9236" max="9472" width="9" style="22"/>
    <col min="9473" max="9473" width="6.5" style="22" customWidth="1"/>
    <col min="9474" max="9474" width="27.875" style="22" customWidth="1"/>
    <col min="9475" max="9480" width="7.625" style="22" customWidth="1"/>
    <col min="9481" max="9481" width="12.875" style="22" customWidth="1"/>
    <col min="9482" max="9482" width="6.75" style="22" bestFit="1" customWidth="1"/>
    <col min="9483" max="9483" width="2" style="22" customWidth="1"/>
    <col min="9484" max="9484" width="6.5" style="22" customWidth="1"/>
    <col min="9485" max="9485" width="29.875" style="22" bestFit="1" customWidth="1"/>
    <col min="9486" max="9491" width="6.5" style="22" customWidth="1"/>
    <col min="9492" max="9728" width="9" style="22"/>
    <col min="9729" max="9729" width="6.5" style="22" customWidth="1"/>
    <col min="9730" max="9730" width="27.875" style="22" customWidth="1"/>
    <col min="9731" max="9736" width="7.625" style="22" customWidth="1"/>
    <col min="9737" max="9737" width="12.875" style="22" customWidth="1"/>
    <col min="9738" max="9738" width="6.75" style="22" bestFit="1" customWidth="1"/>
    <col min="9739" max="9739" width="2" style="22" customWidth="1"/>
    <col min="9740" max="9740" width="6.5" style="22" customWidth="1"/>
    <col min="9741" max="9741" width="29.875" style="22" bestFit="1" customWidth="1"/>
    <col min="9742" max="9747" width="6.5" style="22" customWidth="1"/>
    <col min="9748" max="9984" width="9" style="22"/>
    <col min="9985" max="9985" width="6.5" style="22" customWidth="1"/>
    <col min="9986" max="9986" width="27.875" style="22" customWidth="1"/>
    <col min="9987" max="9992" width="7.625" style="22" customWidth="1"/>
    <col min="9993" max="9993" width="12.875" style="22" customWidth="1"/>
    <col min="9994" max="9994" width="6.75" style="22" bestFit="1" customWidth="1"/>
    <col min="9995" max="9995" width="2" style="22" customWidth="1"/>
    <col min="9996" max="9996" width="6.5" style="22" customWidth="1"/>
    <col min="9997" max="9997" width="29.875" style="22" bestFit="1" customWidth="1"/>
    <col min="9998" max="10003" width="6.5" style="22" customWidth="1"/>
    <col min="10004" max="10240" width="9" style="22"/>
    <col min="10241" max="10241" width="6.5" style="22" customWidth="1"/>
    <col min="10242" max="10242" width="27.875" style="22" customWidth="1"/>
    <col min="10243" max="10248" width="7.625" style="22" customWidth="1"/>
    <col min="10249" max="10249" width="12.875" style="22" customWidth="1"/>
    <col min="10250" max="10250" width="6.75" style="22" bestFit="1" customWidth="1"/>
    <col min="10251" max="10251" width="2" style="22" customWidth="1"/>
    <col min="10252" max="10252" width="6.5" style="22" customWidth="1"/>
    <col min="10253" max="10253" width="29.875" style="22" bestFit="1" customWidth="1"/>
    <col min="10254" max="10259" width="6.5" style="22" customWidth="1"/>
    <col min="10260" max="10496" width="9" style="22"/>
    <col min="10497" max="10497" width="6.5" style="22" customWidth="1"/>
    <col min="10498" max="10498" width="27.875" style="22" customWidth="1"/>
    <col min="10499" max="10504" width="7.625" style="22" customWidth="1"/>
    <col min="10505" max="10505" width="12.875" style="22" customWidth="1"/>
    <col min="10506" max="10506" width="6.75" style="22" bestFit="1" customWidth="1"/>
    <col min="10507" max="10507" width="2" style="22" customWidth="1"/>
    <col min="10508" max="10508" width="6.5" style="22" customWidth="1"/>
    <col min="10509" max="10509" width="29.875" style="22" bestFit="1" customWidth="1"/>
    <col min="10510" max="10515" width="6.5" style="22" customWidth="1"/>
    <col min="10516" max="10752" width="9" style="22"/>
    <col min="10753" max="10753" width="6.5" style="22" customWidth="1"/>
    <col min="10754" max="10754" width="27.875" style="22" customWidth="1"/>
    <col min="10755" max="10760" width="7.625" style="22" customWidth="1"/>
    <col min="10761" max="10761" width="12.875" style="22" customWidth="1"/>
    <col min="10762" max="10762" width="6.75" style="22" bestFit="1" customWidth="1"/>
    <col min="10763" max="10763" width="2" style="22" customWidth="1"/>
    <col min="10764" max="10764" width="6.5" style="22" customWidth="1"/>
    <col min="10765" max="10765" width="29.875" style="22" bestFit="1" customWidth="1"/>
    <col min="10766" max="10771" width="6.5" style="22" customWidth="1"/>
    <col min="10772" max="11008" width="9" style="22"/>
    <col min="11009" max="11009" width="6.5" style="22" customWidth="1"/>
    <col min="11010" max="11010" width="27.875" style="22" customWidth="1"/>
    <col min="11011" max="11016" width="7.625" style="22" customWidth="1"/>
    <col min="11017" max="11017" width="12.875" style="22" customWidth="1"/>
    <col min="11018" max="11018" width="6.75" style="22" bestFit="1" customWidth="1"/>
    <col min="11019" max="11019" width="2" style="22" customWidth="1"/>
    <col min="11020" max="11020" width="6.5" style="22" customWidth="1"/>
    <col min="11021" max="11021" width="29.875" style="22" bestFit="1" customWidth="1"/>
    <col min="11022" max="11027" width="6.5" style="22" customWidth="1"/>
    <col min="11028" max="11264" width="9" style="22"/>
    <col min="11265" max="11265" width="6.5" style="22" customWidth="1"/>
    <col min="11266" max="11266" width="27.875" style="22" customWidth="1"/>
    <col min="11267" max="11272" width="7.625" style="22" customWidth="1"/>
    <col min="11273" max="11273" width="12.875" style="22" customWidth="1"/>
    <col min="11274" max="11274" width="6.75" style="22" bestFit="1" customWidth="1"/>
    <col min="11275" max="11275" width="2" style="22" customWidth="1"/>
    <col min="11276" max="11276" width="6.5" style="22" customWidth="1"/>
    <col min="11277" max="11277" width="29.875" style="22" bestFit="1" customWidth="1"/>
    <col min="11278" max="11283" width="6.5" style="22" customWidth="1"/>
    <col min="11284" max="11520" width="9" style="22"/>
    <col min="11521" max="11521" width="6.5" style="22" customWidth="1"/>
    <col min="11522" max="11522" width="27.875" style="22" customWidth="1"/>
    <col min="11523" max="11528" width="7.625" style="22" customWidth="1"/>
    <col min="11529" max="11529" width="12.875" style="22" customWidth="1"/>
    <col min="11530" max="11530" width="6.75" style="22" bestFit="1" customWidth="1"/>
    <col min="11531" max="11531" width="2" style="22" customWidth="1"/>
    <col min="11532" max="11532" width="6.5" style="22" customWidth="1"/>
    <col min="11533" max="11533" width="29.875" style="22" bestFit="1" customWidth="1"/>
    <col min="11534" max="11539" width="6.5" style="22" customWidth="1"/>
    <col min="11540" max="11776" width="9" style="22"/>
    <col min="11777" max="11777" width="6.5" style="22" customWidth="1"/>
    <col min="11778" max="11778" width="27.875" style="22" customWidth="1"/>
    <col min="11779" max="11784" width="7.625" style="22" customWidth="1"/>
    <col min="11785" max="11785" width="12.875" style="22" customWidth="1"/>
    <col min="11786" max="11786" width="6.75" style="22" bestFit="1" customWidth="1"/>
    <col min="11787" max="11787" width="2" style="22" customWidth="1"/>
    <col min="11788" max="11788" width="6.5" style="22" customWidth="1"/>
    <col min="11789" max="11789" width="29.875" style="22" bestFit="1" customWidth="1"/>
    <col min="11790" max="11795" width="6.5" style="22" customWidth="1"/>
    <col min="11796" max="12032" width="9" style="22"/>
    <col min="12033" max="12033" width="6.5" style="22" customWidth="1"/>
    <col min="12034" max="12034" width="27.875" style="22" customWidth="1"/>
    <col min="12035" max="12040" width="7.625" style="22" customWidth="1"/>
    <col min="12041" max="12041" width="12.875" style="22" customWidth="1"/>
    <col min="12042" max="12042" width="6.75" style="22" bestFit="1" customWidth="1"/>
    <col min="12043" max="12043" width="2" style="22" customWidth="1"/>
    <col min="12044" max="12044" width="6.5" style="22" customWidth="1"/>
    <col min="12045" max="12045" width="29.875" style="22" bestFit="1" customWidth="1"/>
    <col min="12046" max="12051" width="6.5" style="22" customWidth="1"/>
    <col min="12052" max="12288" width="9" style="22"/>
    <col min="12289" max="12289" width="6.5" style="22" customWidth="1"/>
    <col min="12290" max="12290" width="27.875" style="22" customWidth="1"/>
    <col min="12291" max="12296" width="7.625" style="22" customWidth="1"/>
    <col min="12297" max="12297" width="12.875" style="22" customWidth="1"/>
    <col min="12298" max="12298" width="6.75" style="22" bestFit="1" customWidth="1"/>
    <col min="12299" max="12299" width="2" style="22" customWidth="1"/>
    <col min="12300" max="12300" width="6.5" style="22" customWidth="1"/>
    <col min="12301" max="12301" width="29.875" style="22" bestFit="1" customWidth="1"/>
    <col min="12302" max="12307" width="6.5" style="22" customWidth="1"/>
    <col min="12308" max="12544" width="9" style="22"/>
    <col min="12545" max="12545" width="6.5" style="22" customWidth="1"/>
    <col min="12546" max="12546" width="27.875" style="22" customWidth="1"/>
    <col min="12547" max="12552" width="7.625" style="22" customWidth="1"/>
    <col min="12553" max="12553" width="12.875" style="22" customWidth="1"/>
    <col min="12554" max="12554" width="6.75" style="22" bestFit="1" customWidth="1"/>
    <col min="12555" max="12555" width="2" style="22" customWidth="1"/>
    <col min="12556" max="12556" width="6.5" style="22" customWidth="1"/>
    <col min="12557" max="12557" width="29.875" style="22" bestFit="1" customWidth="1"/>
    <col min="12558" max="12563" width="6.5" style="22" customWidth="1"/>
    <col min="12564" max="12800" width="9" style="22"/>
    <col min="12801" max="12801" width="6.5" style="22" customWidth="1"/>
    <col min="12802" max="12802" width="27.875" style="22" customWidth="1"/>
    <col min="12803" max="12808" width="7.625" style="22" customWidth="1"/>
    <col min="12809" max="12809" width="12.875" style="22" customWidth="1"/>
    <col min="12810" max="12810" width="6.75" style="22" bestFit="1" customWidth="1"/>
    <col min="12811" max="12811" width="2" style="22" customWidth="1"/>
    <col min="12812" max="12812" width="6.5" style="22" customWidth="1"/>
    <col min="12813" max="12813" width="29.875" style="22" bestFit="1" customWidth="1"/>
    <col min="12814" max="12819" width="6.5" style="22" customWidth="1"/>
    <col min="12820" max="13056" width="9" style="22"/>
    <col min="13057" max="13057" width="6.5" style="22" customWidth="1"/>
    <col min="13058" max="13058" width="27.875" style="22" customWidth="1"/>
    <col min="13059" max="13064" width="7.625" style="22" customWidth="1"/>
    <col min="13065" max="13065" width="12.875" style="22" customWidth="1"/>
    <col min="13066" max="13066" width="6.75" style="22" bestFit="1" customWidth="1"/>
    <col min="13067" max="13067" width="2" style="22" customWidth="1"/>
    <col min="13068" max="13068" width="6.5" style="22" customWidth="1"/>
    <col min="13069" max="13069" width="29.875" style="22" bestFit="1" customWidth="1"/>
    <col min="13070" max="13075" width="6.5" style="22" customWidth="1"/>
    <col min="13076" max="13312" width="9" style="22"/>
    <col min="13313" max="13313" width="6.5" style="22" customWidth="1"/>
    <col min="13314" max="13314" width="27.875" style="22" customWidth="1"/>
    <col min="13315" max="13320" width="7.625" style="22" customWidth="1"/>
    <col min="13321" max="13321" width="12.875" style="22" customWidth="1"/>
    <col min="13322" max="13322" width="6.75" style="22" bestFit="1" customWidth="1"/>
    <col min="13323" max="13323" width="2" style="22" customWidth="1"/>
    <col min="13324" max="13324" width="6.5" style="22" customWidth="1"/>
    <col min="13325" max="13325" width="29.875" style="22" bestFit="1" customWidth="1"/>
    <col min="13326" max="13331" width="6.5" style="22" customWidth="1"/>
    <col min="13332" max="13568" width="9" style="22"/>
    <col min="13569" max="13569" width="6.5" style="22" customWidth="1"/>
    <col min="13570" max="13570" width="27.875" style="22" customWidth="1"/>
    <col min="13571" max="13576" width="7.625" style="22" customWidth="1"/>
    <col min="13577" max="13577" width="12.875" style="22" customWidth="1"/>
    <col min="13578" max="13578" width="6.75" style="22" bestFit="1" customWidth="1"/>
    <col min="13579" max="13579" width="2" style="22" customWidth="1"/>
    <col min="13580" max="13580" width="6.5" style="22" customWidth="1"/>
    <col min="13581" max="13581" width="29.875" style="22" bestFit="1" customWidth="1"/>
    <col min="13582" max="13587" width="6.5" style="22" customWidth="1"/>
    <col min="13588" max="13824" width="9" style="22"/>
    <col min="13825" max="13825" width="6.5" style="22" customWidth="1"/>
    <col min="13826" max="13826" width="27.875" style="22" customWidth="1"/>
    <col min="13827" max="13832" width="7.625" style="22" customWidth="1"/>
    <col min="13833" max="13833" width="12.875" style="22" customWidth="1"/>
    <col min="13834" max="13834" width="6.75" style="22" bestFit="1" customWidth="1"/>
    <col min="13835" max="13835" width="2" style="22" customWidth="1"/>
    <col min="13836" max="13836" width="6.5" style="22" customWidth="1"/>
    <col min="13837" max="13837" width="29.875" style="22" bestFit="1" customWidth="1"/>
    <col min="13838" max="13843" width="6.5" style="22" customWidth="1"/>
    <col min="13844" max="14080" width="9" style="22"/>
    <col min="14081" max="14081" width="6.5" style="22" customWidth="1"/>
    <col min="14082" max="14082" width="27.875" style="22" customWidth="1"/>
    <col min="14083" max="14088" width="7.625" style="22" customWidth="1"/>
    <col min="14089" max="14089" width="12.875" style="22" customWidth="1"/>
    <col min="14090" max="14090" width="6.75" style="22" bestFit="1" customWidth="1"/>
    <col min="14091" max="14091" width="2" style="22" customWidth="1"/>
    <col min="14092" max="14092" width="6.5" style="22" customWidth="1"/>
    <col min="14093" max="14093" width="29.875" style="22" bestFit="1" customWidth="1"/>
    <col min="14094" max="14099" width="6.5" style="22" customWidth="1"/>
    <col min="14100" max="14336" width="9" style="22"/>
    <col min="14337" max="14337" width="6.5" style="22" customWidth="1"/>
    <col min="14338" max="14338" width="27.875" style="22" customWidth="1"/>
    <col min="14339" max="14344" width="7.625" style="22" customWidth="1"/>
    <col min="14345" max="14345" width="12.875" style="22" customWidth="1"/>
    <col min="14346" max="14346" width="6.75" style="22" bestFit="1" customWidth="1"/>
    <col min="14347" max="14347" width="2" style="22" customWidth="1"/>
    <col min="14348" max="14348" width="6.5" style="22" customWidth="1"/>
    <col min="14349" max="14349" width="29.875" style="22" bestFit="1" customWidth="1"/>
    <col min="14350" max="14355" width="6.5" style="22" customWidth="1"/>
    <col min="14356" max="14592" width="9" style="22"/>
    <col min="14593" max="14593" width="6.5" style="22" customWidth="1"/>
    <col min="14594" max="14594" width="27.875" style="22" customWidth="1"/>
    <col min="14595" max="14600" width="7.625" style="22" customWidth="1"/>
    <col min="14601" max="14601" width="12.875" style="22" customWidth="1"/>
    <col min="14602" max="14602" width="6.75" style="22" bestFit="1" customWidth="1"/>
    <col min="14603" max="14603" width="2" style="22" customWidth="1"/>
    <col min="14604" max="14604" width="6.5" style="22" customWidth="1"/>
    <col min="14605" max="14605" width="29.875" style="22" bestFit="1" customWidth="1"/>
    <col min="14606" max="14611" width="6.5" style="22" customWidth="1"/>
    <col min="14612" max="14848" width="9" style="22"/>
    <col min="14849" max="14849" width="6.5" style="22" customWidth="1"/>
    <col min="14850" max="14850" width="27.875" style="22" customWidth="1"/>
    <col min="14851" max="14856" width="7.625" style="22" customWidth="1"/>
    <col min="14857" max="14857" width="12.875" style="22" customWidth="1"/>
    <col min="14858" max="14858" width="6.75" style="22" bestFit="1" customWidth="1"/>
    <col min="14859" max="14859" width="2" style="22" customWidth="1"/>
    <col min="14860" max="14860" width="6.5" style="22" customWidth="1"/>
    <col min="14861" max="14861" width="29.875" style="22" bestFit="1" customWidth="1"/>
    <col min="14862" max="14867" width="6.5" style="22" customWidth="1"/>
    <col min="14868" max="15104" width="9" style="22"/>
    <col min="15105" max="15105" width="6.5" style="22" customWidth="1"/>
    <col min="15106" max="15106" width="27.875" style="22" customWidth="1"/>
    <col min="15107" max="15112" width="7.625" style="22" customWidth="1"/>
    <col min="15113" max="15113" width="12.875" style="22" customWidth="1"/>
    <col min="15114" max="15114" width="6.75" style="22" bestFit="1" customWidth="1"/>
    <col min="15115" max="15115" width="2" style="22" customWidth="1"/>
    <col min="15116" max="15116" width="6.5" style="22" customWidth="1"/>
    <col min="15117" max="15117" width="29.875" style="22" bestFit="1" customWidth="1"/>
    <col min="15118" max="15123" width="6.5" style="22" customWidth="1"/>
    <col min="15124" max="15360" width="9" style="22"/>
    <col min="15361" max="15361" width="6.5" style="22" customWidth="1"/>
    <col min="15362" max="15362" width="27.875" style="22" customWidth="1"/>
    <col min="15363" max="15368" width="7.625" style="22" customWidth="1"/>
    <col min="15369" max="15369" width="12.875" style="22" customWidth="1"/>
    <col min="15370" max="15370" width="6.75" style="22" bestFit="1" customWidth="1"/>
    <col min="15371" max="15371" width="2" style="22" customWidth="1"/>
    <col min="15372" max="15372" width="6.5" style="22" customWidth="1"/>
    <col min="15373" max="15373" width="29.875" style="22" bestFit="1" customWidth="1"/>
    <col min="15374" max="15379" width="6.5" style="22" customWidth="1"/>
    <col min="15380" max="15616" width="9" style="22"/>
    <col min="15617" max="15617" width="6.5" style="22" customWidth="1"/>
    <col min="15618" max="15618" width="27.875" style="22" customWidth="1"/>
    <col min="15619" max="15624" width="7.625" style="22" customWidth="1"/>
    <col min="15625" max="15625" width="12.875" style="22" customWidth="1"/>
    <col min="15626" max="15626" width="6.75" style="22" bestFit="1" customWidth="1"/>
    <col min="15627" max="15627" width="2" style="22" customWidth="1"/>
    <col min="15628" max="15628" width="6.5" style="22" customWidth="1"/>
    <col min="15629" max="15629" width="29.875" style="22" bestFit="1" customWidth="1"/>
    <col min="15630" max="15635" width="6.5" style="22" customWidth="1"/>
    <col min="15636" max="15872" width="9" style="22"/>
    <col min="15873" max="15873" width="6.5" style="22" customWidth="1"/>
    <col min="15874" max="15874" width="27.875" style="22" customWidth="1"/>
    <col min="15875" max="15880" width="7.625" style="22" customWidth="1"/>
    <col min="15881" max="15881" width="12.875" style="22" customWidth="1"/>
    <col min="15882" max="15882" width="6.75" style="22" bestFit="1" customWidth="1"/>
    <col min="15883" max="15883" width="2" style="22" customWidth="1"/>
    <col min="15884" max="15884" width="6.5" style="22" customWidth="1"/>
    <col min="15885" max="15885" width="29.875" style="22" bestFit="1" customWidth="1"/>
    <col min="15886" max="15891" width="6.5" style="22" customWidth="1"/>
    <col min="15892" max="16128" width="9" style="22"/>
    <col min="16129" max="16129" width="6.5" style="22" customWidth="1"/>
    <col min="16130" max="16130" width="27.875" style="22" customWidth="1"/>
    <col min="16131" max="16136" width="7.625" style="22" customWidth="1"/>
    <col min="16137" max="16137" width="12.875" style="22" customWidth="1"/>
    <col min="16138" max="16138" width="6.75" style="22" bestFit="1" customWidth="1"/>
    <col min="16139" max="16139" width="2" style="22" customWidth="1"/>
    <col min="16140" max="16140" width="6.5" style="22" customWidth="1"/>
    <col min="16141" max="16141" width="29.875" style="22" bestFit="1" customWidth="1"/>
    <col min="16142" max="16147" width="6.5" style="22" customWidth="1"/>
    <col min="16148" max="16384" width="9" style="22"/>
  </cols>
  <sheetData>
    <row r="1" spans="1:32" ht="34.5" customHeight="1">
      <c r="A1" s="1481" t="s">
        <v>608</v>
      </c>
      <c r="B1" s="1481"/>
      <c r="C1" s="1481"/>
      <c r="D1" s="1481"/>
      <c r="E1" s="1481"/>
      <c r="F1" s="1481"/>
      <c r="G1" s="1481"/>
      <c r="H1" s="1481"/>
      <c r="I1" s="1481"/>
    </row>
    <row r="2" spans="1:32" s="30" customFormat="1" ht="22.15" customHeight="1">
      <c r="B2" s="64"/>
      <c r="C2" s="65"/>
      <c r="L2" s="18" t="s">
        <v>928</v>
      </c>
      <c r="M2" s="17"/>
      <c r="N2" s="17"/>
      <c r="V2" s="10"/>
      <c r="W2" s="10"/>
      <c r="X2" s="10"/>
      <c r="Y2" s="10"/>
      <c r="Z2" s="10"/>
      <c r="AA2" s="10"/>
      <c r="AB2" s="10"/>
      <c r="AC2" s="10"/>
      <c r="AD2" s="10"/>
      <c r="AE2" s="10"/>
      <c r="AF2" s="10"/>
    </row>
    <row r="3" spans="1:32" s="30" customFormat="1" ht="20.100000000000001" customHeight="1">
      <c r="A3" s="66" t="s">
        <v>609</v>
      </c>
      <c r="B3" s="65"/>
      <c r="L3" s="128" t="s">
        <v>610</v>
      </c>
      <c r="M3" s="128" t="s">
        <v>611</v>
      </c>
      <c r="N3" s="11" t="s">
        <v>612</v>
      </c>
      <c r="V3" s="10"/>
      <c r="W3" s="10"/>
      <c r="X3" s="10"/>
      <c r="Y3" s="10"/>
      <c r="Z3" s="10"/>
      <c r="AA3" s="10"/>
      <c r="AB3" s="10"/>
      <c r="AC3" s="10"/>
      <c r="AD3" s="10"/>
      <c r="AE3" s="10"/>
      <c r="AF3" s="10"/>
    </row>
    <row r="4" spans="1:32" s="30" customFormat="1" ht="20.100000000000001" customHeight="1">
      <c r="A4" s="64" t="s">
        <v>613</v>
      </c>
      <c r="C4" s="67"/>
      <c r="D4" s="68">
        <v>10.555</v>
      </c>
      <c r="E4" s="30" t="s">
        <v>614</v>
      </c>
      <c r="L4" s="129" t="s">
        <v>615</v>
      </c>
      <c r="M4" s="130">
        <f>340765*용역비총괄표!$O$9</f>
        <v>325327.32320500002</v>
      </c>
      <c r="N4" s="17"/>
      <c r="V4" s="10"/>
      <c r="W4" s="10"/>
      <c r="X4" s="10"/>
      <c r="Y4" s="10"/>
      <c r="Z4" s="10"/>
      <c r="AA4" s="10"/>
      <c r="AB4" s="10"/>
      <c r="AC4" s="10"/>
      <c r="AD4" s="10"/>
      <c r="AE4" s="10"/>
      <c r="AF4" s="10"/>
    </row>
    <row r="5" spans="1:32" s="30" customFormat="1" ht="20.100000000000001" customHeight="1">
      <c r="A5" s="64" t="s">
        <v>616</v>
      </c>
      <c r="C5" s="67"/>
      <c r="D5" s="68">
        <v>50</v>
      </c>
      <c r="E5" s="30" t="s">
        <v>614</v>
      </c>
      <c r="L5" s="129" t="s">
        <v>617</v>
      </c>
      <c r="M5" s="130">
        <f>249900*용역비총괄표!$O$9</f>
        <v>238578.78030000001</v>
      </c>
      <c r="N5" s="17"/>
      <c r="V5" s="10"/>
      <c r="W5" s="10"/>
      <c r="X5" s="10"/>
      <c r="Y5" s="10"/>
      <c r="Z5" s="10"/>
      <c r="AA5" s="10"/>
      <c r="AB5" s="10"/>
      <c r="AC5" s="10"/>
      <c r="AD5" s="10"/>
      <c r="AE5" s="10"/>
      <c r="AF5" s="10"/>
    </row>
    <row r="6" spans="1:32" s="30" customFormat="1" ht="20.100000000000001" customHeight="1">
      <c r="A6" s="64" t="s">
        <v>618</v>
      </c>
      <c r="B6" s="65"/>
      <c r="C6" s="67"/>
      <c r="D6" s="590">
        <f>ROUNDDOWN((D4/D5)^0.6,3)</f>
        <v>0.39300000000000002</v>
      </c>
      <c r="E6" s="30" t="s">
        <v>619</v>
      </c>
      <c r="F6" s="69"/>
      <c r="L6" s="129" t="s">
        <v>620</v>
      </c>
      <c r="M6" s="130">
        <f>208973*용역비총괄표!$O$9</f>
        <v>199505.89618100002</v>
      </c>
      <c r="N6" s="17"/>
      <c r="V6" s="10"/>
      <c r="W6" s="10"/>
      <c r="X6" s="10"/>
      <c r="Y6" s="10"/>
      <c r="Z6" s="10"/>
      <c r="AA6" s="10"/>
      <c r="AB6" s="10"/>
      <c r="AC6" s="10"/>
      <c r="AD6" s="10"/>
      <c r="AE6" s="10"/>
      <c r="AF6" s="10"/>
    </row>
    <row r="7" spans="1:32" s="30" customFormat="1" ht="20.100000000000001" customHeight="1">
      <c r="A7" s="66" t="s">
        <v>621</v>
      </c>
      <c r="B7" s="68"/>
      <c r="C7" s="67"/>
      <c r="D7" s="591">
        <v>0.9</v>
      </c>
      <c r="E7" s="30" t="s">
        <v>619</v>
      </c>
      <c r="L7" s="129" t="s">
        <v>622</v>
      </c>
      <c r="M7" s="130">
        <f>181229*용역비총괄표!$O$9</f>
        <v>173018.78261300002</v>
      </c>
      <c r="N7" s="17"/>
      <c r="V7" s="10"/>
      <c r="W7" s="10"/>
      <c r="X7" s="10"/>
      <c r="Y7" s="10"/>
      <c r="Z7" s="10"/>
      <c r="AA7" s="10"/>
      <c r="AB7" s="10"/>
      <c r="AC7" s="10"/>
      <c r="AD7" s="10"/>
      <c r="AE7" s="10"/>
      <c r="AF7" s="10"/>
    </row>
    <row r="8" spans="1:32" s="30" customFormat="1" ht="20.100000000000001" customHeight="1">
      <c r="A8" s="64" t="s">
        <v>623</v>
      </c>
      <c r="B8" s="68"/>
      <c r="C8" s="67"/>
      <c r="D8" s="67"/>
      <c r="L8" s="129" t="s">
        <v>624</v>
      </c>
      <c r="M8" s="130">
        <f>140862*용역비총괄표!$O$9</f>
        <v>134480.52881399999</v>
      </c>
      <c r="N8" s="17"/>
      <c r="V8" s="10"/>
      <c r="W8" s="10"/>
      <c r="X8" s="10"/>
      <c r="Y8" s="10"/>
      <c r="Z8" s="10"/>
      <c r="AA8" s="10"/>
      <c r="AB8" s="10"/>
      <c r="AC8" s="10"/>
      <c r="AD8" s="10"/>
      <c r="AE8" s="10"/>
      <c r="AF8" s="10"/>
    </row>
    <row r="9" spans="1:32" s="30" customFormat="1" ht="20.100000000000001" customHeight="1">
      <c r="A9" s="64" t="s">
        <v>625</v>
      </c>
      <c r="B9" s="68"/>
      <c r="C9" s="67"/>
      <c r="L9" s="129" t="s">
        <v>626</v>
      </c>
      <c r="M9" s="130">
        <f>163029*용역비총괄표!$O$9</f>
        <v>155643.29721300001</v>
      </c>
      <c r="N9" s="17"/>
      <c r="V9" s="10"/>
      <c r="W9" s="10"/>
      <c r="X9" s="10"/>
      <c r="Y9" s="10"/>
      <c r="Z9" s="10"/>
      <c r="AA9" s="10"/>
      <c r="AB9" s="10"/>
      <c r="AC9" s="10"/>
      <c r="AD9" s="10"/>
      <c r="AE9" s="10"/>
      <c r="AF9" s="10"/>
    </row>
    <row r="10" spans="1:32" s="30" customFormat="1" ht="20.100000000000001" customHeight="1">
      <c r="A10" s="66" t="s">
        <v>627</v>
      </c>
      <c r="B10" s="68"/>
      <c r="C10" s="67"/>
      <c r="D10" s="591">
        <v>0.8</v>
      </c>
      <c r="E10" s="30" t="s">
        <v>619</v>
      </c>
      <c r="L10" s="129" t="s">
        <v>581</v>
      </c>
      <c r="M10" s="130">
        <f>141768*용역비총괄표!$O$9</f>
        <v>135345.48429600001</v>
      </c>
      <c r="N10" s="17"/>
      <c r="V10" s="10"/>
      <c r="W10" s="10"/>
      <c r="X10" s="10"/>
      <c r="Y10" s="10"/>
      <c r="Z10" s="10"/>
      <c r="AA10" s="10"/>
      <c r="AB10" s="10"/>
      <c r="AC10" s="10"/>
      <c r="AD10" s="10"/>
      <c r="AE10" s="10"/>
      <c r="AF10" s="10"/>
    </row>
    <row r="11" spans="1:32" s="30" customFormat="1" ht="20.100000000000001" customHeight="1">
      <c r="A11" s="64" t="s">
        <v>628</v>
      </c>
      <c r="B11" s="68"/>
      <c r="C11" s="67"/>
      <c r="D11" s="687" t="s">
        <v>943</v>
      </c>
      <c r="L11" s="129" t="s">
        <v>629</v>
      </c>
      <c r="M11" s="130">
        <f>123044*용역비총괄표!$O$9</f>
        <v>117469.737668</v>
      </c>
      <c r="N11" s="17"/>
      <c r="V11" s="10"/>
      <c r="W11" s="10"/>
      <c r="X11" s="10"/>
      <c r="Y11" s="10"/>
      <c r="Z11" s="10"/>
      <c r="AA11" s="10"/>
      <c r="AB11" s="10"/>
      <c r="AC11" s="10"/>
      <c r="AD11" s="10"/>
      <c r="AE11" s="10"/>
      <c r="AF11" s="10"/>
    </row>
    <row r="12" spans="1:32" s="30" customFormat="1" ht="20.100000000000001" customHeight="1">
      <c r="A12" s="64" t="s">
        <v>630</v>
      </c>
      <c r="B12" s="68"/>
      <c r="C12" s="67"/>
      <c r="D12" s="591"/>
      <c r="V12" s="10"/>
      <c r="W12" s="10"/>
      <c r="X12" s="10"/>
      <c r="Y12" s="10"/>
      <c r="Z12" s="10"/>
      <c r="AA12" s="10"/>
      <c r="AB12" s="10"/>
      <c r="AC12" s="10"/>
      <c r="AD12" s="10"/>
      <c r="AE12" s="10"/>
      <c r="AF12" s="10"/>
    </row>
    <row r="13" spans="1:32" s="30" customFormat="1" ht="20.100000000000001" customHeight="1">
      <c r="A13" s="66" t="s">
        <v>631</v>
      </c>
      <c r="B13" s="68"/>
      <c r="C13" s="67"/>
      <c r="D13" s="590">
        <f>D6*D7*D10</f>
        <v>0.28296000000000004</v>
      </c>
      <c r="E13" s="30" t="s">
        <v>619</v>
      </c>
      <c r="F13" s="69"/>
      <c r="V13" s="10"/>
      <c r="W13" s="10"/>
      <c r="X13" s="10"/>
      <c r="Y13" s="10"/>
      <c r="Z13" s="10"/>
      <c r="AA13" s="10"/>
      <c r="AB13" s="10"/>
      <c r="AC13" s="10"/>
      <c r="AD13" s="10"/>
      <c r="AE13" s="10"/>
      <c r="AF13" s="10"/>
    </row>
    <row r="14" spans="1:32" s="30" customFormat="1" ht="18" customHeight="1">
      <c r="B14" s="64"/>
      <c r="C14" s="68"/>
      <c r="D14" s="69"/>
      <c r="V14" s="10"/>
      <c r="W14" s="10"/>
      <c r="X14" s="10"/>
      <c r="Y14" s="10"/>
      <c r="Z14" s="10"/>
      <c r="AA14" s="10"/>
      <c r="AB14" s="10"/>
      <c r="AC14" s="10"/>
      <c r="AD14" s="10"/>
      <c r="AE14" s="10"/>
      <c r="AF14" s="10"/>
    </row>
    <row r="15" spans="1:32" s="30" customFormat="1" ht="22.15" customHeight="1" thickBot="1">
      <c r="A15" s="66" t="s">
        <v>632</v>
      </c>
      <c r="C15" s="65"/>
      <c r="L15" s="30" t="s">
        <v>929</v>
      </c>
      <c r="V15" s="10"/>
      <c r="W15" s="10" t="s">
        <v>930</v>
      </c>
      <c r="X15" s="10"/>
      <c r="Y15" s="10"/>
      <c r="Z15" s="10"/>
      <c r="AA15" s="10"/>
      <c r="AB15" s="10"/>
      <c r="AC15" s="10"/>
      <c r="AD15" s="10"/>
      <c r="AE15" s="10"/>
      <c r="AF15" s="10"/>
    </row>
    <row r="16" spans="1:32" s="25" customFormat="1" ht="23.1" customHeight="1">
      <c r="A16" s="1543" t="s">
        <v>633</v>
      </c>
      <c r="B16" s="1543"/>
      <c r="C16" s="24" t="s">
        <v>575</v>
      </c>
      <c r="D16" s="559" t="s">
        <v>634</v>
      </c>
      <c r="E16" s="559" t="s">
        <v>635</v>
      </c>
      <c r="F16" s="559" t="s">
        <v>636</v>
      </c>
      <c r="G16" s="559" t="s">
        <v>637</v>
      </c>
      <c r="H16" s="559" t="s">
        <v>638</v>
      </c>
      <c r="I16" s="559" t="s">
        <v>639</v>
      </c>
      <c r="L16" s="1511" t="s">
        <v>633</v>
      </c>
      <c r="M16" s="1512"/>
      <c r="N16" s="24" t="s">
        <v>575</v>
      </c>
      <c r="O16" s="559" t="s">
        <v>634</v>
      </c>
      <c r="P16" s="559" t="s">
        <v>635</v>
      </c>
      <c r="Q16" s="559" t="s">
        <v>636</v>
      </c>
      <c r="R16" s="559" t="s">
        <v>637</v>
      </c>
      <c r="S16" s="559" t="s">
        <v>638</v>
      </c>
      <c r="V16" s="1487" t="s">
        <v>333</v>
      </c>
      <c r="W16" s="1488"/>
      <c r="X16" s="1491" t="s">
        <v>334</v>
      </c>
      <c r="Y16" s="1492"/>
      <c r="Z16" s="1492"/>
      <c r="AA16" s="1492"/>
      <c r="AB16" s="1492"/>
      <c r="AC16" s="1493"/>
      <c r="AD16" s="1498" t="s">
        <v>2</v>
      </c>
      <c r="AE16" s="11"/>
      <c r="AF16" s="11"/>
    </row>
    <row r="17" spans="1:32" s="30" customFormat="1" ht="23.1" customHeight="1" thickBot="1">
      <c r="A17" s="1521" t="s">
        <v>640</v>
      </c>
      <c r="B17" s="26" t="s">
        <v>641</v>
      </c>
      <c r="C17" s="27">
        <f t="shared" ref="C17:H31" si="0">ROUND($I17*N17,1)</f>
        <v>0.7</v>
      </c>
      <c r="D17" s="27">
        <f t="shared" si="0"/>
        <v>2.6</v>
      </c>
      <c r="E17" s="27">
        <f t="shared" si="0"/>
        <v>4.7</v>
      </c>
      <c r="F17" s="27">
        <f t="shared" si="0"/>
        <v>6.6</v>
      </c>
      <c r="G17" s="27">
        <f t="shared" si="0"/>
        <v>13.5</v>
      </c>
      <c r="H17" s="27">
        <f t="shared" si="0"/>
        <v>13.5</v>
      </c>
      <c r="I17" s="28">
        <v>1</v>
      </c>
      <c r="J17" s="29">
        <f>SUM(C17:H17)</f>
        <v>41.6</v>
      </c>
      <c r="L17" s="1521" t="s">
        <v>640</v>
      </c>
      <c r="M17" s="31" t="s">
        <v>641</v>
      </c>
      <c r="N17" s="32">
        <v>0.7</v>
      </c>
      <c r="O17" s="32">
        <v>2.6</v>
      </c>
      <c r="P17" s="32">
        <v>4.7</v>
      </c>
      <c r="Q17" s="32">
        <v>6.6</v>
      </c>
      <c r="R17" s="32">
        <v>13.5</v>
      </c>
      <c r="S17" s="32">
        <v>13.5</v>
      </c>
      <c r="V17" s="1489"/>
      <c r="W17" s="1490"/>
      <c r="X17" s="592" t="s">
        <v>92</v>
      </c>
      <c r="Y17" s="592" t="s">
        <v>335</v>
      </c>
      <c r="Z17" s="592" t="s">
        <v>336</v>
      </c>
      <c r="AA17" s="592" t="s">
        <v>337</v>
      </c>
      <c r="AB17" s="592" t="s">
        <v>338</v>
      </c>
      <c r="AC17" s="592" t="s">
        <v>97</v>
      </c>
      <c r="AD17" s="1499"/>
      <c r="AE17" s="10"/>
      <c r="AF17" s="10"/>
    </row>
    <row r="18" spans="1:32" s="30" customFormat="1" ht="23.1" customHeight="1">
      <c r="A18" s="1522"/>
      <c r="B18" s="26" t="s">
        <v>642</v>
      </c>
      <c r="C18" s="27">
        <f t="shared" si="0"/>
        <v>0.9</v>
      </c>
      <c r="D18" s="27">
        <f t="shared" si="0"/>
        <v>2.4</v>
      </c>
      <c r="E18" s="27">
        <f t="shared" si="0"/>
        <v>4.5999999999999996</v>
      </c>
      <c r="F18" s="27">
        <f t="shared" si="0"/>
        <v>6.6</v>
      </c>
      <c r="G18" s="27">
        <f t="shared" si="0"/>
        <v>6.6</v>
      </c>
      <c r="H18" s="27">
        <f t="shared" si="0"/>
        <v>9.9</v>
      </c>
      <c r="I18" s="28">
        <v>1</v>
      </c>
      <c r="J18" s="29">
        <f t="shared" ref="J18:J35" si="1">SUM(C18:H18)</f>
        <v>31</v>
      </c>
      <c r="L18" s="1522"/>
      <c r="M18" s="33" t="s">
        <v>642</v>
      </c>
      <c r="N18" s="34">
        <v>0.9</v>
      </c>
      <c r="O18" s="34">
        <v>2.4</v>
      </c>
      <c r="P18" s="34">
        <v>4.5999999999999996</v>
      </c>
      <c r="Q18" s="34">
        <v>6.6</v>
      </c>
      <c r="R18" s="34">
        <v>6.6</v>
      </c>
      <c r="S18" s="34">
        <v>9.9</v>
      </c>
      <c r="V18" s="593">
        <v>1</v>
      </c>
      <c r="W18" s="594" t="s">
        <v>342</v>
      </c>
      <c r="X18" s="595" t="s">
        <v>343</v>
      </c>
      <c r="Y18" s="595" t="s">
        <v>344</v>
      </c>
      <c r="Z18" s="595" t="s">
        <v>345</v>
      </c>
      <c r="AA18" s="595" t="s">
        <v>346</v>
      </c>
      <c r="AB18" s="595" t="s">
        <v>347</v>
      </c>
      <c r="AC18" s="595" t="s">
        <v>347</v>
      </c>
      <c r="AD18" s="596"/>
      <c r="AE18" s="10"/>
      <c r="AF18" s="10"/>
    </row>
    <row r="19" spans="1:32" s="30" customFormat="1" ht="23.1" customHeight="1">
      <c r="A19" s="1522"/>
      <c r="B19" s="26" t="s">
        <v>643</v>
      </c>
      <c r="C19" s="27">
        <f t="shared" si="0"/>
        <v>0.6</v>
      </c>
      <c r="D19" s="27">
        <f t="shared" si="0"/>
        <v>0.8</v>
      </c>
      <c r="E19" s="27">
        <f t="shared" si="0"/>
        <v>2.7</v>
      </c>
      <c r="F19" s="27">
        <f t="shared" si="0"/>
        <v>2.7</v>
      </c>
      <c r="G19" s="27">
        <f t="shared" si="0"/>
        <v>6.7</v>
      </c>
      <c r="H19" s="27">
        <f t="shared" si="0"/>
        <v>6.8</v>
      </c>
      <c r="I19" s="28">
        <v>1</v>
      </c>
      <c r="J19" s="29">
        <f t="shared" si="1"/>
        <v>20.3</v>
      </c>
      <c r="L19" s="1522"/>
      <c r="M19" s="33" t="s">
        <v>643</v>
      </c>
      <c r="N19" s="34">
        <v>0.6</v>
      </c>
      <c r="O19" s="34">
        <v>0.8</v>
      </c>
      <c r="P19" s="34">
        <v>2.7</v>
      </c>
      <c r="Q19" s="34">
        <v>2.7</v>
      </c>
      <c r="R19" s="34">
        <v>6.7</v>
      </c>
      <c r="S19" s="34">
        <v>6.8</v>
      </c>
      <c r="V19" s="597" t="s">
        <v>339</v>
      </c>
      <c r="W19" s="598" t="s">
        <v>348</v>
      </c>
      <c r="X19" s="595" t="s">
        <v>349</v>
      </c>
      <c r="Y19" s="595" t="s">
        <v>350</v>
      </c>
      <c r="Z19" s="595" t="s">
        <v>351</v>
      </c>
      <c r="AA19" s="595" t="s">
        <v>352</v>
      </c>
      <c r="AB19" s="595" t="s">
        <v>352</v>
      </c>
      <c r="AC19" s="595" t="s">
        <v>353</v>
      </c>
      <c r="AD19" s="599"/>
      <c r="AE19" s="10"/>
      <c r="AF19" s="10"/>
    </row>
    <row r="20" spans="1:32" s="30" customFormat="1" ht="23.1" customHeight="1">
      <c r="A20" s="1522"/>
      <c r="B20" s="26" t="s">
        <v>644</v>
      </c>
      <c r="C20" s="27">
        <f t="shared" si="0"/>
        <v>0.6</v>
      </c>
      <c r="D20" s="27">
        <f t="shared" si="0"/>
        <v>0.7</v>
      </c>
      <c r="E20" s="27">
        <f t="shared" si="0"/>
        <v>2.7</v>
      </c>
      <c r="F20" s="27">
        <f t="shared" si="0"/>
        <v>2.7</v>
      </c>
      <c r="G20" s="27">
        <f t="shared" si="0"/>
        <v>10.199999999999999</v>
      </c>
      <c r="H20" s="27">
        <f t="shared" si="0"/>
        <v>10.1</v>
      </c>
      <c r="I20" s="28">
        <v>1</v>
      </c>
      <c r="J20" s="29">
        <f t="shared" si="1"/>
        <v>27</v>
      </c>
      <c r="L20" s="1522"/>
      <c r="M20" s="33" t="s">
        <v>644</v>
      </c>
      <c r="N20" s="34">
        <v>0.6</v>
      </c>
      <c r="O20" s="34">
        <v>0.7</v>
      </c>
      <c r="P20" s="34">
        <v>2.7</v>
      </c>
      <c r="Q20" s="34">
        <v>2.7</v>
      </c>
      <c r="R20" s="34">
        <v>10.199999999999999</v>
      </c>
      <c r="S20" s="34">
        <v>10.1</v>
      </c>
      <c r="V20" s="597" t="s">
        <v>340</v>
      </c>
      <c r="W20" s="598" t="s">
        <v>354</v>
      </c>
      <c r="X20" s="595" t="s">
        <v>355</v>
      </c>
      <c r="Y20" s="595" t="s">
        <v>356</v>
      </c>
      <c r="Z20" s="595" t="s">
        <v>351</v>
      </c>
      <c r="AA20" s="595" t="s">
        <v>357</v>
      </c>
      <c r="AB20" s="595" t="s">
        <v>358</v>
      </c>
      <c r="AC20" s="595" t="s">
        <v>358</v>
      </c>
      <c r="AD20" s="599"/>
      <c r="AE20" s="10"/>
      <c r="AF20" s="10"/>
    </row>
    <row r="21" spans="1:32" s="30" customFormat="1" ht="23.1" customHeight="1">
      <c r="A21" s="1522"/>
      <c r="B21" s="26" t="s">
        <v>645</v>
      </c>
      <c r="C21" s="27">
        <f t="shared" si="0"/>
        <v>0.6</v>
      </c>
      <c r="D21" s="27">
        <f t="shared" si="0"/>
        <v>0.8</v>
      </c>
      <c r="E21" s="27">
        <f t="shared" si="0"/>
        <v>2.6</v>
      </c>
      <c r="F21" s="27">
        <f t="shared" si="0"/>
        <v>2.6</v>
      </c>
      <c r="G21" s="27">
        <f t="shared" si="0"/>
        <v>6.7</v>
      </c>
      <c r="H21" s="27">
        <f t="shared" si="0"/>
        <v>6.7</v>
      </c>
      <c r="I21" s="28">
        <v>1</v>
      </c>
      <c r="J21" s="29">
        <f t="shared" si="1"/>
        <v>20</v>
      </c>
      <c r="L21" s="1522"/>
      <c r="M21" s="33" t="s">
        <v>645</v>
      </c>
      <c r="N21" s="34">
        <v>0.6</v>
      </c>
      <c r="O21" s="34">
        <v>0.8</v>
      </c>
      <c r="P21" s="34">
        <v>2.6</v>
      </c>
      <c r="Q21" s="34">
        <v>2.6</v>
      </c>
      <c r="R21" s="34">
        <v>6.7</v>
      </c>
      <c r="S21" s="34">
        <v>6.7</v>
      </c>
      <c r="V21" s="597" t="s">
        <v>3</v>
      </c>
      <c r="W21" s="598" t="s">
        <v>359</v>
      </c>
      <c r="X21" s="595" t="s">
        <v>360</v>
      </c>
      <c r="Y21" s="595" t="s">
        <v>360</v>
      </c>
      <c r="Z21" s="595" t="s">
        <v>344</v>
      </c>
      <c r="AA21" s="595" t="s">
        <v>361</v>
      </c>
      <c r="AB21" s="595" t="s">
        <v>362</v>
      </c>
      <c r="AC21" s="595" t="s">
        <v>353</v>
      </c>
      <c r="AD21" s="599"/>
      <c r="AE21" s="10"/>
      <c r="AF21" s="10"/>
    </row>
    <row r="22" spans="1:32" s="30" customFormat="1" ht="23.1" customHeight="1">
      <c r="A22" s="1522"/>
      <c r="B22" s="26" t="s">
        <v>646</v>
      </c>
      <c r="C22" s="27">
        <f t="shared" si="0"/>
        <v>0.5</v>
      </c>
      <c r="D22" s="27">
        <f t="shared" si="0"/>
        <v>0.9</v>
      </c>
      <c r="E22" s="27">
        <f t="shared" si="0"/>
        <v>4</v>
      </c>
      <c r="F22" s="27">
        <f t="shared" si="0"/>
        <v>3.9</v>
      </c>
      <c r="G22" s="27">
        <f t="shared" si="0"/>
        <v>6.7</v>
      </c>
      <c r="H22" s="27">
        <f t="shared" si="0"/>
        <v>10</v>
      </c>
      <c r="I22" s="28">
        <v>1</v>
      </c>
      <c r="J22" s="29">
        <f t="shared" si="1"/>
        <v>26</v>
      </c>
      <c r="L22" s="1522"/>
      <c r="M22" s="33" t="s">
        <v>647</v>
      </c>
      <c r="N22" s="34">
        <v>0.5</v>
      </c>
      <c r="O22" s="34">
        <v>0.9</v>
      </c>
      <c r="P22" s="34">
        <v>4</v>
      </c>
      <c r="Q22" s="34">
        <v>3.9</v>
      </c>
      <c r="R22" s="34">
        <v>6.7</v>
      </c>
      <c r="S22" s="34">
        <v>10</v>
      </c>
      <c r="V22" s="597" t="s">
        <v>341</v>
      </c>
      <c r="W22" s="598" t="s">
        <v>363</v>
      </c>
      <c r="X22" s="595" t="s">
        <v>349</v>
      </c>
      <c r="Y22" s="595" t="s">
        <v>364</v>
      </c>
      <c r="Z22" s="595" t="s">
        <v>365</v>
      </c>
      <c r="AA22" s="595" t="s">
        <v>365</v>
      </c>
      <c r="AB22" s="595" t="s">
        <v>366</v>
      </c>
      <c r="AC22" s="595" t="s">
        <v>367</v>
      </c>
      <c r="AD22" s="599"/>
      <c r="AE22" s="10"/>
      <c r="AF22" s="10"/>
    </row>
    <row r="23" spans="1:32" s="30" customFormat="1" ht="23.1" customHeight="1">
      <c r="A23" s="1522"/>
      <c r="B23" s="26" t="s">
        <v>648</v>
      </c>
      <c r="C23" s="27">
        <f t="shared" si="0"/>
        <v>1.3</v>
      </c>
      <c r="D23" s="27">
        <f t="shared" si="0"/>
        <v>2</v>
      </c>
      <c r="E23" s="27">
        <f t="shared" si="0"/>
        <v>4.5999999999999996</v>
      </c>
      <c r="F23" s="27">
        <f t="shared" si="0"/>
        <v>0</v>
      </c>
      <c r="G23" s="27">
        <f t="shared" si="0"/>
        <v>13.2</v>
      </c>
      <c r="H23" s="27">
        <f t="shared" si="0"/>
        <v>13.2</v>
      </c>
      <c r="I23" s="28">
        <v>1</v>
      </c>
      <c r="J23" s="29">
        <f t="shared" si="1"/>
        <v>34.299999999999997</v>
      </c>
      <c r="L23" s="1522"/>
      <c r="M23" s="33" t="s">
        <v>648</v>
      </c>
      <c r="N23" s="34">
        <v>1.3</v>
      </c>
      <c r="O23" s="34">
        <v>2</v>
      </c>
      <c r="P23" s="34">
        <v>4.5999999999999996</v>
      </c>
      <c r="Q23" s="34">
        <v>0</v>
      </c>
      <c r="R23" s="34">
        <v>13.2</v>
      </c>
      <c r="S23" s="34">
        <v>13.2</v>
      </c>
      <c r="V23" s="600"/>
      <c r="W23" s="598" t="s">
        <v>368</v>
      </c>
      <c r="X23" s="595" t="s">
        <v>349</v>
      </c>
      <c r="Y23" s="595" t="s">
        <v>364</v>
      </c>
      <c r="Z23" s="595" t="s">
        <v>365</v>
      </c>
      <c r="AA23" s="595" t="s">
        <v>365</v>
      </c>
      <c r="AB23" s="595" t="s">
        <v>366</v>
      </c>
      <c r="AC23" s="595" t="s">
        <v>367</v>
      </c>
      <c r="AD23" s="599"/>
      <c r="AE23" s="10"/>
      <c r="AF23" s="10"/>
    </row>
    <row r="24" spans="1:32" s="30" customFormat="1" ht="23.1" customHeight="1">
      <c r="A24" s="1522"/>
      <c r="B24" s="26" t="s">
        <v>649</v>
      </c>
      <c r="C24" s="27">
        <f t="shared" si="0"/>
        <v>0.7</v>
      </c>
      <c r="D24" s="27">
        <f t="shared" si="0"/>
        <v>0.7</v>
      </c>
      <c r="E24" s="27">
        <f t="shared" si="0"/>
        <v>4.0999999999999996</v>
      </c>
      <c r="F24" s="27">
        <f t="shared" si="0"/>
        <v>4.0999999999999996</v>
      </c>
      <c r="G24" s="27">
        <f t="shared" si="0"/>
        <v>6.7</v>
      </c>
      <c r="H24" s="27">
        <f t="shared" si="0"/>
        <v>10.1</v>
      </c>
      <c r="I24" s="28">
        <v>1</v>
      </c>
      <c r="J24" s="29">
        <f t="shared" si="1"/>
        <v>26.4</v>
      </c>
      <c r="L24" s="1522"/>
      <c r="M24" s="33" t="s">
        <v>649</v>
      </c>
      <c r="N24" s="34">
        <v>0.7</v>
      </c>
      <c r="O24" s="34">
        <v>0.7</v>
      </c>
      <c r="P24" s="34">
        <v>4.0999999999999996</v>
      </c>
      <c r="Q24" s="34">
        <v>4.0999999999999996</v>
      </c>
      <c r="R24" s="34">
        <v>6.7</v>
      </c>
      <c r="S24" s="34">
        <v>10.1</v>
      </c>
      <c r="V24" s="600"/>
      <c r="W24" s="598" t="s">
        <v>369</v>
      </c>
      <c r="X24" s="595" t="s">
        <v>370</v>
      </c>
      <c r="Y24" s="595" t="s">
        <v>355</v>
      </c>
      <c r="Z24" s="595" t="s">
        <v>371</v>
      </c>
      <c r="AA24" s="595" t="s">
        <v>372</v>
      </c>
      <c r="AB24" s="595" t="s">
        <v>373</v>
      </c>
      <c r="AC24" s="595" t="s">
        <v>373</v>
      </c>
      <c r="AD24" s="599"/>
      <c r="AE24" s="10"/>
      <c r="AF24" s="10"/>
    </row>
    <row r="25" spans="1:32" s="30" customFormat="1" ht="23.1" customHeight="1">
      <c r="A25" s="1522"/>
      <c r="B25" s="26" t="s">
        <v>650</v>
      </c>
      <c r="C25" s="27">
        <f t="shared" si="0"/>
        <v>1.3</v>
      </c>
      <c r="D25" s="27">
        <f t="shared" si="0"/>
        <v>1.3</v>
      </c>
      <c r="E25" s="27">
        <f t="shared" si="0"/>
        <v>7.5</v>
      </c>
      <c r="F25" s="27">
        <f t="shared" si="0"/>
        <v>8.1</v>
      </c>
      <c r="G25" s="27">
        <f t="shared" si="0"/>
        <v>27</v>
      </c>
      <c r="H25" s="27">
        <f t="shared" si="0"/>
        <v>27</v>
      </c>
      <c r="I25" s="28">
        <v>1</v>
      </c>
      <c r="J25" s="29">
        <f t="shared" si="1"/>
        <v>72.2</v>
      </c>
      <c r="L25" s="1522"/>
      <c r="M25" s="33" t="s">
        <v>650</v>
      </c>
      <c r="N25" s="34">
        <v>1.3</v>
      </c>
      <c r="O25" s="34">
        <v>1.3</v>
      </c>
      <c r="P25" s="34">
        <v>7.5</v>
      </c>
      <c r="Q25" s="34">
        <v>8.1</v>
      </c>
      <c r="R25" s="34">
        <v>27</v>
      </c>
      <c r="S25" s="34">
        <v>27</v>
      </c>
      <c r="V25" s="600"/>
      <c r="W25" s="598" t="s">
        <v>374</v>
      </c>
      <c r="X25" s="595" t="s">
        <v>375</v>
      </c>
      <c r="Y25" s="595" t="s">
        <v>343</v>
      </c>
      <c r="Z25" s="595" t="s">
        <v>376</v>
      </c>
      <c r="AA25" s="595" t="s">
        <v>376</v>
      </c>
      <c r="AB25" s="595" t="s">
        <v>377</v>
      </c>
      <c r="AC25" s="595" t="s">
        <v>378</v>
      </c>
      <c r="AD25" s="599"/>
      <c r="AE25" s="10"/>
      <c r="AF25" s="10"/>
    </row>
    <row r="26" spans="1:32" s="30" customFormat="1" ht="23.1" customHeight="1">
      <c r="A26" s="1522"/>
      <c r="B26" s="26" t="s">
        <v>651</v>
      </c>
      <c r="C26" s="27">
        <f t="shared" si="0"/>
        <v>0.8</v>
      </c>
      <c r="D26" s="27">
        <f t="shared" si="0"/>
        <v>0.5</v>
      </c>
      <c r="E26" s="27">
        <f t="shared" si="0"/>
        <v>4</v>
      </c>
      <c r="F26" s="27">
        <f t="shared" si="0"/>
        <v>4</v>
      </c>
      <c r="G26" s="27">
        <f t="shared" si="0"/>
        <v>13.2</v>
      </c>
      <c r="H26" s="27">
        <f t="shared" si="0"/>
        <v>16.5</v>
      </c>
      <c r="I26" s="28">
        <v>1</v>
      </c>
      <c r="J26" s="29">
        <f t="shared" si="1"/>
        <v>39</v>
      </c>
      <c r="L26" s="1522"/>
      <c r="M26" s="33" t="s">
        <v>651</v>
      </c>
      <c r="N26" s="34">
        <v>0.8</v>
      </c>
      <c r="O26" s="34">
        <v>0.5</v>
      </c>
      <c r="P26" s="34">
        <v>4</v>
      </c>
      <c r="Q26" s="34">
        <v>4</v>
      </c>
      <c r="R26" s="34">
        <v>13.2</v>
      </c>
      <c r="S26" s="34">
        <v>16.5</v>
      </c>
      <c r="V26" s="600"/>
      <c r="W26" s="598" t="s">
        <v>379</v>
      </c>
      <c r="X26" s="595" t="s">
        <v>355</v>
      </c>
      <c r="Y26" s="595" t="s">
        <v>356</v>
      </c>
      <c r="Z26" s="595" t="s">
        <v>380</v>
      </c>
      <c r="AA26" s="595" t="s">
        <v>380</v>
      </c>
      <c r="AB26" s="595" t="s">
        <v>381</v>
      </c>
      <c r="AC26" s="595" t="s">
        <v>381</v>
      </c>
      <c r="AD26" s="599"/>
      <c r="AE26" s="10"/>
      <c r="AF26" s="10"/>
    </row>
    <row r="27" spans="1:32" s="30" customFormat="1" ht="23.1" customHeight="1">
      <c r="A27" s="1522"/>
      <c r="B27" s="26" t="s">
        <v>652</v>
      </c>
      <c r="C27" s="27">
        <f t="shared" si="0"/>
        <v>1</v>
      </c>
      <c r="D27" s="27">
        <f t="shared" si="0"/>
        <v>1.6</v>
      </c>
      <c r="E27" s="27">
        <f t="shared" si="0"/>
        <v>6.7</v>
      </c>
      <c r="F27" s="27">
        <f t="shared" si="0"/>
        <v>6.7</v>
      </c>
      <c r="G27" s="27">
        <f t="shared" si="0"/>
        <v>13.5</v>
      </c>
      <c r="H27" s="27">
        <f t="shared" si="0"/>
        <v>13.5</v>
      </c>
      <c r="I27" s="28">
        <v>1</v>
      </c>
      <c r="J27" s="29">
        <f t="shared" si="1"/>
        <v>43</v>
      </c>
      <c r="L27" s="1522"/>
      <c r="M27" s="33" t="s">
        <v>652</v>
      </c>
      <c r="N27" s="34">
        <v>1</v>
      </c>
      <c r="O27" s="34">
        <v>1.6</v>
      </c>
      <c r="P27" s="34">
        <v>6.7</v>
      </c>
      <c r="Q27" s="34">
        <v>6.7</v>
      </c>
      <c r="R27" s="34">
        <v>13.5</v>
      </c>
      <c r="S27" s="34">
        <v>13.5</v>
      </c>
      <c r="V27" s="600"/>
      <c r="W27" s="598" t="s">
        <v>382</v>
      </c>
      <c r="X27" s="595" t="s">
        <v>343</v>
      </c>
      <c r="Y27" s="595" t="s">
        <v>349</v>
      </c>
      <c r="Z27" s="595" t="s">
        <v>350</v>
      </c>
      <c r="AA27" s="595" t="s">
        <v>383</v>
      </c>
      <c r="AB27" s="595" t="s">
        <v>384</v>
      </c>
      <c r="AC27" s="595" t="s">
        <v>385</v>
      </c>
      <c r="AD27" s="599"/>
      <c r="AE27" s="10"/>
      <c r="AF27" s="10"/>
    </row>
    <row r="28" spans="1:32" s="30" customFormat="1" ht="23.1" customHeight="1">
      <c r="A28" s="1522"/>
      <c r="B28" s="35" t="s">
        <v>653</v>
      </c>
      <c r="C28" s="36">
        <f t="shared" si="0"/>
        <v>0.5</v>
      </c>
      <c r="D28" s="36">
        <f t="shared" si="0"/>
        <v>0.8</v>
      </c>
      <c r="E28" s="36">
        <f t="shared" si="0"/>
        <v>4</v>
      </c>
      <c r="F28" s="36">
        <f t="shared" si="0"/>
        <v>4</v>
      </c>
      <c r="G28" s="36">
        <f t="shared" si="0"/>
        <v>6.6</v>
      </c>
      <c r="H28" s="36">
        <f t="shared" si="0"/>
        <v>9.9</v>
      </c>
      <c r="I28" s="28">
        <v>1</v>
      </c>
      <c r="J28" s="29">
        <f t="shared" si="1"/>
        <v>25.8</v>
      </c>
      <c r="L28" s="1522"/>
      <c r="M28" s="37" t="s">
        <v>653</v>
      </c>
      <c r="N28" s="38">
        <v>0.5</v>
      </c>
      <c r="O28" s="38">
        <v>0.8</v>
      </c>
      <c r="P28" s="38">
        <v>4</v>
      </c>
      <c r="Q28" s="38">
        <v>4</v>
      </c>
      <c r="R28" s="38">
        <v>6.6</v>
      </c>
      <c r="S28" s="38">
        <v>9.9</v>
      </c>
      <c r="V28" s="600"/>
      <c r="W28" s="598" t="s">
        <v>386</v>
      </c>
      <c r="X28" s="595" t="s">
        <v>343</v>
      </c>
      <c r="Y28" s="595" t="s">
        <v>375</v>
      </c>
      <c r="Z28" s="595" t="s">
        <v>376</v>
      </c>
      <c r="AA28" s="595" t="s">
        <v>376</v>
      </c>
      <c r="AB28" s="595" t="s">
        <v>387</v>
      </c>
      <c r="AC28" s="595" t="s">
        <v>388</v>
      </c>
      <c r="AD28" s="599"/>
      <c r="AE28" s="10"/>
      <c r="AF28" s="10"/>
    </row>
    <row r="29" spans="1:32" s="30" customFormat="1" ht="23.1" customHeight="1">
      <c r="A29" s="1522"/>
      <c r="B29" s="35" t="s">
        <v>654</v>
      </c>
      <c r="C29" s="36">
        <f t="shared" si="0"/>
        <v>0.5</v>
      </c>
      <c r="D29" s="36">
        <f t="shared" si="0"/>
        <v>0.9</v>
      </c>
      <c r="E29" s="36">
        <f t="shared" si="0"/>
        <v>4.0999999999999996</v>
      </c>
      <c r="F29" s="36">
        <f t="shared" si="0"/>
        <v>4</v>
      </c>
      <c r="G29" s="36">
        <f t="shared" si="0"/>
        <v>6.8</v>
      </c>
      <c r="H29" s="36">
        <f t="shared" si="0"/>
        <v>10.199999999999999</v>
      </c>
      <c r="I29" s="28">
        <v>1</v>
      </c>
      <c r="J29" s="29">
        <f t="shared" si="1"/>
        <v>26.5</v>
      </c>
      <c r="L29" s="1522"/>
      <c r="M29" s="37" t="s">
        <v>654</v>
      </c>
      <c r="N29" s="38">
        <v>0.5</v>
      </c>
      <c r="O29" s="38">
        <v>0.9</v>
      </c>
      <c r="P29" s="38">
        <v>4.0999999999999996</v>
      </c>
      <c r="Q29" s="38">
        <v>4</v>
      </c>
      <c r="R29" s="38">
        <v>6.8</v>
      </c>
      <c r="S29" s="38">
        <v>10.199999999999999</v>
      </c>
      <c r="V29" s="600"/>
      <c r="W29" s="1500" t="s">
        <v>389</v>
      </c>
      <c r="X29" s="601" t="s">
        <v>343</v>
      </c>
      <c r="Y29" s="601">
        <v>1.2</v>
      </c>
      <c r="Z29" s="601">
        <v>4</v>
      </c>
      <c r="AA29" s="601">
        <v>3.6</v>
      </c>
      <c r="AB29" s="601">
        <v>8.4</v>
      </c>
      <c r="AC29" s="601">
        <v>14.5</v>
      </c>
      <c r="AD29" s="1502" t="s">
        <v>394</v>
      </c>
      <c r="AE29" s="10"/>
      <c r="AF29" s="10"/>
    </row>
    <row r="30" spans="1:32" s="30" customFormat="1" ht="23.1" customHeight="1">
      <c r="A30" s="1522"/>
      <c r="B30" s="26" t="s">
        <v>655</v>
      </c>
      <c r="C30" s="27">
        <f t="shared" si="0"/>
        <v>0.9</v>
      </c>
      <c r="D30" s="27">
        <f t="shared" si="0"/>
        <v>0.4</v>
      </c>
      <c r="E30" s="27">
        <f t="shared" si="0"/>
        <v>4</v>
      </c>
      <c r="F30" s="27">
        <f t="shared" si="0"/>
        <v>4</v>
      </c>
      <c r="G30" s="27">
        <f t="shared" si="0"/>
        <v>6.6</v>
      </c>
      <c r="H30" s="27">
        <f t="shared" si="0"/>
        <v>9.9</v>
      </c>
      <c r="I30" s="28">
        <v>1</v>
      </c>
      <c r="J30" s="29">
        <f t="shared" si="1"/>
        <v>25.8</v>
      </c>
      <c r="L30" s="1522"/>
      <c r="M30" s="33" t="s">
        <v>655</v>
      </c>
      <c r="N30" s="34">
        <v>0.9</v>
      </c>
      <c r="O30" s="34">
        <v>0.4</v>
      </c>
      <c r="P30" s="34">
        <v>4</v>
      </c>
      <c r="Q30" s="34">
        <v>4</v>
      </c>
      <c r="R30" s="34">
        <v>6.6</v>
      </c>
      <c r="S30" s="34">
        <v>9.9</v>
      </c>
      <c r="V30" s="600"/>
      <c r="W30" s="1501"/>
      <c r="X30" s="602">
        <v>-5.7</v>
      </c>
      <c r="Y30" s="602" t="s">
        <v>390</v>
      </c>
      <c r="Z30" s="602" t="s">
        <v>391</v>
      </c>
      <c r="AA30" s="602" t="s">
        <v>392</v>
      </c>
      <c r="AB30" s="602" t="s">
        <v>393</v>
      </c>
      <c r="AC30" s="602" t="s">
        <v>393</v>
      </c>
      <c r="AD30" s="1503"/>
      <c r="AE30" s="10"/>
      <c r="AF30" s="10"/>
    </row>
    <row r="31" spans="1:32" s="30" customFormat="1" ht="23.1" customHeight="1">
      <c r="A31" s="1522"/>
      <c r="B31" s="26" t="s">
        <v>656</v>
      </c>
      <c r="C31" s="27">
        <f t="shared" si="0"/>
        <v>0.6</v>
      </c>
      <c r="D31" s="27">
        <f t="shared" ref="D31" si="2">ROUND($I31*O31,1)</f>
        <v>1</v>
      </c>
      <c r="E31" s="27">
        <f t="shared" ref="E31" si="3">ROUND($I31*P31,1)</f>
        <v>2.9</v>
      </c>
      <c r="F31" s="27">
        <f t="shared" ref="F31" si="4">ROUND($I31*Q31,1)</f>
        <v>3</v>
      </c>
      <c r="G31" s="27">
        <f t="shared" ref="G31" si="5">ROUND($I31*R31,1)</f>
        <v>6.5</v>
      </c>
      <c r="H31" s="27">
        <f t="shared" ref="H31" si="6">ROUND($I31*S31,1)</f>
        <v>7.8</v>
      </c>
      <c r="I31" s="28">
        <v>1</v>
      </c>
      <c r="J31" s="29">
        <f t="shared" si="1"/>
        <v>21.8</v>
      </c>
      <c r="L31" s="1522"/>
      <c r="M31" s="33" t="s">
        <v>657</v>
      </c>
      <c r="N31" s="34">
        <v>0.6</v>
      </c>
      <c r="O31" s="34">
        <v>1</v>
      </c>
      <c r="P31" s="34">
        <v>2.9</v>
      </c>
      <c r="Q31" s="34">
        <v>3</v>
      </c>
      <c r="R31" s="34">
        <v>6.5</v>
      </c>
      <c r="S31" s="34">
        <v>7.8</v>
      </c>
      <c r="V31" s="600"/>
      <c r="W31" s="1500" t="s">
        <v>395</v>
      </c>
      <c r="X31" s="601">
        <v>0.6</v>
      </c>
      <c r="Y31" s="601" t="s">
        <v>370</v>
      </c>
      <c r="Z31" s="601">
        <v>4</v>
      </c>
      <c r="AA31" s="601">
        <v>3.3</v>
      </c>
      <c r="AB31" s="601">
        <v>11</v>
      </c>
      <c r="AC31" s="601">
        <v>14.5</v>
      </c>
      <c r="AD31" s="1502" t="s">
        <v>394</v>
      </c>
      <c r="AE31" s="10"/>
      <c r="AF31" s="10"/>
    </row>
    <row r="32" spans="1:32" s="30" customFormat="1" ht="23.1" customHeight="1">
      <c r="A32" s="1531"/>
      <c r="B32" s="26" t="s">
        <v>658</v>
      </c>
      <c r="C32" s="27">
        <f t="shared" ref="C32" si="7">ROUND($I32*N32,1)</f>
        <v>4.5</v>
      </c>
      <c r="D32" s="27">
        <f t="shared" ref="D32" si="8">ROUND($I32*O32,1)</f>
        <v>7.9</v>
      </c>
      <c r="E32" s="27">
        <f t="shared" ref="E32" si="9">ROUND($I32*P32,1)</f>
        <v>13.6</v>
      </c>
      <c r="F32" s="27">
        <f t="shared" ref="F32" si="10">ROUND($I32*Q32,1)</f>
        <v>14.8</v>
      </c>
      <c r="G32" s="27">
        <f t="shared" ref="G32" si="11">ROUND($I32*R32,1)</f>
        <v>17.399999999999999</v>
      </c>
      <c r="H32" s="27">
        <f t="shared" ref="H32" si="12">ROUND($I32*S32,1)</f>
        <v>17.399999999999999</v>
      </c>
      <c r="I32" s="28">
        <v>1</v>
      </c>
      <c r="J32" s="29"/>
      <c r="L32" s="1531"/>
      <c r="M32" s="553" t="s">
        <v>658</v>
      </c>
      <c r="N32" s="554">
        <v>4.5</v>
      </c>
      <c r="O32" s="554">
        <v>7.9</v>
      </c>
      <c r="P32" s="554">
        <v>13.6</v>
      </c>
      <c r="Q32" s="554">
        <v>14.8</v>
      </c>
      <c r="R32" s="554">
        <v>17.399999999999999</v>
      </c>
      <c r="S32" s="554">
        <v>17.399999999999999</v>
      </c>
      <c r="V32" s="600"/>
      <c r="W32" s="1504"/>
      <c r="X32" s="603"/>
      <c r="Y32" s="603"/>
      <c r="Z32" s="603"/>
      <c r="AA32" s="603"/>
      <c r="AB32" s="603"/>
      <c r="AC32" s="603"/>
      <c r="AD32" s="1505"/>
      <c r="AE32" s="10"/>
      <c r="AF32" s="10"/>
    </row>
    <row r="33" spans="1:32" s="30" customFormat="1" ht="23.1" customHeight="1">
      <c r="A33" s="1520" t="s">
        <v>659</v>
      </c>
      <c r="B33" s="26" t="s">
        <v>660</v>
      </c>
      <c r="C33" s="27">
        <f t="shared" ref="C33:H34" si="13">ROUND($I33*N33,1)</f>
        <v>0.3</v>
      </c>
      <c r="D33" s="27">
        <f t="shared" si="13"/>
        <v>1.3</v>
      </c>
      <c r="E33" s="27">
        <f t="shared" si="13"/>
        <v>4.0999999999999996</v>
      </c>
      <c r="F33" s="27">
        <f t="shared" si="13"/>
        <v>4</v>
      </c>
      <c r="G33" s="27">
        <f t="shared" si="13"/>
        <v>6.9</v>
      </c>
      <c r="H33" s="27">
        <f t="shared" si="13"/>
        <v>5.9</v>
      </c>
      <c r="I33" s="28">
        <v>1</v>
      </c>
      <c r="J33" s="29">
        <f t="shared" si="1"/>
        <v>22.5</v>
      </c>
      <c r="L33" s="1521" t="s">
        <v>659</v>
      </c>
      <c r="M33" s="31" t="s">
        <v>661</v>
      </c>
      <c r="N33" s="32">
        <v>0.3</v>
      </c>
      <c r="O33" s="32">
        <v>1.3</v>
      </c>
      <c r="P33" s="32">
        <v>4.0999999999999996</v>
      </c>
      <c r="Q33" s="32">
        <v>4</v>
      </c>
      <c r="R33" s="32">
        <v>6.9</v>
      </c>
      <c r="S33" s="32">
        <v>5.9</v>
      </c>
      <c r="V33" s="600"/>
      <c r="W33" s="1501"/>
      <c r="X33" s="602" t="s">
        <v>396</v>
      </c>
      <c r="Y33" s="602">
        <v>-4.2</v>
      </c>
      <c r="Z33" s="602" t="s">
        <v>397</v>
      </c>
      <c r="AA33" s="602" t="s">
        <v>398</v>
      </c>
      <c r="AB33" s="602">
        <v>-37.9</v>
      </c>
      <c r="AC33" s="602" t="s">
        <v>399</v>
      </c>
      <c r="AD33" s="1503"/>
      <c r="AE33" s="10"/>
      <c r="AF33" s="10"/>
    </row>
    <row r="34" spans="1:32" s="30" customFormat="1" ht="23.1" customHeight="1">
      <c r="A34" s="1520"/>
      <c r="B34" s="26" t="s">
        <v>662</v>
      </c>
      <c r="C34" s="27">
        <f t="shared" si="13"/>
        <v>0.3</v>
      </c>
      <c r="D34" s="27">
        <f t="shared" si="13"/>
        <v>1.2</v>
      </c>
      <c r="E34" s="27">
        <f t="shared" si="13"/>
        <v>4</v>
      </c>
      <c r="F34" s="27">
        <f t="shared" si="13"/>
        <v>4</v>
      </c>
      <c r="G34" s="27">
        <f t="shared" si="13"/>
        <v>6.6</v>
      </c>
      <c r="H34" s="27">
        <f t="shared" si="13"/>
        <v>10.1</v>
      </c>
      <c r="I34" s="28">
        <v>1</v>
      </c>
      <c r="J34" s="29">
        <f t="shared" si="1"/>
        <v>26.200000000000003</v>
      </c>
      <c r="L34" s="1522"/>
      <c r="M34" s="39" t="s">
        <v>663</v>
      </c>
      <c r="N34" s="40">
        <v>0.3</v>
      </c>
      <c r="O34" s="40">
        <v>1.2</v>
      </c>
      <c r="P34" s="40">
        <v>4</v>
      </c>
      <c r="Q34" s="40">
        <v>4</v>
      </c>
      <c r="R34" s="40">
        <v>6.6</v>
      </c>
      <c r="S34" s="40">
        <v>10.1</v>
      </c>
      <c r="V34" s="600"/>
      <c r="W34" s="598" t="s">
        <v>400</v>
      </c>
      <c r="X34" s="595" t="s">
        <v>370</v>
      </c>
      <c r="Y34" s="595" t="s">
        <v>401</v>
      </c>
      <c r="Z34" s="595" t="s">
        <v>402</v>
      </c>
      <c r="AA34" s="595" t="s">
        <v>402</v>
      </c>
      <c r="AB34" s="595" t="s">
        <v>366</v>
      </c>
      <c r="AC34" s="595" t="s">
        <v>403</v>
      </c>
      <c r="AD34" s="599"/>
      <c r="AE34" s="10"/>
      <c r="AF34" s="10"/>
    </row>
    <row r="35" spans="1:32" s="30" customFormat="1" ht="23.1" customHeight="1">
      <c r="A35" s="1543" t="s">
        <v>664</v>
      </c>
      <c r="B35" s="1543"/>
      <c r="C35" s="27">
        <v>2</v>
      </c>
      <c r="D35" s="27">
        <v>2</v>
      </c>
      <c r="E35" s="27">
        <v>2</v>
      </c>
      <c r="F35" s="27">
        <v>4</v>
      </c>
      <c r="G35" s="27">
        <v>4</v>
      </c>
      <c r="H35" s="27">
        <v>4</v>
      </c>
      <c r="I35" s="28">
        <v>1</v>
      </c>
      <c r="J35" s="29">
        <f t="shared" si="1"/>
        <v>18</v>
      </c>
      <c r="L35" s="1511" t="s">
        <v>664</v>
      </c>
      <c r="M35" s="1512"/>
      <c r="N35" s="27">
        <v>2</v>
      </c>
      <c r="O35" s="27">
        <v>2</v>
      </c>
      <c r="P35" s="27">
        <v>2</v>
      </c>
      <c r="Q35" s="27">
        <v>4</v>
      </c>
      <c r="R35" s="27">
        <v>4</v>
      </c>
      <c r="S35" s="27">
        <v>4</v>
      </c>
      <c r="V35" s="600"/>
      <c r="W35" s="598" t="s">
        <v>404</v>
      </c>
      <c r="X35" s="595" t="s">
        <v>343</v>
      </c>
      <c r="Y35" s="595" t="s">
        <v>375</v>
      </c>
      <c r="Z35" s="595" t="s">
        <v>405</v>
      </c>
      <c r="AA35" s="595" t="s">
        <v>406</v>
      </c>
      <c r="AB35" s="595" t="s">
        <v>407</v>
      </c>
      <c r="AC35" s="595" t="s">
        <v>408</v>
      </c>
      <c r="AD35" s="599"/>
      <c r="AE35" s="10"/>
      <c r="AF35" s="10"/>
    </row>
    <row r="36" spans="1:32" s="30" customFormat="1" ht="84.95" customHeight="1">
      <c r="A36" s="1523" t="s">
        <v>927</v>
      </c>
      <c r="B36" s="1524"/>
      <c r="C36" s="1524"/>
      <c r="D36" s="1524"/>
      <c r="E36" s="1524"/>
      <c r="F36" s="1524"/>
      <c r="G36" s="1524"/>
      <c r="H36" s="1524"/>
      <c r="I36" s="1524"/>
      <c r="J36" s="29"/>
      <c r="V36" s="600"/>
      <c r="W36" s="1494" t="s">
        <v>409</v>
      </c>
      <c r="X36" s="604">
        <v>12.6</v>
      </c>
      <c r="Y36" s="604">
        <v>18.899999999999999</v>
      </c>
      <c r="Z36" s="604">
        <v>65.900000000000006</v>
      </c>
      <c r="AA36" s="604">
        <v>69.900000000000006</v>
      </c>
      <c r="AB36" s="604">
        <v>157.6</v>
      </c>
      <c r="AC36" s="604">
        <v>196.3</v>
      </c>
      <c r="AD36" s="1506"/>
      <c r="AE36" s="10"/>
      <c r="AF36" s="10"/>
    </row>
    <row r="37" spans="1:32" s="30" customFormat="1" ht="22.15" customHeight="1">
      <c r="A37" s="66" t="s">
        <v>665</v>
      </c>
      <c r="B37" s="368"/>
      <c r="C37" s="405"/>
      <c r="D37" s="368"/>
      <c r="E37" s="368"/>
      <c r="F37" s="368"/>
      <c r="G37" s="368"/>
      <c r="J37" s="368"/>
      <c r="K37" s="368"/>
      <c r="L37" s="30" t="s">
        <v>666</v>
      </c>
      <c r="V37" s="605"/>
      <c r="W37" s="1495"/>
      <c r="X37" s="606">
        <v>-19.2</v>
      </c>
      <c r="Y37" s="606">
        <v>-30.6</v>
      </c>
      <c r="Z37" s="606">
        <v>-88.8</v>
      </c>
      <c r="AA37" s="606">
        <v>-92.9</v>
      </c>
      <c r="AB37" s="606">
        <v>-197.9</v>
      </c>
      <c r="AC37" s="606">
        <v>-239.1</v>
      </c>
      <c r="AD37" s="1507"/>
      <c r="AE37" s="10"/>
      <c r="AF37" s="10"/>
    </row>
    <row r="38" spans="1:32" s="30" customFormat="1" ht="22.15" customHeight="1">
      <c r="A38" s="453" t="s">
        <v>667</v>
      </c>
      <c r="B38" s="368"/>
      <c r="C38" s="368"/>
      <c r="D38" s="368"/>
      <c r="E38" s="368"/>
      <c r="F38" s="368"/>
      <c r="I38" s="70" t="s">
        <v>668</v>
      </c>
      <c r="J38" s="368"/>
      <c r="K38" s="368"/>
      <c r="L38" s="30" t="s">
        <v>57</v>
      </c>
      <c r="N38" s="17"/>
      <c r="O38" s="17"/>
      <c r="P38" s="17"/>
      <c r="Q38" s="30" t="s">
        <v>58</v>
      </c>
      <c r="R38" s="17"/>
      <c r="S38" s="50"/>
      <c r="T38" s="17"/>
      <c r="V38" s="1508" t="s">
        <v>410</v>
      </c>
      <c r="W38" s="598" t="s">
        <v>411</v>
      </c>
      <c r="X38" s="595" t="s">
        <v>349</v>
      </c>
      <c r="Y38" s="595" t="s">
        <v>412</v>
      </c>
      <c r="Z38" s="595" t="s">
        <v>413</v>
      </c>
      <c r="AA38" s="595" t="s">
        <v>414</v>
      </c>
      <c r="AB38" s="595" t="s">
        <v>415</v>
      </c>
      <c r="AC38" s="595" t="s">
        <v>416</v>
      </c>
      <c r="AD38" s="599"/>
      <c r="AE38" s="10"/>
      <c r="AF38" s="10"/>
    </row>
    <row r="39" spans="1:32" s="30" customFormat="1" ht="22.15" customHeight="1">
      <c r="A39" s="406" t="s">
        <v>669</v>
      </c>
      <c r="B39" s="407"/>
      <c r="C39" s="362" t="s">
        <v>670</v>
      </c>
      <c r="D39" s="1525" t="s">
        <v>671</v>
      </c>
      <c r="E39" s="1526"/>
      <c r="F39" s="1525" t="s">
        <v>672</v>
      </c>
      <c r="G39" s="1526"/>
      <c r="H39" s="1527">
        <f>SUM(H40:I42)</f>
        <v>1638522.5936750001</v>
      </c>
      <c r="I39" s="1528"/>
      <c r="L39" s="30" t="s">
        <v>59</v>
      </c>
      <c r="N39" s="17"/>
      <c r="O39" s="70" t="s">
        <v>60</v>
      </c>
      <c r="P39" s="17"/>
      <c r="Q39" s="17"/>
      <c r="R39" s="17"/>
      <c r="S39" s="50"/>
      <c r="T39" s="17"/>
      <c r="V39" s="1509"/>
      <c r="W39" s="598" t="s">
        <v>417</v>
      </c>
      <c r="X39" s="595" t="s">
        <v>418</v>
      </c>
      <c r="Y39" s="595" t="s">
        <v>364</v>
      </c>
      <c r="Z39" s="595" t="s">
        <v>344</v>
      </c>
      <c r="AA39" s="595" t="s">
        <v>405</v>
      </c>
      <c r="AB39" s="595" t="s">
        <v>419</v>
      </c>
      <c r="AC39" s="595" t="s">
        <v>420</v>
      </c>
      <c r="AD39" s="599"/>
      <c r="AE39" s="10"/>
      <c r="AF39" s="10"/>
    </row>
    <row r="40" spans="1:32" s="30" customFormat="1" ht="22.15" customHeight="1">
      <c r="A40" s="408" t="s">
        <v>673</v>
      </c>
      <c r="B40" s="409"/>
      <c r="C40" s="410">
        <v>100</v>
      </c>
      <c r="D40" s="411"/>
      <c r="E40" s="412">
        <v>200</v>
      </c>
      <c r="F40" s="408"/>
      <c r="G40" s="403">
        <f>+((12150-5150)+((C40-50)/10*157))*용역비총괄표!O9</f>
        <v>7432.3161449999998</v>
      </c>
      <c r="H40" s="1529">
        <f>E40*G40</f>
        <v>1486463.2290000001</v>
      </c>
      <c r="I40" s="1530"/>
      <c r="L40" s="561" t="s">
        <v>61</v>
      </c>
      <c r="M40" s="561" t="s">
        <v>62</v>
      </c>
      <c r="N40" s="561" t="s">
        <v>63</v>
      </c>
      <c r="O40" s="561" t="s">
        <v>64</v>
      </c>
      <c r="P40" s="120"/>
      <c r="Q40" s="561" t="s">
        <v>30</v>
      </c>
      <c r="R40" s="121" t="s">
        <v>65</v>
      </c>
      <c r="S40" s="121" t="s">
        <v>66</v>
      </c>
      <c r="T40" s="121" t="s">
        <v>67</v>
      </c>
      <c r="V40" s="1510"/>
      <c r="W40" s="595" t="s">
        <v>409</v>
      </c>
      <c r="X40" s="607">
        <v>1</v>
      </c>
      <c r="Y40" s="607">
        <v>3.4</v>
      </c>
      <c r="Z40" s="607">
        <v>7.7</v>
      </c>
      <c r="AA40" s="607">
        <v>7.2</v>
      </c>
      <c r="AB40" s="607">
        <v>17.7</v>
      </c>
      <c r="AC40" s="607">
        <v>19.5</v>
      </c>
      <c r="AD40" s="599"/>
      <c r="AE40" s="10"/>
      <c r="AF40" s="10"/>
    </row>
    <row r="41" spans="1:32" s="30" customFormat="1" ht="22.15" customHeight="1">
      <c r="A41" s="413" t="s">
        <v>674</v>
      </c>
      <c r="B41" s="414"/>
      <c r="C41" s="37">
        <v>100</v>
      </c>
      <c r="D41" s="413"/>
      <c r="E41" s="415">
        <v>1</v>
      </c>
      <c r="F41" s="413"/>
      <c r="G41" s="404">
        <f>((15370+(C41-50)/10*183)*5)*용역비총괄표!O9</f>
        <v>77736.203225000005</v>
      </c>
      <c r="H41" s="1529">
        <f>E41*G41</f>
        <v>77736.203225000005</v>
      </c>
      <c r="I41" s="1530"/>
      <c r="J41" s="257"/>
      <c r="L41" s="1484" t="s">
        <v>68</v>
      </c>
      <c r="M41" s="561" t="s">
        <v>69</v>
      </c>
      <c r="N41" s="119">
        <v>15080</v>
      </c>
      <c r="O41" s="119">
        <v>132</v>
      </c>
      <c r="P41" s="17"/>
      <c r="Q41" s="561" t="s">
        <v>68</v>
      </c>
      <c r="R41" s="122">
        <v>8560</v>
      </c>
      <c r="S41" s="122">
        <v>6690</v>
      </c>
      <c r="T41" s="122">
        <v>4420</v>
      </c>
      <c r="V41" s="1513" t="s">
        <v>3</v>
      </c>
      <c r="W41" s="1514"/>
      <c r="X41" s="604">
        <v>13.6</v>
      </c>
      <c r="Y41" s="604">
        <v>22.3</v>
      </c>
      <c r="Z41" s="604">
        <v>73.599999999999994</v>
      </c>
      <c r="AA41" s="604">
        <v>77.099999999999994</v>
      </c>
      <c r="AB41" s="604">
        <v>175.3</v>
      </c>
      <c r="AC41" s="604">
        <v>215.8</v>
      </c>
      <c r="AD41" s="1506"/>
      <c r="AE41" s="10"/>
      <c r="AF41" s="10"/>
    </row>
    <row r="42" spans="1:32" s="30" customFormat="1" ht="22.15" customHeight="1" thickBot="1">
      <c r="A42" s="416" t="s">
        <v>675</v>
      </c>
      <c r="B42" s="417"/>
      <c r="C42" s="418">
        <v>100</v>
      </c>
      <c r="D42" s="416"/>
      <c r="E42" s="419">
        <v>10</v>
      </c>
      <c r="F42" s="416"/>
      <c r="G42" s="420">
        <f>((12150-5150)+((C42-50)/10*157))*용역비총괄표!O9</f>
        <v>7432.3161449999998</v>
      </c>
      <c r="H42" s="1539">
        <f>E42*G42</f>
        <v>74323.16145</v>
      </c>
      <c r="I42" s="1540"/>
      <c r="J42" s="257"/>
      <c r="L42" s="1485"/>
      <c r="M42" s="561" t="s">
        <v>70</v>
      </c>
      <c r="N42" s="119">
        <v>15270</v>
      </c>
      <c r="O42" s="119">
        <v>157</v>
      </c>
      <c r="P42" s="17"/>
      <c r="Q42" s="561" t="s">
        <v>71</v>
      </c>
      <c r="R42" s="122">
        <v>6780</v>
      </c>
      <c r="S42" s="122">
        <v>5150</v>
      </c>
      <c r="T42" s="122">
        <v>3500</v>
      </c>
      <c r="V42" s="1515"/>
      <c r="W42" s="1516"/>
      <c r="X42" s="608" t="s">
        <v>421</v>
      </c>
      <c r="Y42" s="608" t="s">
        <v>422</v>
      </c>
      <c r="Z42" s="608" t="s">
        <v>423</v>
      </c>
      <c r="AA42" s="608" t="s">
        <v>424</v>
      </c>
      <c r="AB42" s="608" t="s">
        <v>425</v>
      </c>
      <c r="AC42" s="608" t="s">
        <v>426</v>
      </c>
      <c r="AD42" s="1517"/>
      <c r="AE42" s="10"/>
      <c r="AF42" s="10"/>
    </row>
    <row r="43" spans="1:32" s="30" customFormat="1" ht="28.5" customHeight="1" thickBot="1">
      <c r="A43" s="406" t="s">
        <v>676</v>
      </c>
      <c r="B43" s="407"/>
      <c r="C43" s="35"/>
      <c r="D43" s="421"/>
      <c r="E43" s="422"/>
      <c r="F43" s="421"/>
      <c r="G43" s="423"/>
      <c r="H43" s="1527">
        <f>SUM(H44:I46)</f>
        <v>486513.59120000002</v>
      </c>
      <c r="I43" s="1528"/>
      <c r="L43" s="1486"/>
      <c r="M43" s="561" t="s">
        <v>72</v>
      </c>
      <c r="N43" s="119">
        <v>15370</v>
      </c>
      <c r="O43" s="119">
        <v>183</v>
      </c>
      <c r="P43" s="17"/>
      <c r="Q43" s="561" t="s">
        <v>73</v>
      </c>
      <c r="R43" s="122">
        <v>4620</v>
      </c>
      <c r="S43" s="122">
        <v>3470</v>
      </c>
      <c r="T43" s="122">
        <v>2380</v>
      </c>
      <c r="V43" s="1518" t="s">
        <v>427</v>
      </c>
      <c r="W43" s="1519"/>
      <c r="X43" s="609" t="s">
        <v>428</v>
      </c>
      <c r="Y43" s="609" t="s">
        <v>428</v>
      </c>
      <c r="Z43" s="609" t="s">
        <v>428</v>
      </c>
      <c r="AA43" s="609" t="s">
        <v>429</v>
      </c>
      <c r="AB43" s="609" t="s">
        <v>429</v>
      </c>
      <c r="AC43" s="609" t="s">
        <v>429</v>
      </c>
      <c r="AD43" s="610"/>
      <c r="AE43" s="10"/>
      <c r="AF43" s="10"/>
    </row>
    <row r="44" spans="1:32" s="30" customFormat="1" ht="22.15" customHeight="1">
      <c r="A44" s="408" t="s">
        <v>677</v>
      </c>
      <c r="B44" s="409"/>
      <c r="C44" s="410">
        <v>100</v>
      </c>
      <c r="D44" s="408"/>
      <c r="E44" s="424">
        <v>50</v>
      </c>
      <c r="F44" s="408"/>
      <c r="G44" s="403">
        <f>((12150-5150)+((C44-50)/10*157))*용역비총괄표!O9</f>
        <v>7432.3161449999998</v>
      </c>
      <c r="H44" s="1541">
        <f>E44*G44</f>
        <v>371615.80725000001</v>
      </c>
      <c r="I44" s="1542"/>
      <c r="L44" s="1484" t="s">
        <v>71</v>
      </c>
      <c r="M44" s="561" t="s">
        <v>69</v>
      </c>
      <c r="N44" s="119">
        <v>11960</v>
      </c>
      <c r="O44" s="119">
        <v>122</v>
      </c>
      <c r="P44" s="17"/>
      <c r="Q44" s="561" t="s">
        <v>74</v>
      </c>
      <c r="R44" s="122">
        <v>2950</v>
      </c>
      <c r="S44" s="122">
        <v>2320</v>
      </c>
      <c r="T44" s="122">
        <v>1530</v>
      </c>
      <c r="V44" s="1496" t="s">
        <v>678</v>
      </c>
      <c r="W44" s="1496"/>
      <c r="X44" s="1496"/>
      <c r="Y44" s="1496"/>
      <c r="Z44" s="1496"/>
      <c r="AA44" s="1496"/>
      <c r="AB44" s="1496"/>
      <c r="AC44" s="1496"/>
      <c r="AD44" s="1496"/>
      <c r="AE44" s="10"/>
      <c r="AF44" s="10"/>
    </row>
    <row r="45" spans="1:32" s="30" customFormat="1" ht="22.15" customHeight="1">
      <c r="A45" s="413" t="s">
        <v>679</v>
      </c>
      <c r="B45" s="414"/>
      <c r="C45" s="37">
        <v>100</v>
      </c>
      <c r="D45" s="413"/>
      <c r="E45" s="415">
        <v>1</v>
      </c>
      <c r="F45" s="413"/>
      <c r="G45" s="404">
        <f>((15370+(C45-50)/10*183)*5)*용역비총괄표!O9</f>
        <v>77736.203225000005</v>
      </c>
      <c r="H45" s="1529">
        <f>E45*G45</f>
        <v>77736.203225000005</v>
      </c>
      <c r="I45" s="1530"/>
      <c r="L45" s="1485"/>
      <c r="M45" s="561" t="s">
        <v>70</v>
      </c>
      <c r="N45" s="119">
        <v>12040</v>
      </c>
      <c r="O45" s="119">
        <v>140</v>
      </c>
      <c r="P45" s="17"/>
      <c r="Q45" s="561" t="s">
        <v>75</v>
      </c>
      <c r="R45" s="122">
        <v>2390</v>
      </c>
      <c r="S45" s="122">
        <v>1500</v>
      </c>
      <c r="T45" s="122">
        <v>1240</v>
      </c>
      <c r="V45" s="1497"/>
      <c r="W45" s="1497"/>
      <c r="X45" s="1497"/>
      <c r="Y45" s="1497"/>
      <c r="Z45" s="1497"/>
      <c r="AA45" s="1497"/>
      <c r="AB45" s="1497"/>
      <c r="AC45" s="1497"/>
      <c r="AD45" s="1497"/>
      <c r="AE45" s="10"/>
      <c r="AF45" s="10"/>
    </row>
    <row r="46" spans="1:32" s="30" customFormat="1" ht="22.15" customHeight="1">
      <c r="A46" s="416" t="s">
        <v>680</v>
      </c>
      <c r="B46" s="417"/>
      <c r="C46" s="418">
        <v>100</v>
      </c>
      <c r="D46" s="411"/>
      <c r="E46" s="419">
        <v>5</v>
      </c>
      <c r="F46" s="416"/>
      <c r="G46" s="420">
        <f>((12150-5150)+((C46-50)/10*157))*용역비총괄표!O9</f>
        <v>7432.3161449999998</v>
      </c>
      <c r="H46" s="1539">
        <f>E46*G46</f>
        <v>37161.580725</v>
      </c>
      <c r="I46" s="1540"/>
      <c r="L46" s="1486"/>
      <c r="M46" s="561" t="s">
        <v>72</v>
      </c>
      <c r="N46" s="119">
        <v>12150</v>
      </c>
      <c r="O46" s="119">
        <v>157</v>
      </c>
      <c r="P46" s="17"/>
      <c r="Q46" s="30" t="s">
        <v>76</v>
      </c>
      <c r="R46" s="17"/>
      <c r="S46" s="50"/>
      <c r="V46" s="1497"/>
      <c r="W46" s="1497"/>
      <c r="X46" s="1497"/>
      <c r="Y46" s="1497"/>
      <c r="Z46" s="1497"/>
      <c r="AA46" s="1497"/>
      <c r="AB46" s="1497"/>
      <c r="AC46" s="1497"/>
      <c r="AD46" s="1497"/>
      <c r="AE46" s="10"/>
      <c r="AF46" s="10"/>
    </row>
    <row r="47" spans="1:32" s="30" customFormat="1" ht="22.15" customHeight="1">
      <c r="A47" s="425" t="s">
        <v>681</v>
      </c>
      <c r="B47" s="426"/>
      <c r="C47" s="362"/>
      <c r="D47" s="427"/>
      <c r="E47" s="558"/>
      <c r="F47" s="421"/>
      <c r="G47" s="423"/>
      <c r="H47" s="1527">
        <f>H39+H43</f>
        <v>2125036.1848750003</v>
      </c>
      <c r="I47" s="1528"/>
      <c r="L47" s="1484" t="s">
        <v>73</v>
      </c>
      <c r="M47" s="561" t="s">
        <v>69</v>
      </c>
      <c r="N47" s="119">
        <v>8070</v>
      </c>
      <c r="O47" s="119">
        <v>81</v>
      </c>
      <c r="P47" s="17"/>
      <c r="Q47" s="30" t="s">
        <v>77</v>
      </c>
      <c r="R47" s="17"/>
      <c r="S47" s="50"/>
      <c r="V47" s="10"/>
      <c r="W47" s="10"/>
      <c r="X47" s="10"/>
      <c r="Y47" s="10"/>
      <c r="Z47" s="10"/>
      <c r="AA47" s="10"/>
      <c r="AB47" s="10"/>
      <c r="AC47" s="10"/>
      <c r="AD47" s="10"/>
      <c r="AE47" s="10"/>
      <c r="AF47" s="10"/>
    </row>
    <row r="48" spans="1:32" s="30" customFormat="1" ht="11.25" customHeight="1">
      <c r="B48" s="611"/>
      <c r="C48" s="611"/>
      <c r="D48" s="612"/>
      <c r="G48" s="228"/>
      <c r="H48" s="228"/>
      <c r="I48" s="228"/>
      <c r="L48" s="1485"/>
      <c r="M48" s="561" t="s">
        <v>70</v>
      </c>
      <c r="N48" s="119">
        <v>8120</v>
      </c>
      <c r="O48" s="119">
        <v>91</v>
      </c>
      <c r="P48" s="17"/>
      <c r="Q48" s="30" t="s">
        <v>78</v>
      </c>
      <c r="R48" s="17"/>
      <c r="S48" s="50"/>
      <c r="V48" s="10"/>
      <c r="W48" s="10"/>
      <c r="X48" s="10"/>
      <c r="Y48" s="10"/>
      <c r="Z48" s="10"/>
      <c r="AA48" s="10"/>
      <c r="AB48" s="10"/>
      <c r="AC48" s="10"/>
      <c r="AD48" s="10"/>
      <c r="AE48" s="10"/>
      <c r="AF48" s="10"/>
    </row>
    <row r="49" spans="1:32" s="30" customFormat="1" ht="11.25" customHeight="1">
      <c r="L49" s="1486"/>
      <c r="M49" s="561" t="s">
        <v>72</v>
      </c>
      <c r="N49" s="119">
        <v>8180</v>
      </c>
      <c r="O49" s="119">
        <v>101</v>
      </c>
      <c r="P49" s="17"/>
      <c r="Q49" s="17"/>
      <c r="R49" s="17"/>
      <c r="S49" s="50"/>
      <c r="V49" s="10"/>
      <c r="W49" s="10"/>
      <c r="X49" s="10"/>
      <c r="Y49" s="10"/>
      <c r="Z49" s="10"/>
      <c r="AA49" s="10"/>
      <c r="AB49" s="10"/>
      <c r="AC49" s="10"/>
      <c r="AD49" s="10"/>
      <c r="AE49" s="10"/>
      <c r="AF49" s="10"/>
    </row>
    <row r="50" spans="1:32" s="30" customFormat="1" ht="22.15" customHeight="1">
      <c r="A50" s="66" t="s">
        <v>682</v>
      </c>
      <c r="B50" s="45"/>
      <c r="C50" s="71"/>
      <c r="D50" s="71"/>
      <c r="E50" s="71"/>
      <c r="F50" s="71"/>
      <c r="G50" s="71"/>
      <c r="H50" s="71"/>
      <c r="I50" s="71"/>
      <c r="L50" s="1484" t="s">
        <v>74</v>
      </c>
      <c r="M50" s="561" t="s">
        <v>69</v>
      </c>
      <c r="N50" s="119">
        <v>5510</v>
      </c>
      <c r="O50" s="119">
        <v>72</v>
      </c>
      <c r="P50" s="17"/>
      <c r="Q50" s="17"/>
      <c r="R50" s="17"/>
      <c r="S50" s="50"/>
      <c r="V50" s="10"/>
      <c r="W50" s="10"/>
      <c r="X50" s="10"/>
      <c r="Y50" s="10"/>
      <c r="Z50" s="10"/>
      <c r="AA50" s="10"/>
      <c r="AB50" s="10"/>
      <c r="AC50" s="10"/>
      <c r="AD50" s="10"/>
      <c r="AE50" s="10"/>
      <c r="AF50" s="10"/>
    </row>
    <row r="51" spans="1:32" s="30" customFormat="1" ht="22.15" customHeight="1">
      <c r="A51" s="41" t="s">
        <v>683</v>
      </c>
      <c r="B51" s="42"/>
      <c r="C51" s="42"/>
      <c r="D51" s="42"/>
      <c r="E51" s="42"/>
      <c r="F51" s="42"/>
      <c r="G51" s="1534"/>
      <c r="H51" s="1534"/>
      <c r="I51" s="43"/>
      <c r="L51" s="1485"/>
      <c r="M51" s="561" t="s">
        <v>70</v>
      </c>
      <c r="N51" s="119">
        <v>5540</v>
      </c>
      <c r="O51" s="119">
        <v>74</v>
      </c>
      <c r="P51" s="17"/>
      <c r="Q51" s="17"/>
      <c r="R51" s="17"/>
      <c r="S51" s="50"/>
      <c r="V51" s="10"/>
      <c r="W51" s="10"/>
      <c r="X51" s="10"/>
      <c r="Y51" s="10"/>
      <c r="Z51" s="10"/>
      <c r="AA51" s="10"/>
      <c r="AB51" s="10"/>
      <c r="AC51" s="10"/>
      <c r="AD51" s="10"/>
      <c r="AE51" s="10"/>
      <c r="AF51" s="10"/>
    </row>
    <row r="52" spans="1:32" s="30" customFormat="1" ht="22.15" customHeight="1">
      <c r="A52" s="44" t="s">
        <v>684</v>
      </c>
      <c r="B52" s="45"/>
      <c r="C52" s="45"/>
      <c r="D52" s="45"/>
      <c r="E52" s="45"/>
      <c r="F52" s="45"/>
      <c r="G52" s="45"/>
      <c r="H52" s="45"/>
      <c r="I52" s="46"/>
      <c r="L52" s="1486"/>
      <c r="M52" s="561" t="s">
        <v>72</v>
      </c>
      <c r="N52" s="119">
        <v>5580</v>
      </c>
      <c r="O52" s="119">
        <v>80</v>
      </c>
      <c r="P52" s="17"/>
      <c r="Q52" s="17"/>
      <c r="R52" s="17"/>
      <c r="S52" s="50"/>
      <c r="V52" s="10"/>
      <c r="W52" s="10"/>
      <c r="X52" s="10"/>
      <c r="Y52" s="10"/>
      <c r="Z52" s="10"/>
      <c r="AA52" s="10"/>
      <c r="AB52" s="10"/>
      <c r="AC52" s="10"/>
      <c r="AD52" s="10"/>
      <c r="AE52" s="10"/>
      <c r="AF52" s="10"/>
    </row>
    <row r="53" spans="1:32" s="30" customFormat="1" ht="22.15" customHeight="1">
      <c r="A53" s="699" t="s">
        <v>1258</v>
      </c>
      <c r="B53" s="48"/>
      <c r="C53" s="49"/>
      <c r="D53" s="49"/>
      <c r="E53" s="49"/>
      <c r="F53" s="49"/>
      <c r="G53" s="49"/>
      <c r="H53" s="50"/>
      <c r="I53" s="51"/>
      <c r="L53" s="1484" t="s">
        <v>75</v>
      </c>
      <c r="M53" s="561" t="s">
        <v>69</v>
      </c>
      <c r="N53" s="119">
        <v>4150</v>
      </c>
      <c r="O53" s="119">
        <v>47</v>
      </c>
      <c r="P53" s="17"/>
      <c r="Q53" s="17"/>
      <c r="R53" s="17"/>
      <c r="S53" s="50"/>
      <c r="V53" s="10"/>
      <c r="W53" s="10"/>
      <c r="X53" s="10"/>
      <c r="Y53" s="10"/>
      <c r="Z53" s="10"/>
      <c r="AA53" s="10"/>
      <c r="AB53" s="10"/>
      <c r="AC53" s="10"/>
      <c r="AD53" s="10"/>
      <c r="AE53" s="10"/>
      <c r="AF53" s="10"/>
    </row>
    <row r="54" spans="1:32" s="30" customFormat="1" ht="22.15" customHeight="1">
      <c r="A54" s="41" t="s">
        <v>685</v>
      </c>
      <c r="B54" s="42"/>
      <c r="C54" s="42"/>
      <c r="D54" s="42"/>
      <c r="E54" s="42"/>
      <c r="F54" s="42"/>
      <c r="G54" s="42"/>
      <c r="H54" s="1321"/>
      <c r="I54" s="123"/>
      <c r="L54" s="1485"/>
      <c r="M54" s="561" t="s">
        <v>70</v>
      </c>
      <c r="N54" s="119">
        <v>4160</v>
      </c>
      <c r="O54" s="119">
        <v>50</v>
      </c>
      <c r="P54" s="17"/>
      <c r="Q54" s="17"/>
      <c r="R54" s="17"/>
      <c r="S54" s="50"/>
      <c r="V54" s="10"/>
      <c r="W54" s="10"/>
      <c r="X54" s="10"/>
      <c r="Y54" s="10"/>
      <c r="Z54" s="10"/>
      <c r="AA54" s="10"/>
      <c r="AB54" s="10"/>
      <c r="AC54" s="10"/>
      <c r="AD54" s="10"/>
      <c r="AE54" s="10"/>
      <c r="AF54" s="10"/>
    </row>
    <row r="55" spans="1:32" s="30" customFormat="1" ht="22.15" customHeight="1">
      <c r="A55" s="52"/>
      <c r="B55" s="53" t="s">
        <v>686</v>
      </c>
      <c r="C55" s="54" t="s">
        <v>687</v>
      </c>
      <c r="D55" s="54" t="s">
        <v>688</v>
      </c>
      <c r="E55" s="54" t="s">
        <v>689</v>
      </c>
      <c r="F55" s="55" t="s">
        <v>1431</v>
      </c>
      <c r="G55" s="55" t="s">
        <v>690</v>
      </c>
      <c r="H55" s="1535">
        <f>SUM(H56:I58)</f>
        <v>2550950.3840000005</v>
      </c>
      <c r="I55" s="1536"/>
      <c r="L55" s="1486"/>
      <c r="M55" s="561" t="s">
        <v>72</v>
      </c>
      <c r="N55" s="119">
        <v>4190</v>
      </c>
      <c r="O55" s="119">
        <v>55</v>
      </c>
      <c r="V55" s="10"/>
      <c r="W55" s="10"/>
      <c r="X55" s="10"/>
      <c r="Y55" s="10"/>
      <c r="Z55" s="10"/>
      <c r="AA55" s="10"/>
      <c r="AB55" s="10"/>
      <c r="AC55" s="10"/>
      <c r="AD55" s="10"/>
      <c r="AE55" s="10"/>
      <c r="AF55" s="10"/>
    </row>
    <row r="56" spans="1:32" s="30" customFormat="1" ht="22.15" customHeight="1">
      <c r="A56" s="44" t="s">
        <v>691</v>
      </c>
      <c r="B56" s="50"/>
      <c r="C56" s="56">
        <v>20000</v>
      </c>
      <c r="D56" s="56">
        <v>25000</v>
      </c>
      <c r="E56" s="56">
        <v>47400</v>
      </c>
      <c r="F56" s="57">
        <f>+(C56+D56+E56)*용역비총괄표!O9</f>
        <v>88214.002800000002</v>
      </c>
      <c r="G56" s="57">
        <v>10</v>
      </c>
      <c r="H56" s="1537">
        <f>+F56*G56</f>
        <v>882140.02800000005</v>
      </c>
      <c r="I56" s="1538"/>
      <c r="V56" s="10"/>
      <c r="W56" s="10"/>
      <c r="X56" s="10"/>
      <c r="Y56" s="10"/>
      <c r="Z56" s="10"/>
      <c r="AA56" s="10"/>
      <c r="AB56" s="10"/>
      <c r="AC56" s="10"/>
      <c r="AD56" s="10"/>
      <c r="AE56" s="10"/>
      <c r="AF56" s="10"/>
    </row>
    <row r="57" spans="1:32" s="30" customFormat="1" ht="22.15" customHeight="1">
      <c r="A57" s="44" t="s">
        <v>692</v>
      </c>
      <c r="B57" s="50"/>
      <c r="C57" s="56">
        <v>20000</v>
      </c>
      <c r="D57" s="56">
        <v>20000</v>
      </c>
      <c r="E57" s="56">
        <f>E56</f>
        <v>47400</v>
      </c>
      <c r="F57" s="57">
        <f>+(C57+D57+E57)*용역비총괄표!O9</f>
        <v>83440.517800000001</v>
      </c>
      <c r="G57" s="57">
        <v>10</v>
      </c>
      <c r="H57" s="1537">
        <f>+F57*G57</f>
        <v>834405.17800000007</v>
      </c>
      <c r="I57" s="1538"/>
      <c r="V57" s="10"/>
      <c r="W57" s="10"/>
      <c r="X57" s="10"/>
      <c r="Y57" s="10"/>
      <c r="Z57" s="10"/>
      <c r="AA57" s="10"/>
      <c r="AB57" s="10"/>
      <c r="AC57" s="10"/>
      <c r="AD57" s="10"/>
      <c r="AE57" s="10"/>
      <c r="AF57" s="10"/>
    </row>
    <row r="58" spans="1:32" s="30" customFormat="1" ht="22.15" customHeight="1">
      <c r="A58" s="47" t="s">
        <v>693</v>
      </c>
      <c r="B58" s="58"/>
      <c r="C58" s="59">
        <v>20000</v>
      </c>
      <c r="D58" s="59">
        <v>20000</v>
      </c>
      <c r="E58" s="59">
        <f>E56</f>
        <v>47400</v>
      </c>
      <c r="F58" s="60">
        <f>+(C58+D58+E58)*용역비총괄표!O9</f>
        <v>83440.517800000001</v>
      </c>
      <c r="G58" s="60">
        <v>10</v>
      </c>
      <c r="H58" s="1532">
        <f>+F58*G58</f>
        <v>834405.17800000007</v>
      </c>
      <c r="I58" s="1533"/>
      <c r="V58" s="10"/>
      <c r="W58" s="10"/>
      <c r="X58" s="10"/>
      <c r="Y58" s="10"/>
      <c r="Z58" s="10"/>
      <c r="AA58" s="10"/>
      <c r="AB58" s="10"/>
      <c r="AC58" s="10"/>
      <c r="AD58" s="10"/>
      <c r="AE58" s="10"/>
      <c r="AF58" s="10"/>
    </row>
    <row r="59" spans="1:32" s="30" customFormat="1" ht="22.15" customHeight="1">
      <c r="V59" s="10"/>
      <c r="W59" s="10"/>
      <c r="X59" s="10"/>
      <c r="Y59" s="10"/>
      <c r="Z59" s="10"/>
      <c r="AA59" s="10"/>
      <c r="AB59" s="10"/>
      <c r="AC59" s="10"/>
      <c r="AD59" s="10"/>
      <c r="AE59" s="10"/>
      <c r="AF59" s="10"/>
    </row>
    <row r="60" spans="1:32" s="30" customFormat="1" ht="22.15" customHeight="1">
      <c r="V60" s="10"/>
      <c r="W60" s="10"/>
      <c r="X60" s="10"/>
      <c r="Y60" s="10"/>
      <c r="Z60" s="10"/>
      <c r="AA60" s="10"/>
      <c r="AB60" s="10"/>
      <c r="AC60" s="10"/>
      <c r="AD60" s="10"/>
      <c r="AE60" s="10"/>
      <c r="AF60" s="10"/>
    </row>
    <row r="61" spans="1:32" ht="22.15" customHeight="1">
      <c r="C61" s="22"/>
    </row>
    <row r="62" spans="1:32" ht="22.15" customHeight="1">
      <c r="B62" s="61"/>
      <c r="C62" s="62"/>
    </row>
    <row r="63" spans="1:32" ht="22.15" customHeight="1">
      <c r="C63" s="62"/>
    </row>
    <row r="65" spans="3:10" ht="22.15" customHeight="1">
      <c r="C65" s="22"/>
      <c r="J65" s="63"/>
    </row>
    <row r="66" spans="3:10" ht="22.15" customHeight="1">
      <c r="C66" s="22"/>
    </row>
    <row r="67" spans="3:10" ht="22.15" customHeight="1">
      <c r="C67" s="22"/>
    </row>
    <row r="68" spans="3:10" ht="22.15" customHeight="1">
      <c r="C68" s="22"/>
    </row>
    <row r="69" spans="3:10" ht="22.15" customHeight="1">
      <c r="C69" s="22"/>
    </row>
    <row r="70" spans="3:10" ht="22.15" customHeight="1">
      <c r="C70" s="22"/>
    </row>
    <row r="71" spans="3:10" ht="22.15" customHeight="1">
      <c r="C71" s="22"/>
    </row>
    <row r="72" spans="3:10" ht="22.15" customHeight="1">
      <c r="C72" s="22"/>
    </row>
    <row r="73" spans="3:10" ht="22.15" customHeight="1">
      <c r="C73" s="22"/>
    </row>
  </sheetData>
  <mergeCells count="45">
    <mergeCell ref="H58:I58"/>
    <mergeCell ref="A1:I1"/>
    <mergeCell ref="H47:I47"/>
    <mergeCell ref="G51:H51"/>
    <mergeCell ref="H55:I55"/>
    <mergeCell ref="H56:I56"/>
    <mergeCell ref="H57:I57"/>
    <mergeCell ref="H41:I41"/>
    <mergeCell ref="H42:I42"/>
    <mergeCell ref="H43:I43"/>
    <mergeCell ref="H44:I44"/>
    <mergeCell ref="H45:I45"/>
    <mergeCell ref="H46:I46"/>
    <mergeCell ref="A35:B35"/>
    <mergeCell ref="A16:B16"/>
    <mergeCell ref="L16:M16"/>
    <mergeCell ref="V41:W42"/>
    <mergeCell ref="AD41:AD42"/>
    <mergeCell ref="V43:W43"/>
    <mergeCell ref="A33:A34"/>
    <mergeCell ref="L33:L34"/>
    <mergeCell ref="L35:M35"/>
    <mergeCell ref="A36:I36"/>
    <mergeCell ref="F39:G39"/>
    <mergeCell ref="H39:I39"/>
    <mergeCell ref="H40:I40"/>
    <mergeCell ref="D39:E39"/>
    <mergeCell ref="A17:A32"/>
    <mergeCell ref="L17:L32"/>
    <mergeCell ref="L47:L49"/>
    <mergeCell ref="L50:L52"/>
    <mergeCell ref="L53:L55"/>
    <mergeCell ref="V16:W17"/>
    <mergeCell ref="X16:AC16"/>
    <mergeCell ref="W36:W37"/>
    <mergeCell ref="V44:AD46"/>
    <mergeCell ref="L41:L43"/>
    <mergeCell ref="L44:L46"/>
    <mergeCell ref="AD16:AD17"/>
    <mergeCell ref="W29:W30"/>
    <mergeCell ref="AD29:AD30"/>
    <mergeCell ref="W31:W33"/>
    <mergeCell ref="AD31:AD33"/>
    <mergeCell ref="AD36:AD37"/>
    <mergeCell ref="V38:V40"/>
  </mergeCells>
  <phoneticPr fontId="2" type="noConversion"/>
  <printOptions horizontalCentered="1"/>
  <pageMargins left="0.70866141732283472" right="0.70866141732283472" top="0.74803149606299213" bottom="0.74803149606299213" header="0.31496062992125984" footer="0.31496062992125984"/>
  <pageSetup paperSize="9" scale="86" orientation="portrait" r:id="rId1"/>
  <rowBreaks count="1" manualBreakCount="1">
    <brk id="36" max="8"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2"/>
  <sheetViews>
    <sheetView view="pageBreakPreview" zoomScaleNormal="70" zoomScaleSheetLayoutView="100" workbookViewId="0">
      <selection activeCell="I8" sqref="I8:K8"/>
    </sheetView>
  </sheetViews>
  <sheetFormatPr defaultRowHeight="13.5"/>
  <cols>
    <col min="1" max="1" width="35" style="446" customWidth="1"/>
    <col min="2" max="2" width="9.875" style="446" customWidth="1"/>
    <col min="3" max="3" width="10.125" style="446" bestFit="1" customWidth="1"/>
    <col min="4" max="4" width="9" style="446"/>
    <col min="5" max="5" width="9.5" style="446" customWidth="1"/>
    <col min="6" max="6" width="12.25" style="446" customWidth="1"/>
    <col min="7" max="7" width="8.625" style="446" customWidth="1"/>
    <col min="8" max="8" width="11.375" style="446" customWidth="1"/>
    <col min="9" max="9" width="8.75" style="446" customWidth="1"/>
    <col min="10" max="10" width="11.75" style="446" customWidth="1"/>
    <col min="11" max="11" width="8" style="446" customWidth="1"/>
    <col min="12" max="12" width="12.375" style="446" customWidth="1"/>
    <col min="13" max="13" width="8.75" style="447" customWidth="1"/>
    <col min="14" max="14" width="7" style="446" customWidth="1"/>
    <col min="15" max="256" width="9" style="446"/>
    <col min="257" max="257" width="49.5" style="446" bestFit="1" customWidth="1"/>
    <col min="258" max="258" width="9.875" style="446" customWidth="1"/>
    <col min="259" max="259" width="10.125" style="446" bestFit="1" customWidth="1"/>
    <col min="260" max="260" width="9" style="446"/>
    <col min="261" max="261" width="17.25" style="446" bestFit="1" customWidth="1"/>
    <col min="262" max="262" width="19.875" style="446" bestFit="1" customWidth="1"/>
    <col min="263" max="263" width="12.125" style="446" customWidth="1"/>
    <col min="264" max="264" width="15.5" style="446" customWidth="1"/>
    <col min="265" max="265" width="18.125" style="446" bestFit="1" customWidth="1"/>
    <col min="266" max="266" width="19.875" style="446" bestFit="1" customWidth="1"/>
    <col min="267" max="267" width="12.125" style="446" customWidth="1"/>
    <col min="268" max="268" width="15.5" style="446" customWidth="1"/>
    <col min="269" max="269" width="13.25" style="446" bestFit="1" customWidth="1"/>
    <col min="270" max="270" width="7" style="446" customWidth="1"/>
    <col min="271" max="512" width="9" style="446"/>
    <col min="513" max="513" width="49.5" style="446" bestFit="1" customWidth="1"/>
    <col min="514" max="514" width="9.875" style="446" customWidth="1"/>
    <col min="515" max="515" width="10.125" style="446" bestFit="1" customWidth="1"/>
    <col min="516" max="516" width="9" style="446"/>
    <col min="517" max="517" width="17.25" style="446" bestFit="1" customWidth="1"/>
    <col min="518" max="518" width="19.875" style="446" bestFit="1" customWidth="1"/>
    <col min="519" max="519" width="12.125" style="446" customWidth="1"/>
    <col min="520" max="520" width="15.5" style="446" customWidth="1"/>
    <col min="521" max="521" width="18.125" style="446" bestFit="1" customWidth="1"/>
    <col min="522" max="522" width="19.875" style="446" bestFit="1" customWidth="1"/>
    <col min="523" max="523" width="12.125" style="446" customWidth="1"/>
    <col min="524" max="524" width="15.5" style="446" customWidth="1"/>
    <col min="525" max="525" width="13.25" style="446" bestFit="1" customWidth="1"/>
    <col min="526" max="526" width="7" style="446" customWidth="1"/>
    <col min="527" max="768" width="9" style="446"/>
    <col min="769" max="769" width="49.5" style="446" bestFit="1" customWidth="1"/>
    <col min="770" max="770" width="9.875" style="446" customWidth="1"/>
    <col min="771" max="771" width="10.125" style="446" bestFit="1" customWidth="1"/>
    <col min="772" max="772" width="9" style="446"/>
    <col min="773" max="773" width="17.25" style="446" bestFit="1" customWidth="1"/>
    <col min="774" max="774" width="19.875" style="446" bestFit="1" customWidth="1"/>
    <col min="775" max="775" width="12.125" style="446" customWidth="1"/>
    <col min="776" max="776" width="15.5" style="446" customWidth="1"/>
    <col min="777" max="777" width="18.125" style="446" bestFit="1" customWidth="1"/>
    <col min="778" max="778" width="19.875" style="446" bestFit="1" customWidth="1"/>
    <col min="779" max="779" width="12.125" style="446" customWidth="1"/>
    <col min="780" max="780" width="15.5" style="446" customWidth="1"/>
    <col min="781" max="781" width="13.25" style="446" bestFit="1" customWidth="1"/>
    <col min="782" max="782" width="7" style="446" customWidth="1"/>
    <col min="783" max="1024" width="9" style="446"/>
    <col min="1025" max="1025" width="49.5" style="446" bestFit="1" customWidth="1"/>
    <col min="1026" max="1026" width="9.875" style="446" customWidth="1"/>
    <col min="1027" max="1027" width="10.125" style="446" bestFit="1" customWidth="1"/>
    <col min="1028" max="1028" width="9" style="446"/>
    <col min="1029" max="1029" width="17.25" style="446" bestFit="1" customWidth="1"/>
    <col min="1030" max="1030" width="19.875" style="446" bestFit="1" customWidth="1"/>
    <col min="1031" max="1031" width="12.125" style="446" customWidth="1"/>
    <col min="1032" max="1032" width="15.5" style="446" customWidth="1"/>
    <col min="1033" max="1033" width="18.125" style="446" bestFit="1" customWidth="1"/>
    <col min="1034" max="1034" width="19.875" style="446" bestFit="1" customWidth="1"/>
    <col min="1035" max="1035" width="12.125" style="446" customWidth="1"/>
    <col min="1036" max="1036" width="15.5" style="446" customWidth="1"/>
    <col min="1037" max="1037" width="13.25" style="446" bestFit="1" customWidth="1"/>
    <col min="1038" max="1038" width="7" style="446" customWidth="1"/>
    <col min="1039" max="1280" width="9" style="446"/>
    <col min="1281" max="1281" width="49.5" style="446" bestFit="1" customWidth="1"/>
    <col min="1282" max="1282" width="9.875" style="446" customWidth="1"/>
    <col min="1283" max="1283" width="10.125" style="446" bestFit="1" customWidth="1"/>
    <col min="1284" max="1284" width="9" style="446"/>
    <col min="1285" max="1285" width="17.25" style="446" bestFit="1" customWidth="1"/>
    <col min="1286" max="1286" width="19.875" style="446" bestFit="1" customWidth="1"/>
    <col min="1287" max="1287" width="12.125" style="446" customWidth="1"/>
    <col min="1288" max="1288" width="15.5" style="446" customWidth="1"/>
    <col min="1289" max="1289" width="18.125" style="446" bestFit="1" customWidth="1"/>
    <col min="1290" max="1290" width="19.875" style="446" bestFit="1" customWidth="1"/>
    <col min="1291" max="1291" width="12.125" style="446" customWidth="1"/>
    <col min="1292" max="1292" width="15.5" style="446" customWidth="1"/>
    <col min="1293" max="1293" width="13.25" style="446" bestFit="1" customWidth="1"/>
    <col min="1294" max="1294" width="7" style="446" customWidth="1"/>
    <col min="1295" max="1536" width="9" style="446"/>
    <col min="1537" max="1537" width="49.5" style="446" bestFit="1" customWidth="1"/>
    <col min="1538" max="1538" width="9.875" style="446" customWidth="1"/>
    <col min="1539" max="1539" width="10.125" style="446" bestFit="1" customWidth="1"/>
    <col min="1540" max="1540" width="9" style="446"/>
    <col min="1541" max="1541" width="17.25" style="446" bestFit="1" customWidth="1"/>
    <col min="1542" max="1542" width="19.875" style="446" bestFit="1" customWidth="1"/>
    <col min="1543" max="1543" width="12.125" style="446" customWidth="1"/>
    <col min="1544" max="1544" width="15.5" style="446" customWidth="1"/>
    <col min="1545" max="1545" width="18.125" style="446" bestFit="1" customWidth="1"/>
    <col min="1546" max="1546" width="19.875" style="446" bestFit="1" customWidth="1"/>
    <col min="1547" max="1547" width="12.125" style="446" customWidth="1"/>
    <col min="1548" max="1548" width="15.5" style="446" customWidth="1"/>
    <col min="1549" max="1549" width="13.25" style="446" bestFit="1" customWidth="1"/>
    <col min="1550" max="1550" width="7" style="446" customWidth="1"/>
    <col min="1551" max="1792" width="9" style="446"/>
    <col min="1793" max="1793" width="49.5" style="446" bestFit="1" customWidth="1"/>
    <col min="1794" max="1794" width="9.875" style="446" customWidth="1"/>
    <col min="1795" max="1795" width="10.125" style="446" bestFit="1" customWidth="1"/>
    <col min="1796" max="1796" width="9" style="446"/>
    <col min="1797" max="1797" width="17.25" style="446" bestFit="1" customWidth="1"/>
    <col min="1798" max="1798" width="19.875" style="446" bestFit="1" customWidth="1"/>
    <col min="1799" max="1799" width="12.125" style="446" customWidth="1"/>
    <col min="1800" max="1800" width="15.5" style="446" customWidth="1"/>
    <col min="1801" max="1801" width="18.125" style="446" bestFit="1" customWidth="1"/>
    <col min="1802" max="1802" width="19.875" style="446" bestFit="1" customWidth="1"/>
    <col min="1803" max="1803" width="12.125" style="446" customWidth="1"/>
    <col min="1804" max="1804" width="15.5" style="446" customWidth="1"/>
    <col min="1805" max="1805" width="13.25" style="446" bestFit="1" customWidth="1"/>
    <col min="1806" max="1806" width="7" style="446" customWidth="1"/>
    <col min="1807" max="2048" width="9" style="446"/>
    <col min="2049" max="2049" width="49.5" style="446" bestFit="1" customWidth="1"/>
    <col min="2050" max="2050" width="9.875" style="446" customWidth="1"/>
    <col min="2051" max="2051" width="10.125" style="446" bestFit="1" customWidth="1"/>
    <col min="2052" max="2052" width="9" style="446"/>
    <col min="2053" max="2053" width="17.25" style="446" bestFit="1" customWidth="1"/>
    <col min="2054" max="2054" width="19.875" style="446" bestFit="1" customWidth="1"/>
    <col min="2055" max="2055" width="12.125" style="446" customWidth="1"/>
    <col min="2056" max="2056" width="15.5" style="446" customWidth="1"/>
    <col min="2057" max="2057" width="18.125" style="446" bestFit="1" customWidth="1"/>
    <col min="2058" max="2058" width="19.875" style="446" bestFit="1" customWidth="1"/>
    <col min="2059" max="2059" width="12.125" style="446" customWidth="1"/>
    <col min="2060" max="2060" width="15.5" style="446" customWidth="1"/>
    <col min="2061" max="2061" width="13.25" style="446" bestFit="1" customWidth="1"/>
    <col min="2062" max="2062" width="7" style="446" customWidth="1"/>
    <col min="2063" max="2304" width="9" style="446"/>
    <col min="2305" max="2305" width="49.5" style="446" bestFit="1" customWidth="1"/>
    <col min="2306" max="2306" width="9.875" style="446" customWidth="1"/>
    <col min="2307" max="2307" width="10.125" style="446" bestFit="1" customWidth="1"/>
    <col min="2308" max="2308" width="9" style="446"/>
    <col min="2309" max="2309" width="17.25" style="446" bestFit="1" customWidth="1"/>
    <col min="2310" max="2310" width="19.875" style="446" bestFit="1" customWidth="1"/>
    <col min="2311" max="2311" width="12.125" style="446" customWidth="1"/>
    <col min="2312" max="2312" width="15.5" style="446" customWidth="1"/>
    <col min="2313" max="2313" width="18.125" style="446" bestFit="1" customWidth="1"/>
    <col min="2314" max="2314" width="19.875" style="446" bestFit="1" customWidth="1"/>
    <col min="2315" max="2315" width="12.125" style="446" customWidth="1"/>
    <col min="2316" max="2316" width="15.5" style="446" customWidth="1"/>
    <col min="2317" max="2317" width="13.25" style="446" bestFit="1" customWidth="1"/>
    <col min="2318" max="2318" width="7" style="446" customWidth="1"/>
    <col min="2319" max="2560" width="9" style="446"/>
    <col min="2561" max="2561" width="49.5" style="446" bestFit="1" customWidth="1"/>
    <col min="2562" max="2562" width="9.875" style="446" customWidth="1"/>
    <col min="2563" max="2563" width="10.125" style="446" bestFit="1" customWidth="1"/>
    <col min="2564" max="2564" width="9" style="446"/>
    <col min="2565" max="2565" width="17.25" style="446" bestFit="1" customWidth="1"/>
    <col min="2566" max="2566" width="19.875" style="446" bestFit="1" customWidth="1"/>
    <col min="2567" max="2567" width="12.125" style="446" customWidth="1"/>
    <col min="2568" max="2568" width="15.5" style="446" customWidth="1"/>
    <col min="2569" max="2569" width="18.125" style="446" bestFit="1" customWidth="1"/>
    <col min="2570" max="2570" width="19.875" style="446" bestFit="1" customWidth="1"/>
    <col min="2571" max="2571" width="12.125" style="446" customWidth="1"/>
    <col min="2572" max="2572" width="15.5" style="446" customWidth="1"/>
    <col min="2573" max="2573" width="13.25" style="446" bestFit="1" customWidth="1"/>
    <col min="2574" max="2574" width="7" style="446" customWidth="1"/>
    <col min="2575" max="2816" width="9" style="446"/>
    <col min="2817" max="2817" width="49.5" style="446" bestFit="1" customWidth="1"/>
    <col min="2818" max="2818" width="9.875" style="446" customWidth="1"/>
    <col min="2819" max="2819" width="10.125" style="446" bestFit="1" customWidth="1"/>
    <col min="2820" max="2820" width="9" style="446"/>
    <col min="2821" max="2821" width="17.25" style="446" bestFit="1" customWidth="1"/>
    <col min="2822" max="2822" width="19.875" style="446" bestFit="1" customWidth="1"/>
    <col min="2823" max="2823" width="12.125" style="446" customWidth="1"/>
    <col min="2824" max="2824" width="15.5" style="446" customWidth="1"/>
    <col min="2825" max="2825" width="18.125" style="446" bestFit="1" customWidth="1"/>
    <col min="2826" max="2826" width="19.875" style="446" bestFit="1" customWidth="1"/>
    <col min="2827" max="2827" width="12.125" style="446" customWidth="1"/>
    <col min="2828" max="2828" width="15.5" style="446" customWidth="1"/>
    <col min="2829" max="2829" width="13.25" style="446" bestFit="1" customWidth="1"/>
    <col min="2830" max="2830" width="7" style="446" customWidth="1"/>
    <col min="2831" max="3072" width="9" style="446"/>
    <col min="3073" max="3073" width="49.5" style="446" bestFit="1" customWidth="1"/>
    <col min="3074" max="3074" width="9.875" style="446" customWidth="1"/>
    <col min="3075" max="3075" width="10.125" style="446" bestFit="1" customWidth="1"/>
    <col min="3076" max="3076" width="9" style="446"/>
    <col min="3077" max="3077" width="17.25" style="446" bestFit="1" customWidth="1"/>
    <col min="3078" max="3078" width="19.875" style="446" bestFit="1" customWidth="1"/>
    <col min="3079" max="3079" width="12.125" style="446" customWidth="1"/>
    <col min="3080" max="3080" width="15.5" style="446" customWidth="1"/>
    <col min="3081" max="3081" width="18.125" style="446" bestFit="1" customWidth="1"/>
    <col min="3082" max="3082" width="19.875" style="446" bestFit="1" customWidth="1"/>
    <col min="3083" max="3083" width="12.125" style="446" customWidth="1"/>
    <col min="3084" max="3084" width="15.5" style="446" customWidth="1"/>
    <col min="3085" max="3085" width="13.25" style="446" bestFit="1" customWidth="1"/>
    <col min="3086" max="3086" width="7" style="446" customWidth="1"/>
    <col min="3087" max="3328" width="9" style="446"/>
    <col min="3329" max="3329" width="49.5" style="446" bestFit="1" customWidth="1"/>
    <col min="3330" max="3330" width="9.875" style="446" customWidth="1"/>
    <col min="3331" max="3331" width="10.125" style="446" bestFit="1" customWidth="1"/>
    <col min="3332" max="3332" width="9" style="446"/>
    <col min="3333" max="3333" width="17.25" style="446" bestFit="1" customWidth="1"/>
    <col min="3334" max="3334" width="19.875" style="446" bestFit="1" customWidth="1"/>
    <col min="3335" max="3335" width="12.125" style="446" customWidth="1"/>
    <col min="3336" max="3336" width="15.5" style="446" customWidth="1"/>
    <col min="3337" max="3337" width="18.125" style="446" bestFit="1" customWidth="1"/>
    <col min="3338" max="3338" width="19.875" style="446" bestFit="1" customWidth="1"/>
    <col min="3339" max="3339" width="12.125" style="446" customWidth="1"/>
    <col min="3340" max="3340" width="15.5" style="446" customWidth="1"/>
    <col min="3341" max="3341" width="13.25" style="446" bestFit="1" customWidth="1"/>
    <col min="3342" max="3342" width="7" style="446" customWidth="1"/>
    <col min="3343" max="3584" width="9" style="446"/>
    <col min="3585" max="3585" width="49.5" style="446" bestFit="1" customWidth="1"/>
    <col min="3586" max="3586" width="9.875" style="446" customWidth="1"/>
    <col min="3587" max="3587" width="10.125" style="446" bestFit="1" customWidth="1"/>
    <col min="3588" max="3588" width="9" style="446"/>
    <col min="3589" max="3589" width="17.25" style="446" bestFit="1" customWidth="1"/>
    <col min="3590" max="3590" width="19.875" style="446" bestFit="1" customWidth="1"/>
    <col min="3591" max="3591" width="12.125" style="446" customWidth="1"/>
    <col min="3592" max="3592" width="15.5" style="446" customWidth="1"/>
    <col min="3593" max="3593" width="18.125" style="446" bestFit="1" customWidth="1"/>
    <col min="3594" max="3594" width="19.875" style="446" bestFit="1" customWidth="1"/>
    <col min="3595" max="3595" width="12.125" style="446" customWidth="1"/>
    <col min="3596" max="3596" width="15.5" style="446" customWidth="1"/>
    <col min="3597" max="3597" width="13.25" style="446" bestFit="1" customWidth="1"/>
    <col min="3598" max="3598" width="7" style="446" customWidth="1"/>
    <col min="3599" max="3840" width="9" style="446"/>
    <col min="3841" max="3841" width="49.5" style="446" bestFit="1" customWidth="1"/>
    <col min="3842" max="3842" width="9.875" style="446" customWidth="1"/>
    <col min="3843" max="3843" width="10.125" style="446" bestFit="1" customWidth="1"/>
    <col min="3844" max="3844" width="9" style="446"/>
    <col min="3845" max="3845" width="17.25" style="446" bestFit="1" customWidth="1"/>
    <col min="3846" max="3846" width="19.875" style="446" bestFit="1" customWidth="1"/>
    <col min="3847" max="3847" width="12.125" style="446" customWidth="1"/>
    <col min="3848" max="3848" width="15.5" style="446" customWidth="1"/>
    <col min="3849" max="3849" width="18.125" style="446" bestFit="1" customWidth="1"/>
    <col min="3850" max="3850" width="19.875" style="446" bestFit="1" customWidth="1"/>
    <col min="3851" max="3851" width="12.125" style="446" customWidth="1"/>
    <col min="3852" max="3852" width="15.5" style="446" customWidth="1"/>
    <col min="3853" max="3853" width="13.25" style="446" bestFit="1" customWidth="1"/>
    <col min="3854" max="3854" width="7" style="446" customWidth="1"/>
    <col min="3855" max="4096" width="9" style="446"/>
    <col min="4097" max="4097" width="49.5" style="446" bestFit="1" customWidth="1"/>
    <col min="4098" max="4098" width="9.875" style="446" customWidth="1"/>
    <col min="4099" max="4099" width="10.125" style="446" bestFit="1" customWidth="1"/>
    <col min="4100" max="4100" width="9" style="446"/>
    <col min="4101" max="4101" width="17.25" style="446" bestFit="1" customWidth="1"/>
    <col min="4102" max="4102" width="19.875" style="446" bestFit="1" customWidth="1"/>
    <col min="4103" max="4103" width="12.125" style="446" customWidth="1"/>
    <col min="4104" max="4104" width="15.5" style="446" customWidth="1"/>
    <col min="4105" max="4105" width="18.125" style="446" bestFit="1" customWidth="1"/>
    <col min="4106" max="4106" width="19.875" style="446" bestFit="1" customWidth="1"/>
    <col min="4107" max="4107" width="12.125" style="446" customWidth="1"/>
    <col min="4108" max="4108" width="15.5" style="446" customWidth="1"/>
    <col min="4109" max="4109" width="13.25" style="446" bestFit="1" customWidth="1"/>
    <col min="4110" max="4110" width="7" style="446" customWidth="1"/>
    <col min="4111" max="4352" width="9" style="446"/>
    <col min="4353" max="4353" width="49.5" style="446" bestFit="1" customWidth="1"/>
    <col min="4354" max="4354" width="9.875" style="446" customWidth="1"/>
    <col min="4355" max="4355" width="10.125" style="446" bestFit="1" customWidth="1"/>
    <col min="4356" max="4356" width="9" style="446"/>
    <col min="4357" max="4357" width="17.25" style="446" bestFit="1" customWidth="1"/>
    <col min="4358" max="4358" width="19.875" style="446" bestFit="1" customWidth="1"/>
    <col min="4359" max="4359" width="12.125" style="446" customWidth="1"/>
    <col min="4360" max="4360" width="15.5" style="446" customWidth="1"/>
    <col min="4361" max="4361" width="18.125" style="446" bestFit="1" customWidth="1"/>
    <col min="4362" max="4362" width="19.875" style="446" bestFit="1" customWidth="1"/>
    <col min="4363" max="4363" width="12.125" style="446" customWidth="1"/>
    <col min="4364" max="4364" width="15.5" style="446" customWidth="1"/>
    <col min="4365" max="4365" width="13.25" style="446" bestFit="1" customWidth="1"/>
    <col min="4366" max="4366" width="7" style="446" customWidth="1"/>
    <col min="4367" max="4608" width="9" style="446"/>
    <col min="4609" max="4609" width="49.5" style="446" bestFit="1" customWidth="1"/>
    <col min="4610" max="4610" width="9.875" style="446" customWidth="1"/>
    <col min="4611" max="4611" width="10.125" style="446" bestFit="1" customWidth="1"/>
    <col min="4612" max="4612" width="9" style="446"/>
    <col min="4613" max="4613" width="17.25" style="446" bestFit="1" customWidth="1"/>
    <col min="4614" max="4614" width="19.875" style="446" bestFit="1" customWidth="1"/>
    <col min="4615" max="4615" width="12.125" style="446" customWidth="1"/>
    <col min="4616" max="4616" width="15.5" style="446" customWidth="1"/>
    <col min="4617" max="4617" width="18.125" style="446" bestFit="1" customWidth="1"/>
    <col min="4618" max="4618" width="19.875" style="446" bestFit="1" customWidth="1"/>
    <col min="4619" max="4619" width="12.125" style="446" customWidth="1"/>
    <col min="4620" max="4620" width="15.5" style="446" customWidth="1"/>
    <col min="4621" max="4621" width="13.25" style="446" bestFit="1" customWidth="1"/>
    <col min="4622" max="4622" width="7" style="446" customWidth="1"/>
    <col min="4623" max="4864" width="9" style="446"/>
    <col min="4865" max="4865" width="49.5" style="446" bestFit="1" customWidth="1"/>
    <col min="4866" max="4866" width="9.875" style="446" customWidth="1"/>
    <col min="4867" max="4867" width="10.125" style="446" bestFit="1" customWidth="1"/>
    <col min="4868" max="4868" width="9" style="446"/>
    <col min="4869" max="4869" width="17.25" style="446" bestFit="1" customWidth="1"/>
    <col min="4870" max="4870" width="19.875" style="446" bestFit="1" customWidth="1"/>
    <col min="4871" max="4871" width="12.125" style="446" customWidth="1"/>
    <col min="4872" max="4872" width="15.5" style="446" customWidth="1"/>
    <col min="4873" max="4873" width="18.125" style="446" bestFit="1" customWidth="1"/>
    <col min="4874" max="4874" width="19.875" style="446" bestFit="1" customWidth="1"/>
    <col min="4875" max="4875" width="12.125" style="446" customWidth="1"/>
    <col min="4876" max="4876" width="15.5" style="446" customWidth="1"/>
    <col min="4877" max="4877" width="13.25" style="446" bestFit="1" customWidth="1"/>
    <col min="4878" max="4878" width="7" style="446" customWidth="1"/>
    <col min="4879" max="5120" width="9" style="446"/>
    <col min="5121" max="5121" width="49.5" style="446" bestFit="1" customWidth="1"/>
    <col min="5122" max="5122" width="9.875" style="446" customWidth="1"/>
    <col min="5123" max="5123" width="10.125" style="446" bestFit="1" customWidth="1"/>
    <col min="5124" max="5124" width="9" style="446"/>
    <col min="5125" max="5125" width="17.25" style="446" bestFit="1" customWidth="1"/>
    <col min="5126" max="5126" width="19.875" style="446" bestFit="1" customWidth="1"/>
    <col min="5127" max="5127" width="12.125" style="446" customWidth="1"/>
    <col min="5128" max="5128" width="15.5" style="446" customWidth="1"/>
    <col min="5129" max="5129" width="18.125" style="446" bestFit="1" customWidth="1"/>
    <col min="5130" max="5130" width="19.875" style="446" bestFit="1" customWidth="1"/>
    <col min="5131" max="5131" width="12.125" style="446" customWidth="1"/>
    <col min="5132" max="5132" width="15.5" style="446" customWidth="1"/>
    <col min="5133" max="5133" width="13.25" style="446" bestFit="1" customWidth="1"/>
    <col min="5134" max="5134" width="7" style="446" customWidth="1"/>
    <col min="5135" max="5376" width="9" style="446"/>
    <col min="5377" max="5377" width="49.5" style="446" bestFit="1" customWidth="1"/>
    <col min="5378" max="5378" width="9.875" style="446" customWidth="1"/>
    <col min="5379" max="5379" width="10.125" style="446" bestFit="1" customWidth="1"/>
    <col min="5380" max="5380" width="9" style="446"/>
    <col min="5381" max="5381" width="17.25" style="446" bestFit="1" customWidth="1"/>
    <col min="5382" max="5382" width="19.875" style="446" bestFit="1" customWidth="1"/>
    <col min="5383" max="5383" width="12.125" style="446" customWidth="1"/>
    <col min="5384" max="5384" width="15.5" style="446" customWidth="1"/>
    <col min="5385" max="5385" width="18.125" style="446" bestFit="1" customWidth="1"/>
    <col min="5386" max="5386" width="19.875" style="446" bestFit="1" customWidth="1"/>
    <col min="5387" max="5387" width="12.125" style="446" customWidth="1"/>
    <col min="5388" max="5388" width="15.5" style="446" customWidth="1"/>
    <col min="5389" max="5389" width="13.25" style="446" bestFit="1" customWidth="1"/>
    <col min="5390" max="5390" width="7" style="446" customWidth="1"/>
    <col min="5391" max="5632" width="9" style="446"/>
    <col min="5633" max="5633" width="49.5" style="446" bestFit="1" customWidth="1"/>
    <col min="5634" max="5634" width="9.875" style="446" customWidth="1"/>
    <col min="5635" max="5635" width="10.125" style="446" bestFit="1" customWidth="1"/>
    <col min="5636" max="5636" width="9" style="446"/>
    <col min="5637" max="5637" width="17.25" style="446" bestFit="1" customWidth="1"/>
    <col min="5638" max="5638" width="19.875" style="446" bestFit="1" customWidth="1"/>
    <col min="5639" max="5639" width="12.125" style="446" customWidth="1"/>
    <col min="5640" max="5640" width="15.5" style="446" customWidth="1"/>
    <col min="5641" max="5641" width="18.125" style="446" bestFit="1" customWidth="1"/>
    <col min="5642" max="5642" width="19.875" style="446" bestFit="1" customWidth="1"/>
    <col min="5643" max="5643" width="12.125" style="446" customWidth="1"/>
    <col min="5644" max="5644" width="15.5" style="446" customWidth="1"/>
    <col min="5645" max="5645" width="13.25" style="446" bestFit="1" customWidth="1"/>
    <col min="5646" max="5646" width="7" style="446" customWidth="1"/>
    <col min="5647" max="5888" width="9" style="446"/>
    <col min="5889" max="5889" width="49.5" style="446" bestFit="1" customWidth="1"/>
    <col min="5890" max="5890" width="9.875" style="446" customWidth="1"/>
    <col min="5891" max="5891" width="10.125" style="446" bestFit="1" customWidth="1"/>
    <col min="5892" max="5892" width="9" style="446"/>
    <col min="5893" max="5893" width="17.25" style="446" bestFit="1" customWidth="1"/>
    <col min="5894" max="5894" width="19.875" style="446" bestFit="1" customWidth="1"/>
    <col min="5895" max="5895" width="12.125" style="446" customWidth="1"/>
    <col min="5896" max="5896" width="15.5" style="446" customWidth="1"/>
    <col min="5897" max="5897" width="18.125" style="446" bestFit="1" customWidth="1"/>
    <col min="5898" max="5898" width="19.875" style="446" bestFit="1" customWidth="1"/>
    <col min="5899" max="5899" width="12.125" style="446" customWidth="1"/>
    <col min="5900" max="5900" width="15.5" style="446" customWidth="1"/>
    <col min="5901" max="5901" width="13.25" style="446" bestFit="1" customWidth="1"/>
    <col min="5902" max="5902" width="7" style="446" customWidth="1"/>
    <col min="5903" max="6144" width="9" style="446"/>
    <col min="6145" max="6145" width="49.5" style="446" bestFit="1" customWidth="1"/>
    <col min="6146" max="6146" width="9.875" style="446" customWidth="1"/>
    <col min="6147" max="6147" width="10.125" style="446" bestFit="1" customWidth="1"/>
    <col min="6148" max="6148" width="9" style="446"/>
    <col min="6149" max="6149" width="17.25" style="446" bestFit="1" customWidth="1"/>
    <col min="6150" max="6150" width="19.875" style="446" bestFit="1" customWidth="1"/>
    <col min="6151" max="6151" width="12.125" style="446" customWidth="1"/>
    <col min="6152" max="6152" width="15.5" style="446" customWidth="1"/>
    <col min="6153" max="6153" width="18.125" style="446" bestFit="1" customWidth="1"/>
    <col min="6154" max="6154" width="19.875" style="446" bestFit="1" customWidth="1"/>
    <col min="6155" max="6155" width="12.125" style="446" customWidth="1"/>
    <col min="6156" max="6156" width="15.5" style="446" customWidth="1"/>
    <col min="6157" max="6157" width="13.25" style="446" bestFit="1" customWidth="1"/>
    <col min="6158" max="6158" width="7" style="446" customWidth="1"/>
    <col min="6159" max="6400" width="9" style="446"/>
    <col min="6401" max="6401" width="49.5" style="446" bestFit="1" customWidth="1"/>
    <col min="6402" max="6402" width="9.875" style="446" customWidth="1"/>
    <col min="6403" max="6403" width="10.125" style="446" bestFit="1" customWidth="1"/>
    <col min="6404" max="6404" width="9" style="446"/>
    <col min="6405" max="6405" width="17.25" style="446" bestFit="1" customWidth="1"/>
    <col min="6406" max="6406" width="19.875" style="446" bestFit="1" customWidth="1"/>
    <col min="6407" max="6407" width="12.125" style="446" customWidth="1"/>
    <col min="6408" max="6408" width="15.5" style="446" customWidth="1"/>
    <col min="6409" max="6409" width="18.125" style="446" bestFit="1" customWidth="1"/>
    <col min="6410" max="6410" width="19.875" style="446" bestFit="1" customWidth="1"/>
    <col min="6411" max="6411" width="12.125" style="446" customWidth="1"/>
    <col min="6412" max="6412" width="15.5" style="446" customWidth="1"/>
    <col min="6413" max="6413" width="13.25" style="446" bestFit="1" customWidth="1"/>
    <col min="6414" max="6414" width="7" style="446" customWidth="1"/>
    <col min="6415" max="6656" width="9" style="446"/>
    <col min="6657" max="6657" width="49.5" style="446" bestFit="1" customWidth="1"/>
    <col min="6658" max="6658" width="9.875" style="446" customWidth="1"/>
    <col min="6659" max="6659" width="10.125" style="446" bestFit="1" customWidth="1"/>
    <col min="6660" max="6660" width="9" style="446"/>
    <col min="6661" max="6661" width="17.25" style="446" bestFit="1" customWidth="1"/>
    <col min="6662" max="6662" width="19.875" style="446" bestFit="1" customWidth="1"/>
    <col min="6663" max="6663" width="12.125" style="446" customWidth="1"/>
    <col min="6664" max="6664" width="15.5" style="446" customWidth="1"/>
    <col min="6665" max="6665" width="18.125" style="446" bestFit="1" customWidth="1"/>
    <col min="6666" max="6666" width="19.875" style="446" bestFit="1" customWidth="1"/>
    <col min="6667" max="6667" width="12.125" style="446" customWidth="1"/>
    <col min="6668" max="6668" width="15.5" style="446" customWidth="1"/>
    <col min="6669" max="6669" width="13.25" style="446" bestFit="1" customWidth="1"/>
    <col min="6670" max="6670" width="7" style="446" customWidth="1"/>
    <col min="6671" max="6912" width="9" style="446"/>
    <col min="6913" max="6913" width="49.5" style="446" bestFit="1" customWidth="1"/>
    <col min="6914" max="6914" width="9.875" style="446" customWidth="1"/>
    <col min="6915" max="6915" width="10.125" style="446" bestFit="1" customWidth="1"/>
    <col min="6916" max="6916" width="9" style="446"/>
    <col min="6917" max="6917" width="17.25" style="446" bestFit="1" customWidth="1"/>
    <col min="6918" max="6918" width="19.875" style="446" bestFit="1" customWidth="1"/>
    <col min="6919" max="6919" width="12.125" style="446" customWidth="1"/>
    <col min="6920" max="6920" width="15.5" style="446" customWidth="1"/>
    <col min="6921" max="6921" width="18.125" style="446" bestFit="1" customWidth="1"/>
    <col min="6922" max="6922" width="19.875" style="446" bestFit="1" customWidth="1"/>
    <col min="6923" max="6923" width="12.125" style="446" customWidth="1"/>
    <col min="6924" max="6924" width="15.5" style="446" customWidth="1"/>
    <col min="6925" max="6925" width="13.25" style="446" bestFit="1" customWidth="1"/>
    <col min="6926" max="6926" width="7" style="446" customWidth="1"/>
    <col min="6927" max="7168" width="9" style="446"/>
    <col min="7169" max="7169" width="49.5" style="446" bestFit="1" customWidth="1"/>
    <col min="7170" max="7170" width="9.875" style="446" customWidth="1"/>
    <col min="7171" max="7171" width="10.125" style="446" bestFit="1" customWidth="1"/>
    <col min="7172" max="7172" width="9" style="446"/>
    <col min="7173" max="7173" width="17.25" style="446" bestFit="1" customWidth="1"/>
    <col min="7174" max="7174" width="19.875" style="446" bestFit="1" customWidth="1"/>
    <col min="7175" max="7175" width="12.125" style="446" customWidth="1"/>
    <col min="7176" max="7176" width="15.5" style="446" customWidth="1"/>
    <col min="7177" max="7177" width="18.125" style="446" bestFit="1" customWidth="1"/>
    <col min="7178" max="7178" width="19.875" style="446" bestFit="1" customWidth="1"/>
    <col min="7179" max="7179" width="12.125" style="446" customWidth="1"/>
    <col min="7180" max="7180" width="15.5" style="446" customWidth="1"/>
    <col min="7181" max="7181" width="13.25" style="446" bestFit="1" customWidth="1"/>
    <col min="7182" max="7182" width="7" style="446" customWidth="1"/>
    <col min="7183" max="7424" width="9" style="446"/>
    <col min="7425" max="7425" width="49.5" style="446" bestFit="1" customWidth="1"/>
    <col min="7426" max="7426" width="9.875" style="446" customWidth="1"/>
    <col min="7427" max="7427" width="10.125" style="446" bestFit="1" customWidth="1"/>
    <col min="7428" max="7428" width="9" style="446"/>
    <col min="7429" max="7429" width="17.25" style="446" bestFit="1" customWidth="1"/>
    <col min="7430" max="7430" width="19.875" style="446" bestFit="1" customWidth="1"/>
    <col min="7431" max="7431" width="12.125" style="446" customWidth="1"/>
    <col min="7432" max="7432" width="15.5" style="446" customWidth="1"/>
    <col min="7433" max="7433" width="18.125" style="446" bestFit="1" customWidth="1"/>
    <col min="7434" max="7434" width="19.875" style="446" bestFit="1" customWidth="1"/>
    <col min="7435" max="7435" width="12.125" style="446" customWidth="1"/>
    <col min="7436" max="7436" width="15.5" style="446" customWidth="1"/>
    <col min="7437" max="7437" width="13.25" style="446" bestFit="1" customWidth="1"/>
    <col min="7438" max="7438" width="7" style="446" customWidth="1"/>
    <col min="7439" max="7680" width="9" style="446"/>
    <col min="7681" max="7681" width="49.5" style="446" bestFit="1" customWidth="1"/>
    <col min="7682" max="7682" width="9.875" style="446" customWidth="1"/>
    <col min="7683" max="7683" width="10.125" style="446" bestFit="1" customWidth="1"/>
    <col min="7684" max="7684" width="9" style="446"/>
    <col min="7685" max="7685" width="17.25" style="446" bestFit="1" customWidth="1"/>
    <col min="7686" max="7686" width="19.875" style="446" bestFit="1" customWidth="1"/>
    <col min="7687" max="7687" width="12.125" style="446" customWidth="1"/>
    <col min="7688" max="7688" width="15.5" style="446" customWidth="1"/>
    <col min="7689" max="7689" width="18.125" style="446" bestFit="1" customWidth="1"/>
    <col min="7690" max="7690" width="19.875" style="446" bestFit="1" customWidth="1"/>
    <col min="7691" max="7691" width="12.125" style="446" customWidth="1"/>
    <col min="7692" max="7692" width="15.5" style="446" customWidth="1"/>
    <col min="7693" max="7693" width="13.25" style="446" bestFit="1" customWidth="1"/>
    <col min="7694" max="7694" width="7" style="446" customWidth="1"/>
    <col min="7695" max="7936" width="9" style="446"/>
    <col min="7937" max="7937" width="49.5" style="446" bestFit="1" customWidth="1"/>
    <col min="7938" max="7938" width="9.875" style="446" customWidth="1"/>
    <col min="7939" max="7939" width="10.125" style="446" bestFit="1" customWidth="1"/>
    <col min="7940" max="7940" width="9" style="446"/>
    <col min="7941" max="7941" width="17.25" style="446" bestFit="1" customWidth="1"/>
    <col min="7942" max="7942" width="19.875" style="446" bestFit="1" customWidth="1"/>
    <col min="7943" max="7943" width="12.125" style="446" customWidth="1"/>
    <col min="7944" max="7944" width="15.5" style="446" customWidth="1"/>
    <col min="7945" max="7945" width="18.125" style="446" bestFit="1" customWidth="1"/>
    <col min="7946" max="7946" width="19.875" style="446" bestFit="1" customWidth="1"/>
    <col min="7947" max="7947" width="12.125" style="446" customWidth="1"/>
    <col min="7948" max="7948" width="15.5" style="446" customWidth="1"/>
    <col min="7949" max="7949" width="13.25" style="446" bestFit="1" customWidth="1"/>
    <col min="7950" max="7950" width="7" style="446" customWidth="1"/>
    <col min="7951" max="8192" width="9" style="446"/>
    <col min="8193" max="8193" width="49.5" style="446" bestFit="1" customWidth="1"/>
    <col min="8194" max="8194" width="9.875" style="446" customWidth="1"/>
    <col min="8195" max="8195" width="10.125" style="446" bestFit="1" customWidth="1"/>
    <col min="8196" max="8196" width="9" style="446"/>
    <col min="8197" max="8197" width="17.25" style="446" bestFit="1" customWidth="1"/>
    <col min="8198" max="8198" width="19.875" style="446" bestFit="1" customWidth="1"/>
    <col min="8199" max="8199" width="12.125" style="446" customWidth="1"/>
    <col min="8200" max="8200" width="15.5" style="446" customWidth="1"/>
    <col min="8201" max="8201" width="18.125" style="446" bestFit="1" customWidth="1"/>
    <col min="8202" max="8202" width="19.875" style="446" bestFit="1" customWidth="1"/>
    <col min="8203" max="8203" width="12.125" style="446" customWidth="1"/>
    <col min="8204" max="8204" width="15.5" style="446" customWidth="1"/>
    <col min="8205" max="8205" width="13.25" style="446" bestFit="1" customWidth="1"/>
    <col min="8206" max="8206" width="7" style="446" customWidth="1"/>
    <col min="8207" max="8448" width="9" style="446"/>
    <col min="8449" max="8449" width="49.5" style="446" bestFit="1" customWidth="1"/>
    <col min="8450" max="8450" width="9.875" style="446" customWidth="1"/>
    <col min="8451" max="8451" width="10.125" style="446" bestFit="1" customWidth="1"/>
    <col min="8452" max="8452" width="9" style="446"/>
    <col min="8453" max="8453" width="17.25" style="446" bestFit="1" customWidth="1"/>
    <col min="8454" max="8454" width="19.875" style="446" bestFit="1" customWidth="1"/>
    <col min="8455" max="8455" width="12.125" style="446" customWidth="1"/>
    <col min="8456" max="8456" width="15.5" style="446" customWidth="1"/>
    <col min="8457" max="8457" width="18.125" style="446" bestFit="1" customWidth="1"/>
    <col min="8458" max="8458" width="19.875" style="446" bestFit="1" customWidth="1"/>
    <col min="8459" max="8459" width="12.125" style="446" customWidth="1"/>
    <col min="8460" max="8460" width="15.5" style="446" customWidth="1"/>
    <col min="8461" max="8461" width="13.25" style="446" bestFit="1" customWidth="1"/>
    <col min="8462" max="8462" width="7" style="446" customWidth="1"/>
    <col min="8463" max="8704" width="9" style="446"/>
    <col min="8705" max="8705" width="49.5" style="446" bestFit="1" customWidth="1"/>
    <col min="8706" max="8706" width="9.875" style="446" customWidth="1"/>
    <col min="8707" max="8707" width="10.125" style="446" bestFit="1" customWidth="1"/>
    <col min="8708" max="8708" width="9" style="446"/>
    <col min="8709" max="8709" width="17.25" style="446" bestFit="1" customWidth="1"/>
    <col min="8710" max="8710" width="19.875" style="446" bestFit="1" customWidth="1"/>
    <col min="8711" max="8711" width="12.125" style="446" customWidth="1"/>
    <col min="8712" max="8712" width="15.5" style="446" customWidth="1"/>
    <col min="8713" max="8713" width="18.125" style="446" bestFit="1" customWidth="1"/>
    <col min="8714" max="8714" width="19.875" style="446" bestFit="1" customWidth="1"/>
    <col min="8715" max="8715" width="12.125" style="446" customWidth="1"/>
    <col min="8716" max="8716" width="15.5" style="446" customWidth="1"/>
    <col min="8717" max="8717" width="13.25" style="446" bestFit="1" customWidth="1"/>
    <col min="8718" max="8718" width="7" style="446" customWidth="1"/>
    <col min="8719" max="8960" width="9" style="446"/>
    <col min="8961" max="8961" width="49.5" style="446" bestFit="1" customWidth="1"/>
    <col min="8962" max="8962" width="9.875" style="446" customWidth="1"/>
    <col min="8963" max="8963" width="10.125" style="446" bestFit="1" customWidth="1"/>
    <col min="8964" max="8964" width="9" style="446"/>
    <col min="8965" max="8965" width="17.25" style="446" bestFit="1" customWidth="1"/>
    <col min="8966" max="8966" width="19.875" style="446" bestFit="1" customWidth="1"/>
    <col min="8967" max="8967" width="12.125" style="446" customWidth="1"/>
    <col min="8968" max="8968" width="15.5" style="446" customWidth="1"/>
    <col min="8969" max="8969" width="18.125" style="446" bestFit="1" customWidth="1"/>
    <col min="8970" max="8970" width="19.875" style="446" bestFit="1" customWidth="1"/>
    <col min="8971" max="8971" width="12.125" style="446" customWidth="1"/>
    <col min="8972" max="8972" width="15.5" style="446" customWidth="1"/>
    <col min="8973" max="8973" width="13.25" style="446" bestFit="1" customWidth="1"/>
    <col min="8974" max="8974" width="7" style="446" customWidth="1"/>
    <col min="8975" max="9216" width="9" style="446"/>
    <col min="9217" max="9217" width="49.5" style="446" bestFit="1" customWidth="1"/>
    <col min="9218" max="9218" width="9.875" style="446" customWidth="1"/>
    <col min="9219" max="9219" width="10.125" style="446" bestFit="1" customWidth="1"/>
    <col min="9220" max="9220" width="9" style="446"/>
    <col min="9221" max="9221" width="17.25" style="446" bestFit="1" customWidth="1"/>
    <col min="9222" max="9222" width="19.875" style="446" bestFit="1" customWidth="1"/>
    <col min="9223" max="9223" width="12.125" style="446" customWidth="1"/>
    <col min="9224" max="9224" width="15.5" style="446" customWidth="1"/>
    <col min="9225" max="9225" width="18.125" style="446" bestFit="1" customWidth="1"/>
    <col min="9226" max="9226" width="19.875" style="446" bestFit="1" customWidth="1"/>
    <col min="9227" max="9227" width="12.125" style="446" customWidth="1"/>
    <col min="9228" max="9228" width="15.5" style="446" customWidth="1"/>
    <col min="9229" max="9229" width="13.25" style="446" bestFit="1" customWidth="1"/>
    <col min="9230" max="9230" width="7" style="446" customWidth="1"/>
    <col min="9231" max="9472" width="9" style="446"/>
    <col min="9473" max="9473" width="49.5" style="446" bestFit="1" customWidth="1"/>
    <col min="9474" max="9474" width="9.875" style="446" customWidth="1"/>
    <col min="9475" max="9475" width="10.125" style="446" bestFit="1" customWidth="1"/>
    <col min="9476" max="9476" width="9" style="446"/>
    <col min="9477" max="9477" width="17.25" style="446" bestFit="1" customWidth="1"/>
    <col min="9478" max="9478" width="19.875" style="446" bestFit="1" customWidth="1"/>
    <col min="9479" max="9479" width="12.125" style="446" customWidth="1"/>
    <col min="9480" max="9480" width="15.5" style="446" customWidth="1"/>
    <col min="9481" max="9481" width="18.125" style="446" bestFit="1" customWidth="1"/>
    <col min="9482" max="9482" width="19.875" style="446" bestFit="1" customWidth="1"/>
    <col min="9483" max="9483" width="12.125" style="446" customWidth="1"/>
    <col min="9484" max="9484" width="15.5" style="446" customWidth="1"/>
    <col min="9485" max="9485" width="13.25" style="446" bestFit="1" customWidth="1"/>
    <col min="9486" max="9486" width="7" style="446" customWidth="1"/>
    <col min="9487" max="9728" width="9" style="446"/>
    <col min="9729" max="9729" width="49.5" style="446" bestFit="1" customWidth="1"/>
    <col min="9730" max="9730" width="9.875" style="446" customWidth="1"/>
    <col min="9731" max="9731" width="10.125" style="446" bestFit="1" customWidth="1"/>
    <col min="9732" max="9732" width="9" style="446"/>
    <col min="9733" max="9733" width="17.25" style="446" bestFit="1" customWidth="1"/>
    <col min="9734" max="9734" width="19.875" style="446" bestFit="1" customWidth="1"/>
    <col min="9735" max="9735" width="12.125" style="446" customWidth="1"/>
    <col min="9736" max="9736" width="15.5" style="446" customWidth="1"/>
    <col min="9737" max="9737" width="18.125" style="446" bestFit="1" customWidth="1"/>
    <col min="9738" max="9738" width="19.875" style="446" bestFit="1" customWidth="1"/>
    <col min="9739" max="9739" width="12.125" style="446" customWidth="1"/>
    <col min="9740" max="9740" width="15.5" style="446" customWidth="1"/>
    <col min="9741" max="9741" width="13.25" style="446" bestFit="1" customWidth="1"/>
    <col min="9742" max="9742" width="7" style="446" customWidth="1"/>
    <col min="9743" max="9984" width="9" style="446"/>
    <col min="9985" max="9985" width="49.5" style="446" bestFit="1" customWidth="1"/>
    <col min="9986" max="9986" width="9.875" style="446" customWidth="1"/>
    <col min="9987" max="9987" width="10.125" style="446" bestFit="1" customWidth="1"/>
    <col min="9988" max="9988" width="9" style="446"/>
    <col min="9989" max="9989" width="17.25" style="446" bestFit="1" customWidth="1"/>
    <col min="9990" max="9990" width="19.875" style="446" bestFit="1" customWidth="1"/>
    <col min="9991" max="9991" width="12.125" style="446" customWidth="1"/>
    <col min="9992" max="9992" width="15.5" style="446" customWidth="1"/>
    <col min="9993" max="9993" width="18.125" style="446" bestFit="1" customWidth="1"/>
    <col min="9994" max="9994" width="19.875" style="446" bestFit="1" customWidth="1"/>
    <col min="9995" max="9995" width="12.125" style="446" customWidth="1"/>
    <col min="9996" max="9996" width="15.5" style="446" customWidth="1"/>
    <col min="9997" max="9997" width="13.25" style="446" bestFit="1" customWidth="1"/>
    <col min="9998" max="9998" width="7" style="446" customWidth="1"/>
    <col min="9999" max="10240" width="9" style="446"/>
    <col min="10241" max="10241" width="49.5" style="446" bestFit="1" customWidth="1"/>
    <col min="10242" max="10242" width="9.875" style="446" customWidth="1"/>
    <col min="10243" max="10243" width="10.125" style="446" bestFit="1" customWidth="1"/>
    <col min="10244" max="10244" width="9" style="446"/>
    <col min="10245" max="10245" width="17.25" style="446" bestFit="1" customWidth="1"/>
    <col min="10246" max="10246" width="19.875" style="446" bestFit="1" customWidth="1"/>
    <col min="10247" max="10247" width="12.125" style="446" customWidth="1"/>
    <col min="10248" max="10248" width="15.5" style="446" customWidth="1"/>
    <col min="10249" max="10249" width="18.125" style="446" bestFit="1" customWidth="1"/>
    <col min="10250" max="10250" width="19.875" style="446" bestFit="1" customWidth="1"/>
    <col min="10251" max="10251" width="12.125" style="446" customWidth="1"/>
    <col min="10252" max="10252" width="15.5" style="446" customWidth="1"/>
    <col min="10253" max="10253" width="13.25" style="446" bestFit="1" customWidth="1"/>
    <col min="10254" max="10254" width="7" style="446" customWidth="1"/>
    <col min="10255" max="10496" width="9" style="446"/>
    <col min="10497" max="10497" width="49.5" style="446" bestFit="1" customWidth="1"/>
    <col min="10498" max="10498" width="9.875" style="446" customWidth="1"/>
    <col min="10499" max="10499" width="10.125" style="446" bestFit="1" customWidth="1"/>
    <col min="10500" max="10500" width="9" style="446"/>
    <col min="10501" max="10501" width="17.25" style="446" bestFit="1" customWidth="1"/>
    <col min="10502" max="10502" width="19.875" style="446" bestFit="1" customWidth="1"/>
    <col min="10503" max="10503" width="12.125" style="446" customWidth="1"/>
    <col min="10504" max="10504" width="15.5" style="446" customWidth="1"/>
    <col min="10505" max="10505" width="18.125" style="446" bestFit="1" customWidth="1"/>
    <col min="10506" max="10506" width="19.875" style="446" bestFit="1" customWidth="1"/>
    <col min="10507" max="10507" width="12.125" style="446" customWidth="1"/>
    <col min="10508" max="10508" width="15.5" style="446" customWidth="1"/>
    <col min="10509" max="10509" width="13.25" style="446" bestFit="1" customWidth="1"/>
    <col min="10510" max="10510" width="7" style="446" customWidth="1"/>
    <col min="10511" max="10752" width="9" style="446"/>
    <col min="10753" max="10753" width="49.5" style="446" bestFit="1" customWidth="1"/>
    <col min="10754" max="10754" width="9.875" style="446" customWidth="1"/>
    <col min="10755" max="10755" width="10.125" style="446" bestFit="1" customWidth="1"/>
    <col min="10756" max="10756" width="9" style="446"/>
    <col min="10757" max="10757" width="17.25" style="446" bestFit="1" customWidth="1"/>
    <col min="10758" max="10758" width="19.875" style="446" bestFit="1" customWidth="1"/>
    <col min="10759" max="10759" width="12.125" style="446" customWidth="1"/>
    <col min="10760" max="10760" width="15.5" style="446" customWidth="1"/>
    <col min="10761" max="10761" width="18.125" style="446" bestFit="1" customWidth="1"/>
    <col min="10762" max="10762" width="19.875" style="446" bestFit="1" customWidth="1"/>
    <col min="10763" max="10763" width="12.125" style="446" customWidth="1"/>
    <col min="10764" max="10764" width="15.5" style="446" customWidth="1"/>
    <col min="10765" max="10765" width="13.25" style="446" bestFit="1" customWidth="1"/>
    <col min="10766" max="10766" width="7" style="446" customWidth="1"/>
    <col min="10767" max="11008" width="9" style="446"/>
    <col min="11009" max="11009" width="49.5" style="446" bestFit="1" customWidth="1"/>
    <col min="11010" max="11010" width="9.875" style="446" customWidth="1"/>
    <col min="11011" max="11011" width="10.125" style="446" bestFit="1" customWidth="1"/>
    <col min="11012" max="11012" width="9" style="446"/>
    <col min="11013" max="11013" width="17.25" style="446" bestFit="1" customWidth="1"/>
    <col min="11014" max="11014" width="19.875" style="446" bestFit="1" customWidth="1"/>
    <col min="11015" max="11015" width="12.125" style="446" customWidth="1"/>
    <col min="11016" max="11016" width="15.5" style="446" customWidth="1"/>
    <col min="11017" max="11017" width="18.125" style="446" bestFit="1" customWidth="1"/>
    <col min="11018" max="11018" width="19.875" style="446" bestFit="1" customWidth="1"/>
    <col min="11019" max="11019" width="12.125" style="446" customWidth="1"/>
    <col min="11020" max="11020" width="15.5" style="446" customWidth="1"/>
    <col min="11021" max="11021" width="13.25" style="446" bestFit="1" customWidth="1"/>
    <col min="11022" max="11022" width="7" style="446" customWidth="1"/>
    <col min="11023" max="11264" width="9" style="446"/>
    <col min="11265" max="11265" width="49.5" style="446" bestFit="1" customWidth="1"/>
    <col min="11266" max="11266" width="9.875" style="446" customWidth="1"/>
    <col min="11267" max="11267" width="10.125" style="446" bestFit="1" customWidth="1"/>
    <col min="11268" max="11268" width="9" style="446"/>
    <col min="11269" max="11269" width="17.25" style="446" bestFit="1" customWidth="1"/>
    <col min="11270" max="11270" width="19.875" style="446" bestFit="1" customWidth="1"/>
    <col min="11271" max="11271" width="12.125" style="446" customWidth="1"/>
    <col min="11272" max="11272" width="15.5" style="446" customWidth="1"/>
    <col min="11273" max="11273" width="18.125" style="446" bestFit="1" customWidth="1"/>
    <col min="11274" max="11274" width="19.875" style="446" bestFit="1" customWidth="1"/>
    <col min="11275" max="11275" width="12.125" style="446" customWidth="1"/>
    <col min="11276" max="11276" width="15.5" style="446" customWidth="1"/>
    <col min="11277" max="11277" width="13.25" style="446" bestFit="1" customWidth="1"/>
    <col min="11278" max="11278" width="7" style="446" customWidth="1"/>
    <col min="11279" max="11520" width="9" style="446"/>
    <col min="11521" max="11521" width="49.5" style="446" bestFit="1" customWidth="1"/>
    <col min="11522" max="11522" width="9.875" style="446" customWidth="1"/>
    <col min="11523" max="11523" width="10.125" style="446" bestFit="1" customWidth="1"/>
    <col min="11524" max="11524" width="9" style="446"/>
    <col min="11525" max="11525" width="17.25" style="446" bestFit="1" customWidth="1"/>
    <col min="11526" max="11526" width="19.875" style="446" bestFit="1" customWidth="1"/>
    <col min="11527" max="11527" width="12.125" style="446" customWidth="1"/>
    <col min="11528" max="11528" width="15.5" style="446" customWidth="1"/>
    <col min="11529" max="11529" width="18.125" style="446" bestFit="1" customWidth="1"/>
    <col min="11530" max="11530" width="19.875" style="446" bestFit="1" customWidth="1"/>
    <col min="11531" max="11531" width="12.125" style="446" customWidth="1"/>
    <col min="11532" max="11532" width="15.5" style="446" customWidth="1"/>
    <col min="11533" max="11533" width="13.25" style="446" bestFit="1" customWidth="1"/>
    <col min="11534" max="11534" width="7" style="446" customWidth="1"/>
    <col min="11535" max="11776" width="9" style="446"/>
    <col min="11777" max="11777" width="49.5" style="446" bestFit="1" customWidth="1"/>
    <col min="11778" max="11778" width="9.875" style="446" customWidth="1"/>
    <col min="11779" max="11779" width="10.125" style="446" bestFit="1" customWidth="1"/>
    <col min="11780" max="11780" width="9" style="446"/>
    <col min="11781" max="11781" width="17.25" style="446" bestFit="1" customWidth="1"/>
    <col min="11782" max="11782" width="19.875" style="446" bestFit="1" customWidth="1"/>
    <col min="11783" max="11783" width="12.125" style="446" customWidth="1"/>
    <col min="11784" max="11784" width="15.5" style="446" customWidth="1"/>
    <col min="11785" max="11785" width="18.125" style="446" bestFit="1" customWidth="1"/>
    <col min="11786" max="11786" width="19.875" style="446" bestFit="1" customWidth="1"/>
    <col min="11787" max="11787" width="12.125" style="446" customWidth="1"/>
    <col min="11788" max="11788" width="15.5" style="446" customWidth="1"/>
    <col min="11789" max="11789" width="13.25" style="446" bestFit="1" customWidth="1"/>
    <col min="11790" max="11790" width="7" style="446" customWidth="1"/>
    <col min="11791" max="12032" width="9" style="446"/>
    <col min="12033" max="12033" width="49.5" style="446" bestFit="1" customWidth="1"/>
    <col min="12034" max="12034" width="9.875" style="446" customWidth="1"/>
    <col min="12035" max="12035" width="10.125" style="446" bestFit="1" customWidth="1"/>
    <col min="12036" max="12036" width="9" style="446"/>
    <col min="12037" max="12037" width="17.25" style="446" bestFit="1" customWidth="1"/>
    <col min="12038" max="12038" width="19.875" style="446" bestFit="1" customWidth="1"/>
    <col min="12039" max="12039" width="12.125" style="446" customWidth="1"/>
    <col min="12040" max="12040" width="15.5" style="446" customWidth="1"/>
    <col min="12041" max="12041" width="18.125" style="446" bestFit="1" customWidth="1"/>
    <col min="12042" max="12042" width="19.875" style="446" bestFit="1" customWidth="1"/>
    <col min="12043" max="12043" width="12.125" style="446" customWidth="1"/>
    <col min="12044" max="12044" width="15.5" style="446" customWidth="1"/>
    <col min="12045" max="12045" width="13.25" style="446" bestFit="1" customWidth="1"/>
    <col min="12046" max="12046" width="7" style="446" customWidth="1"/>
    <col min="12047" max="12288" width="9" style="446"/>
    <col min="12289" max="12289" width="49.5" style="446" bestFit="1" customWidth="1"/>
    <col min="12290" max="12290" width="9.875" style="446" customWidth="1"/>
    <col min="12291" max="12291" width="10.125" style="446" bestFit="1" customWidth="1"/>
    <col min="12292" max="12292" width="9" style="446"/>
    <col min="12293" max="12293" width="17.25" style="446" bestFit="1" customWidth="1"/>
    <col min="12294" max="12294" width="19.875" style="446" bestFit="1" customWidth="1"/>
    <col min="12295" max="12295" width="12.125" style="446" customWidth="1"/>
    <col min="12296" max="12296" width="15.5" style="446" customWidth="1"/>
    <col min="12297" max="12297" width="18.125" style="446" bestFit="1" customWidth="1"/>
    <col min="12298" max="12298" width="19.875" style="446" bestFit="1" customWidth="1"/>
    <col min="12299" max="12299" width="12.125" style="446" customWidth="1"/>
    <col min="12300" max="12300" width="15.5" style="446" customWidth="1"/>
    <col min="12301" max="12301" width="13.25" style="446" bestFit="1" customWidth="1"/>
    <col min="12302" max="12302" width="7" style="446" customWidth="1"/>
    <col min="12303" max="12544" width="9" style="446"/>
    <col min="12545" max="12545" width="49.5" style="446" bestFit="1" customWidth="1"/>
    <col min="12546" max="12546" width="9.875" style="446" customWidth="1"/>
    <col min="12547" max="12547" width="10.125" style="446" bestFit="1" customWidth="1"/>
    <col min="12548" max="12548" width="9" style="446"/>
    <col min="12549" max="12549" width="17.25" style="446" bestFit="1" customWidth="1"/>
    <col min="12550" max="12550" width="19.875" style="446" bestFit="1" customWidth="1"/>
    <col min="12551" max="12551" width="12.125" style="446" customWidth="1"/>
    <col min="12552" max="12552" width="15.5" style="446" customWidth="1"/>
    <col min="12553" max="12553" width="18.125" style="446" bestFit="1" customWidth="1"/>
    <col min="12554" max="12554" width="19.875" style="446" bestFit="1" customWidth="1"/>
    <col min="12555" max="12555" width="12.125" style="446" customWidth="1"/>
    <col min="12556" max="12556" width="15.5" style="446" customWidth="1"/>
    <col min="12557" max="12557" width="13.25" style="446" bestFit="1" customWidth="1"/>
    <col min="12558" max="12558" width="7" style="446" customWidth="1"/>
    <col min="12559" max="12800" width="9" style="446"/>
    <col min="12801" max="12801" width="49.5" style="446" bestFit="1" customWidth="1"/>
    <col min="12802" max="12802" width="9.875" style="446" customWidth="1"/>
    <col min="12803" max="12803" width="10.125" style="446" bestFit="1" customWidth="1"/>
    <col min="12804" max="12804" width="9" style="446"/>
    <col min="12805" max="12805" width="17.25" style="446" bestFit="1" customWidth="1"/>
    <col min="12806" max="12806" width="19.875" style="446" bestFit="1" customWidth="1"/>
    <col min="12807" max="12807" width="12.125" style="446" customWidth="1"/>
    <col min="12808" max="12808" width="15.5" style="446" customWidth="1"/>
    <col min="12809" max="12809" width="18.125" style="446" bestFit="1" customWidth="1"/>
    <col min="12810" max="12810" width="19.875" style="446" bestFit="1" customWidth="1"/>
    <col min="12811" max="12811" width="12.125" style="446" customWidth="1"/>
    <col min="12812" max="12812" width="15.5" style="446" customWidth="1"/>
    <col min="12813" max="12813" width="13.25" style="446" bestFit="1" customWidth="1"/>
    <col min="12814" max="12814" width="7" style="446" customWidth="1"/>
    <col min="12815" max="13056" width="9" style="446"/>
    <col min="13057" max="13057" width="49.5" style="446" bestFit="1" customWidth="1"/>
    <col min="13058" max="13058" width="9.875" style="446" customWidth="1"/>
    <col min="13059" max="13059" width="10.125" style="446" bestFit="1" customWidth="1"/>
    <col min="13060" max="13060" width="9" style="446"/>
    <col min="13061" max="13061" width="17.25" style="446" bestFit="1" customWidth="1"/>
    <col min="13062" max="13062" width="19.875" style="446" bestFit="1" customWidth="1"/>
    <col min="13063" max="13063" width="12.125" style="446" customWidth="1"/>
    <col min="13064" max="13064" width="15.5" style="446" customWidth="1"/>
    <col min="13065" max="13065" width="18.125" style="446" bestFit="1" customWidth="1"/>
    <col min="13066" max="13066" width="19.875" style="446" bestFit="1" customWidth="1"/>
    <col min="13067" max="13067" width="12.125" style="446" customWidth="1"/>
    <col min="13068" max="13068" width="15.5" style="446" customWidth="1"/>
    <col min="13069" max="13069" width="13.25" style="446" bestFit="1" customWidth="1"/>
    <col min="13070" max="13070" width="7" style="446" customWidth="1"/>
    <col min="13071" max="13312" width="9" style="446"/>
    <col min="13313" max="13313" width="49.5" style="446" bestFit="1" customWidth="1"/>
    <col min="13314" max="13314" width="9.875" style="446" customWidth="1"/>
    <col min="13315" max="13315" width="10.125" style="446" bestFit="1" customWidth="1"/>
    <col min="13316" max="13316" width="9" style="446"/>
    <col min="13317" max="13317" width="17.25" style="446" bestFit="1" customWidth="1"/>
    <col min="13318" max="13318" width="19.875" style="446" bestFit="1" customWidth="1"/>
    <col min="13319" max="13319" width="12.125" style="446" customWidth="1"/>
    <col min="13320" max="13320" width="15.5" style="446" customWidth="1"/>
    <col min="13321" max="13321" width="18.125" style="446" bestFit="1" customWidth="1"/>
    <col min="13322" max="13322" width="19.875" style="446" bestFit="1" customWidth="1"/>
    <col min="13323" max="13323" width="12.125" style="446" customWidth="1"/>
    <col min="13324" max="13324" width="15.5" style="446" customWidth="1"/>
    <col min="13325" max="13325" width="13.25" style="446" bestFit="1" customWidth="1"/>
    <col min="13326" max="13326" width="7" style="446" customWidth="1"/>
    <col min="13327" max="13568" width="9" style="446"/>
    <col min="13569" max="13569" width="49.5" style="446" bestFit="1" customWidth="1"/>
    <col min="13570" max="13570" width="9.875" style="446" customWidth="1"/>
    <col min="13571" max="13571" width="10.125" style="446" bestFit="1" customWidth="1"/>
    <col min="13572" max="13572" width="9" style="446"/>
    <col min="13573" max="13573" width="17.25" style="446" bestFit="1" customWidth="1"/>
    <col min="13574" max="13574" width="19.875" style="446" bestFit="1" customWidth="1"/>
    <col min="13575" max="13575" width="12.125" style="446" customWidth="1"/>
    <col min="13576" max="13576" width="15.5" style="446" customWidth="1"/>
    <col min="13577" max="13577" width="18.125" style="446" bestFit="1" customWidth="1"/>
    <col min="13578" max="13578" width="19.875" style="446" bestFit="1" customWidth="1"/>
    <col min="13579" max="13579" width="12.125" style="446" customWidth="1"/>
    <col min="13580" max="13580" width="15.5" style="446" customWidth="1"/>
    <col min="13581" max="13581" width="13.25" style="446" bestFit="1" customWidth="1"/>
    <col min="13582" max="13582" width="7" style="446" customWidth="1"/>
    <col min="13583" max="13824" width="9" style="446"/>
    <col min="13825" max="13825" width="49.5" style="446" bestFit="1" customWidth="1"/>
    <col min="13826" max="13826" width="9.875" style="446" customWidth="1"/>
    <col min="13827" max="13827" width="10.125" style="446" bestFit="1" customWidth="1"/>
    <col min="13828" max="13828" width="9" style="446"/>
    <col min="13829" max="13829" width="17.25" style="446" bestFit="1" customWidth="1"/>
    <col min="13830" max="13830" width="19.875" style="446" bestFit="1" customWidth="1"/>
    <col min="13831" max="13831" width="12.125" style="446" customWidth="1"/>
    <col min="13832" max="13832" width="15.5" style="446" customWidth="1"/>
    <col min="13833" max="13833" width="18.125" style="446" bestFit="1" customWidth="1"/>
    <col min="13834" max="13834" width="19.875" style="446" bestFit="1" customWidth="1"/>
    <col min="13835" max="13835" width="12.125" style="446" customWidth="1"/>
    <col min="13836" max="13836" width="15.5" style="446" customWidth="1"/>
    <col min="13837" max="13837" width="13.25" style="446" bestFit="1" customWidth="1"/>
    <col min="13838" max="13838" width="7" style="446" customWidth="1"/>
    <col min="13839" max="14080" width="9" style="446"/>
    <col min="14081" max="14081" width="49.5" style="446" bestFit="1" customWidth="1"/>
    <col min="14082" max="14082" width="9.875" style="446" customWidth="1"/>
    <col min="14083" max="14083" width="10.125" style="446" bestFit="1" customWidth="1"/>
    <col min="14084" max="14084" width="9" style="446"/>
    <col min="14085" max="14085" width="17.25" style="446" bestFit="1" customWidth="1"/>
    <col min="14086" max="14086" width="19.875" style="446" bestFit="1" customWidth="1"/>
    <col min="14087" max="14087" width="12.125" style="446" customWidth="1"/>
    <col min="14088" max="14088" width="15.5" style="446" customWidth="1"/>
    <col min="14089" max="14089" width="18.125" style="446" bestFit="1" customWidth="1"/>
    <col min="14090" max="14090" width="19.875" style="446" bestFit="1" customWidth="1"/>
    <col min="14091" max="14091" width="12.125" style="446" customWidth="1"/>
    <col min="14092" max="14092" width="15.5" style="446" customWidth="1"/>
    <col min="14093" max="14093" width="13.25" style="446" bestFit="1" customWidth="1"/>
    <col min="14094" max="14094" width="7" style="446" customWidth="1"/>
    <col min="14095" max="14336" width="9" style="446"/>
    <col min="14337" max="14337" width="49.5" style="446" bestFit="1" customWidth="1"/>
    <col min="14338" max="14338" width="9.875" style="446" customWidth="1"/>
    <col min="14339" max="14339" width="10.125" style="446" bestFit="1" customWidth="1"/>
    <col min="14340" max="14340" width="9" style="446"/>
    <col min="14341" max="14341" width="17.25" style="446" bestFit="1" customWidth="1"/>
    <col min="14342" max="14342" width="19.875" style="446" bestFit="1" customWidth="1"/>
    <col min="14343" max="14343" width="12.125" style="446" customWidth="1"/>
    <col min="14344" max="14344" width="15.5" style="446" customWidth="1"/>
    <col min="14345" max="14345" width="18.125" style="446" bestFit="1" customWidth="1"/>
    <col min="14346" max="14346" width="19.875" style="446" bestFit="1" customWidth="1"/>
    <col min="14347" max="14347" width="12.125" style="446" customWidth="1"/>
    <col min="14348" max="14348" width="15.5" style="446" customWidth="1"/>
    <col min="14349" max="14349" width="13.25" style="446" bestFit="1" customWidth="1"/>
    <col min="14350" max="14350" width="7" style="446" customWidth="1"/>
    <col min="14351" max="14592" width="9" style="446"/>
    <col min="14593" max="14593" width="49.5" style="446" bestFit="1" customWidth="1"/>
    <col min="14594" max="14594" width="9.875" style="446" customWidth="1"/>
    <col min="14595" max="14595" width="10.125" style="446" bestFit="1" customWidth="1"/>
    <col min="14596" max="14596" width="9" style="446"/>
    <col min="14597" max="14597" width="17.25" style="446" bestFit="1" customWidth="1"/>
    <col min="14598" max="14598" width="19.875" style="446" bestFit="1" customWidth="1"/>
    <col min="14599" max="14599" width="12.125" style="446" customWidth="1"/>
    <col min="14600" max="14600" width="15.5" style="446" customWidth="1"/>
    <col min="14601" max="14601" width="18.125" style="446" bestFit="1" customWidth="1"/>
    <col min="14602" max="14602" width="19.875" style="446" bestFit="1" customWidth="1"/>
    <col min="14603" max="14603" width="12.125" style="446" customWidth="1"/>
    <col min="14604" max="14604" width="15.5" style="446" customWidth="1"/>
    <col min="14605" max="14605" width="13.25" style="446" bestFit="1" customWidth="1"/>
    <col min="14606" max="14606" width="7" style="446" customWidth="1"/>
    <col min="14607" max="14848" width="9" style="446"/>
    <col min="14849" max="14849" width="49.5" style="446" bestFit="1" customWidth="1"/>
    <col min="14850" max="14850" width="9.875" style="446" customWidth="1"/>
    <col min="14851" max="14851" width="10.125" style="446" bestFit="1" customWidth="1"/>
    <col min="14852" max="14852" width="9" style="446"/>
    <col min="14853" max="14853" width="17.25" style="446" bestFit="1" customWidth="1"/>
    <col min="14854" max="14854" width="19.875" style="446" bestFit="1" customWidth="1"/>
    <col min="14855" max="14855" width="12.125" style="446" customWidth="1"/>
    <col min="14856" max="14856" width="15.5" style="446" customWidth="1"/>
    <col min="14857" max="14857" width="18.125" style="446" bestFit="1" customWidth="1"/>
    <col min="14858" max="14858" width="19.875" style="446" bestFit="1" customWidth="1"/>
    <col min="14859" max="14859" width="12.125" style="446" customWidth="1"/>
    <col min="14860" max="14860" width="15.5" style="446" customWidth="1"/>
    <col min="14861" max="14861" width="13.25" style="446" bestFit="1" customWidth="1"/>
    <col min="14862" max="14862" width="7" style="446" customWidth="1"/>
    <col min="14863" max="15104" width="9" style="446"/>
    <col min="15105" max="15105" width="49.5" style="446" bestFit="1" customWidth="1"/>
    <col min="15106" max="15106" width="9.875" style="446" customWidth="1"/>
    <col min="15107" max="15107" width="10.125" style="446" bestFit="1" customWidth="1"/>
    <col min="15108" max="15108" width="9" style="446"/>
    <col min="15109" max="15109" width="17.25" style="446" bestFit="1" customWidth="1"/>
    <col min="15110" max="15110" width="19.875" style="446" bestFit="1" customWidth="1"/>
    <col min="15111" max="15111" width="12.125" style="446" customWidth="1"/>
    <col min="15112" max="15112" width="15.5" style="446" customWidth="1"/>
    <col min="15113" max="15113" width="18.125" style="446" bestFit="1" customWidth="1"/>
    <col min="15114" max="15114" width="19.875" style="446" bestFit="1" customWidth="1"/>
    <col min="15115" max="15115" width="12.125" style="446" customWidth="1"/>
    <col min="15116" max="15116" width="15.5" style="446" customWidth="1"/>
    <col min="15117" max="15117" width="13.25" style="446" bestFit="1" customWidth="1"/>
    <col min="15118" max="15118" width="7" style="446" customWidth="1"/>
    <col min="15119" max="15360" width="9" style="446"/>
    <col min="15361" max="15361" width="49.5" style="446" bestFit="1" customWidth="1"/>
    <col min="15362" max="15362" width="9.875" style="446" customWidth="1"/>
    <col min="15363" max="15363" width="10.125" style="446" bestFit="1" customWidth="1"/>
    <col min="15364" max="15364" width="9" style="446"/>
    <col min="15365" max="15365" width="17.25" style="446" bestFit="1" customWidth="1"/>
    <col min="15366" max="15366" width="19.875" style="446" bestFit="1" customWidth="1"/>
    <col min="15367" max="15367" width="12.125" style="446" customWidth="1"/>
    <col min="15368" max="15368" width="15.5" style="446" customWidth="1"/>
    <col min="15369" max="15369" width="18.125" style="446" bestFit="1" customWidth="1"/>
    <col min="15370" max="15370" width="19.875" style="446" bestFit="1" customWidth="1"/>
    <col min="15371" max="15371" width="12.125" style="446" customWidth="1"/>
    <col min="15372" max="15372" width="15.5" style="446" customWidth="1"/>
    <col min="15373" max="15373" width="13.25" style="446" bestFit="1" customWidth="1"/>
    <col min="15374" max="15374" width="7" style="446" customWidth="1"/>
    <col min="15375" max="15616" width="9" style="446"/>
    <col min="15617" max="15617" width="49.5" style="446" bestFit="1" customWidth="1"/>
    <col min="15618" max="15618" width="9.875" style="446" customWidth="1"/>
    <col min="15619" max="15619" width="10.125" style="446" bestFit="1" customWidth="1"/>
    <col min="15620" max="15620" width="9" style="446"/>
    <col min="15621" max="15621" width="17.25" style="446" bestFit="1" customWidth="1"/>
    <col min="15622" max="15622" width="19.875" style="446" bestFit="1" customWidth="1"/>
    <col min="15623" max="15623" width="12.125" style="446" customWidth="1"/>
    <col min="15624" max="15624" width="15.5" style="446" customWidth="1"/>
    <col min="15625" max="15625" width="18.125" style="446" bestFit="1" customWidth="1"/>
    <col min="15626" max="15626" width="19.875" style="446" bestFit="1" customWidth="1"/>
    <col min="15627" max="15627" width="12.125" style="446" customWidth="1"/>
    <col min="15628" max="15628" width="15.5" style="446" customWidth="1"/>
    <col min="15629" max="15629" width="13.25" style="446" bestFit="1" customWidth="1"/>
    <col min="15630" max="15630" width="7" style="446" customWidth="1"/>
    <col min="15631" max="15872" width="9" style="446"/>
    <col min="15873" max="15873" width="49.5" style="446" bestFit="1" customWidth="1"/>
    <col min="15874" max="15874" width="9.875" style="446" customWidth="1"/>
    <col min="15875" max="15875" width="10.125" style="446" bestFit="1" customWidth="1"/>
    <col min="15876" max="15876" width="9" style="446"/>
    <col min="15877" max="15877" width="17.25" style="446" bestFit="1" customWidth="1"/>
    <col min="15878" max="15878" width="19.875" style="446" bestFit="1" customWidth="1"/>
    <col min="15879" max="15879" width="12.125" style="446" customWidth="1"/>
    <col min="15880" max="15880" width="15.5" style="446" customWidth="1"/>
    <col min="15881" max="15881" width="18.125" style="446" bestFit="1" customWidth="1"/>
    <col min="15882" max="15882" width="19.875" style="446" bestFit="1" customWidth="1"/>
    <col min="15883" max="15883" width="12.125" style="446" customWidth="1"/>
    <col min="15884" max="15884" width="15.5" style="446" customWidth="1"/>
    <col min="15885" max="15885" width="13.25" style="446" bestFit="1" customWidth="1"/>
    <col min="15886" max="15886" width="7" style="446" customWidth="1"/>
    <col min="15887" max="16128" width="9" style="446"/>
    <col min="16129" max="16129" width="49.5" style="446" bestFit="1" customWidth="1"/>
    <col min="16130" max="16130" width="9.875" style="446" customWidth="1"/>
    <col min="16131" max="16131" width="10.125" style="446" bestFit="1" customWidth="1"/>
    <col min="16132" max="16132" width="9" style="446"/>
    <col min="16133" max="16133" width="17.25" style="446" bestFit="1" customWidth="1"/>
    <col min="16134" max="16134" width="19.875" style="446" bestFit="1" customWidth="1"/>
    <col min="16135" max="16135" width="12.125" style="446" customWidth="1"/>
    <col min="16136" max="16136" width="15.5" style="446" customWidth="1"/>
    <col min="16137" max="16137" width="18.125" style="446" bestFit="1" customWidth="1"/>
    <col min="16138" max="16138" width="19.875" style="446" bestFit="1" customWidth="1"/>
    <col min="16139" max="16139" width="12.125" style="446" customWidth="1"/>
    <col min="16140" max="16140" width="15.5" style="446" customWidth="1"/>
    <col min="16141" max="16141" width="13.25" style="446" bestFit="1" customWidth="1"/>
    <col min="16142" max="16142" width="7" style="446" customWidth="1"/>
    <col min="16143" max="16384" width="9" style="446"/>
  </cols>
  <sheetData>
    <row r="1" spans="1:13" s="431" customFormat="1" ht="41.25" customHeight="1">
      <c r="A1" s="1544" t="s">
        <v>85</v>
      </c>
      <c r="B1" s="1544"/>
      <c r="C1" s="1544"/>
      <c r="D1" s="1544"/>
      <c r="E1" s="1544"/>
      <c r="F1" s="1544"/>
      <c r="G1" s="1544"/>
      <c r="H1" s="1544"/>
      <c r="I1" s="1544"/>
      <c r="J1" s="1544"/>
      <c r="K1" s="1544"/>
      <c r="L1" s="1544"/>
      <c r="M1" s="1544"/>
    </row>
    <row r="2" spans="1:13" s="431" customFormat="1" ht="17.25" customHeight="1">
      <c r="A2" s="438"/>
      <c r="B2" s="438"/>
      <c r="C2" s="438"/>
      <c r="D2" s="438"/>
      <c r="E2" s="438"/>
      <c r="F2" s="438"/>
      <c r="G2" s="438"/>
      <c r="H2" s="438"/>
      <c r="I2" s="438"/>
      <c r="J2" s="438"/>
      <c r="K2" s="438"/>
      <c r="L2" s="438"/>
      <c r="M2" s="439"/>
    </row>
    <row r="3" spans="1:13" s="432" customFormat="1" ht="18.75" customHeight="1">
      <c r="A3" s="1482" t="s">
        <v>302</v>
      </c>
      <c r="B3" s="1482" t="s">
        <v>303</v>
      </c>
      <c r="C3" s="1482" t="s">
        <v>4</v>
      </c>
      <c r="D3" s="1482" t="s">
        <v>304</v>
      </c>
      <c r="E3" s="1482" t="s">
        <v>305</v>
      </c>
      <c r="F3" s="1482"/>
      <c r="G3" s="1482" t="s">
        <v>306</v>
      </c>
      <c r="H3" s="1482"/>
      <c r="I3" s="1482" t="s">
        <v>307</v>
      </c>
      <c r="J3" s="1482"/>
      <c r="K3" s="1482" t="s">
        <v>88</v>
      </c>
      <c r="L3" s="1482"/>
      <c r="M3" s="1482" t="s">
        <v>308</v>
      </c>
    </row>
    <row r="4" spans="1:13" s="432" customFormat="1" ht="18.75" customHeight="1">
      <c r="A4" s="1482"/>
      <c r="B4" s="1482"/>
      <c r="C4" s="1482"/>
      <c r="D4" s="1482"/>
      <c r="E4" s="401" t="s">
        <v>309</v>
      </c>
      <c r="F4" s="401" t="s">
        <v>310</v>
      </c>
      <c r="G4" s="401" t="s">
        <v>89</v>
      </c>
      <c r="H4" s="401" t="s">
        <v>90</v>
      </c>
      <c r="I4" s="401" t="s">
        <v>89</v>
      </c>
      <c r="J4" s="401" t="s">
        <v>90</v>
      </c>
      <c r="K4" s="401" t="s">
        <v>89</v>
      </c>
      <c r="L4" s="401" t="s">
        <v>90</v>
      </c>
      <c r="M4" s="1482"/>
    </row>
    <row r="5" spans="1:13" s="433" customFormat="1" ht="18.75" customHeight="1">
      <c r="A5" s="96" t="s">
        <v>311</v>
      </c>
      <c r="B5" s="97"/>
      <c r="C5" s="97"/>
      <c r="D5" s="97"/>
      <c r="E5" s="97"/>
      <c r="F5" s="97"/>
      <c r="G5" s="97"/>
      <c r="H5" s="97"/>
      <c r="I5" s="97"/>
      <c r="J5" s="97"/>
      <c r="K5" s="97"/>
      <c r="L5" s="97"/>
      <c r="M5" s="97"/>
    </row>
    <row r="6" spans="1:13" s="434" customFormat="1" ht="18.75" customHeight="1">
      <c r="A6" s="440" t="s">
        <v>312</v>
      </c>
      <c r="B6" s="116"/>
      <c r="C6" s="116"/>
      <c r="D6" s="116"/>
      <c r="E6" s="116"/>
      <c r="F6" s="441">
        <f>SUM(F7:F9)</f>
        <v>4140689</v>
      </c>
      <c r="G6" s="116"/>
      <c r="H6" s="441"/>
      <c r="I6" s="116"/>
      <c r="J6" s="441">
        <f>SUM(J7:J9)</f>
        <v>4140689</v>
      </c>
      <c r="K6" s="116"/>
      <c r="L6" s="116"/>
      <c r="M6" s="75"/>
    </row>
    <row r="7" spans="1:13" s="435" customFormat="1" ht="18.75" customHeight="1">
      <c r="A7" s="442" t="s">
        <v>313</v>
      </c>
      <c r="B7" s="21"/>
      <c r="C7" s="21">
        <v>1</v>
      </c>
      <c r="D7" s="400" t="s">
        <v>314</v>
      </c>
      <c r="E7" s="107">
        <f t="shared" ref="E7" si="0">G7+I7+K7</f>
        <v>0</v>
      </c>
      <c r="F7" s="107">
        <f t="shared" ref="F7" si="1">H7+J7+L7</f>
        <v>1048171</v>
      </c>
      <c r="G7" s="21"/>
      <c r="H7" s="21"/>
      <c r="I7" s="21"/>
      <c r="J7" s="21">
        <f>'2-1.일위대가'!J14</f>
        <v>1048171</v>
      </c>
      <c r="K7" s="21"/>
      <c r="L7" s="21"/>
      <c r="M7" s="400" t="s">
        <v>315</v>
      </c>
    </row>
    <row r="8" spans="1:13" s="432" customFormat="1" ht="18.75" customHeight="1">
      <c r="A8" s="442" t="s">
        <v>316</v>
      </c>
      <c r="B8" s="107"/>
      <c r="C8" s="107">
        <f>'[21]5-3.산출근거'!C19</f>
        <v>0.69</v>
      </c>
      <c r="D8" s="400" t="s">
        <v>314</v>
      </c>
      <c r="E8" s="107">
        <f t="shared" ref="E8:F9" si="2">G8+I8+K8</f>
        <v>0</v>
      </c>
      <c r="F8" s="107">
        <f t="shared" si="2"/>
        <v>2897065</v>
      </c>
      <c r="G8" s="107"/>
      <c r="H8" s="107"/>
      <c r="I8" s="107"/>
      <c r="J8" s="107">
        <f>'2-1.일위대가'!J26</f>
        <v>2897065</v>
      </c>
      <c r="K8" s="107"/>
      <c r="L8" s="107"/>
      <c r="M8" s="400" t="s">
        <v>317</v>
      </c>
    </row>
    <row r="9" spans="1:13" s="432" customFormat="1" ht="18.75" customHeight="1">
      <c r="A9" s="442" t="s">
        <v>318</v>
      </c>
      <c r="B9" s="107"/>
      <c r="C9" s="107">
        <f>'[21]5-3.산출근거'!C19</f>
        <v>0.69</v>
      </c>
      <c r="D9" s="400" t="s">
        <v>314</v>
      </c>
      <c r="E9" s="107">
        <f t="shared" si="2"/>
        <v>0</v>
      </c>
      <c r="F9" s="107">
        <f t="shared" si="2"/>
        <v>195453</v>
      </c>
      <c r="G9" s="107"/>
      <c r="H9" s="107"/>
      <c r="I9" s="107"/>
      <c r="J9" s="107">
        <f>'2-1.일위대가'!J38</f>
        <v>195453</v>
      </c>
      <c r="K9" s="107"/>
      <c r="L9" s="107"/>
      <c r="M9" s="400" t="s">
        <v>12</v>
      </c>
    </row>
    <row r="10" spans="1:13" s="432" customFormat="1" ht="18.75" customHeight="1">
      <c r="A10" s="442"/>
      <c r="B10" s="107"/>
      <c r="C10" s="107"/>
      <c r="D10" s="400"/>
      <c r="E10" s="107"/>
      <c r="F10" s="107"/>
      <c r="G10" s="107"/>
      <c r="H10" s="107"/>
      <c r="I10" s="107"/>
      <c r="J10" s="107"/>
      <c r="K10" s="107"/>
      <c r="L10" s="107"/>
      <c r="M10" s="400"/>
    </row>
    <row r="11" spans="1:13" s="434" customFormat="1" ht="18.75" customHeight="1">
      <c r="A11" s="440" t="s">
        <v>319</v>
      </c>
      <c r="B11" s="116"/>
      <c r="C11" s="116"/>
      <c r="D11" s="116"/>
      <c r="E11" s="116"/>
      <c r="F11" s="441">
        <f>SUM(F12)</f>
        <v>808485.15445000003</v>
      </c>
      <c r="G11" s="116"/>
      <c r="H11" s="441"/>
      <c r="I11" s="116"/>
      <c r="J11" s="441">
        <f>SUM(J12:J14)</f>
        <v>808485.15445000003</v>
      </c>
      <c r="K11" s="116"/>
      <c r="L11" s="116"/>
      <c r="M11" s="75"/>
    </row>
    <row r="12" spans="1:13" s="435" customFormat="1" ht="18.75" customHeight="1">
      <c r="A12" s="442" t="s">
        <v>320</v>
      </c>
      <c r="B12" s="21"/>
      <c r="C12" s="21">
        <v>1</v>
      </c>
      <c r="D12" s="400" t="s">
        <v>314</v>
      </c>
      <c r="E12" s="107">
        <f t="shared" ref="E12" si="3">G12+I12+K12</f>
        <v>0</v>
      </c>
      <c r="F12" s="107">
        <f t="shared" ref="F12" si="4">H12+J12+L12</f>
        <v>808485.15445000003</v>
      </c>
      <c r="G12" s="21"/>
      <c r="H12" s="21"/>
      <c r="I12" s="21"/>
      <c r="J12" s="21">
        <f>'2-1.일위대가'!L43</f>
        <v>808485.15445000003</v>
      </c>
      <c r="K12" s="21"/>
      <c r="L12" s="21"/>
      <c r="M12" s="400" t="s">
        <v>321</v>
      </c>
    </row>
    <row r="13" spans="1:13" s="436" customFormat="1" ht="18.75" customHeight="1">
      <c r="A13" s="104"/>
      <c r="B13" s="107"/>
      <c r="C13" s="107"/>
      <c r="D13" s="107"/>
      <c r="E13" s="107"/>
      <c r="F13" s="107"/>
      <c r="G13" s="107"/>
      <c r="H13" s="107"/>
      <c r="I13" s="107"/>
      <c r="J13" s="107"/>
      <c r="K13" s="107"/>
      <c r="L13" s="107"/>
      <c r="M13" s="400"/>
    </row>
    <row r="14" spans="1:13" s="434" customFormat="1" ht="18.75" customHeight="1">
      <c r="A14" s="440" t="s">
        <v>322</v>
      </c>
      <c r="B14" s="116"/>
      <c r="C14" s="116"/>
      <c r="D14" s="116"/>
      <c r="E14" s="116"/>
      <c r="F14" s="116">
        <f>INT(F6*1.2)</f>
        <v>4968826</v>
      </c>
      <c r="G14" s="116"/>
      <c r="H14" s="116"/>
      <c r="I14" s="116"/>
      <c r="J14" s="116"/>
      <c r="K14" s="116"/>
      <c r="L14" s="116"/>
      <c r="M14" s="75"/>
    </row>
    <row r="15" spans="1:13" s="436" customFormat="1" ht="18.75" customHeight="1">
      <c r="A15" s="442"/>
      <c r="B15" s="107"/>
      <c r="C15" s="107"/>
      <c r="D15" s="107"/>
      <c r="E15" s="107"/>
      <c r="F15" s="107"/>
      <c r="G15" s="107"/>
      <c r="H15" s="107"/>
      <c r="I15" s="107"/>
      <c r="J15" s="107"/>
      <c r="K15" s="107"/>
      <c r="L15" s="107"/>
      <c r="M15" s="400"/>
    </row>
    <row r="16" spans="1:13" s="434" customFormat="1" ht="18.75" customHeight="1">
      <c r="A16" s="440" t="s">
        <v>323</v>
      </c>
      <c r="B16" s="116"/>
      <c r="C16" s="116"/>
      <c r="D16" s="116"/>
      <c r="E16" s="116"/>
      <c r="F16" s="116">
        <f>INT((F6+F14)*0.3)-854</f>
        <v>2732000</v>
      </c>
      <c r="G16" s="116"/>
      <c r="H16" s="116"/>
      <c r="I16" s="116"/>
      <c r="J16" s="116"/>
      <c r="K16" s="116"/>
      <c r="L16" s="116"/>
      <c r="M16" s="75"/>
    </row>
    <row r="17" spans="1:13" s="436" customFormat="1" ht="18.75" customHeight="1">
      <c r="A17" s="442"/>
      <c r="B17" s="107"/>
      <c r="C17" s="107"/>
      <c r="D17" s="107"/>
      <c r="E17" s="107"/>
      <c r="F17" s="107"/>
      <c r="G17" s="107"/>
      <c r="H17" s="107"/>
      <c r="I17" s="107"/>
      <c r="J17" s="107"/>
      <c r="K17" s="107"/>
      <c r="L17" s="107"/>
      <c r="M17" s="400"/>
    </row>
    <row r="18" spans="1:13" s="435" customFormat="1" ht="18.75" customHeight="1">
      <c r="A18" s="97" t="s">
        <v>324</v>
      </c>
      <c r="B18" s="103"/>
      <c r="C18" s="103"/>
      <c r="D18" s="103"/>
      <c r="E18" s="103"/>
      <c r="F18" s="103">
        <f>ROUND(F6+F11+F14+F16,0)</f>
        <v>12650000</v>
      </c>
      <c r="G18" s="103"/>
      <c r="H18" s="103"/>
      <c r="I18" s="103"/>
      <c r="J18" s="103"/>
      <c r="K18" s="103"/>
      <c r="L18" s="103"/>
      <c r="M18" s="98"/>
    </row>
    <row r="19" spans="1:13" s="436" customFormat="1" ht="18.75" customHeight="1">
      <c r="A19" s="105"/>
      <c r="B19" s="107"/>
      <c r="C19" s="107"/>
      <c r="D19" s="107"/>
      <c r="E19" s="107"/>
      <c r="F19" s="107"/>
      <c r="G19" s="107"/>
      <c r="H19" s="107"/>
      <c r="I19" s="107"/>
      <c r="J19" s="107"/>
      <c r="K19" s="107"/>
      <c r="L19" s="107"/>
      <c r="M19" s="400"/>
    </row>
    <row r="20" spans="1:13" s="434" customFormat="1" ht="18.75" customHeight="1">
      <c r="A20" s="440" t="s">
        <v>325</v>
      </c>
      <c r="B20" s="116"/>
      <c r="C20" s="116"/>
      <c r="D20" s="116"/>
      <c r="E20" s="116"/>
      <c r="F20" s="116">
        <f>INT(F18*0.1)</f>
        <v>1265000</v>
      </c>
      <c r="G20" s="116"/>
      <c r="H20" s="116"/>
      <c r="I20" s="116"/>
      <c r="J20" s="116"/>
      <c r="K20" s="116"/>
      <c r="L20" s="116"/>
      <c r="M20" s="75"/>
    </row>
    <row r="21" spans="1:13" s="435" customFormat="1" ht="18.75" customHeight="1">
      <c r="A21" s="443"/>
      <c r="B21" s="430"/>
      <c r="C21" s="430"/>
      <c r="D21" s="430"/>
      <c r="E21" s="430"/>
      <c r="F21" s="430"/>
      <c r="G21" s="430"/>
      <c r="H21" s="430"/>
      <c r="I21" s="430"/>
      <c r="J21" s="430"/>
      <c r="K21" s="430"/>
      <c r="L21" s="430"/>
      <c r="M21" s="444"/>
    </row>
    <row r="22" spans="1:13" s="437" customFormat="1" ht="18.75" customHeight="1">
      <c r="A22" s="112" t="s">
        <v>326</v>
      </c>
      <c r="B22" s="113"/>
      <c r="C22" s="113"/>
      <c r="D22" s="113"/>
      <c r="E22" s="113"/>
      <c r="F22" s="113">
        <f>F18+F20</f>
        <v>13915000</v>
      </c>
      <c r="G22" s="113"/>
      <c r="H22" s="113"/>
      <c r="I22" s="113"/>
      <c r="J22" s="113"/>
      <c r="K22" s="113"/>
      <c r="L22" s="113"/>
      <c r="M22" s="445"/>
    </row>
  </sheetData>
  <mergeCells count="10">
    <mergeCell ref="A1:M1"/>
    <mergeCell ref="A3:A4"/>
    <mergeCell ref="B3:B4"/>
    <mergeCell ref="C3:C4"/>
    <mergeCell ref="D3:D4"/>
    <mergeCell ref="E3:F3"/>
    <mergeCell ref="G3:H3"/>
    <mergeCell ref="I3:J3"/>
    <mergeCell ref="K3:L3"/>
    <mergeCell ref="M3:M4"/>
  </mergeCells>
  <phoneticPr fontId="2" type="noConversion"/>
  <printOptions horizontalCentered="1"/>
  <pageMargins left="0.70866141732283472" right="0.70866141732283472" top="0.74803149606299213" bottom="0.7480314960629921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view="pageBreakPreview" topLeftCell="A10" zoomScale="85" zoomScaleNormal="70" zoomScaleSheetLayoutView="85" workbookViewId="0">
      <selection activeCell="I8" sqref="I8:K8"/>
    </sheetView>
  </sheetViews>
  <sheetFormatPr defaultRowHeight="13.5"/>
  <cols>
    <col min="1" max="1" width="23.125" style="7" customWidth="1"/>
    <col min="2" max="4" width="6.75" style="7" customWidth="1"/>
    <col min="5" max="5" width="9" style="7" customWidth="1"/>
    <col min="6" max="6" width="12.125" style="7" customWidth="1"/>
    <col min="7" max="7" width="8" style="7" customWidth="1"/>
    <col min="8" max="8" width="10.75" style="7" customWidth="1"/>
    <col min="9" max="9" width="9.5" style="7" customWidth="1"/>
    <col min="10" max="10" width="12.75" style="7" customWidth="1"/>
    <col min="11" max="11" width="8.625" style="7" customWidth="1"/>
    <col min="12" max="12" width="11.75" style="7" customWidth="1"/>
    <col min="13" max="256" width="9" style="7"/>
    <col min="257" max="257" width="23.125" style="7" customWidth="1"/>
    <col min="258" max="260" width="9.875" style="7" customWidth="1"/>
    <col min="261" max="268" width="17.75" style="7" customWidth="1"/>
    <col min="269" max="512" width="9" style="7"/>
    <col min="513" max="513" width="23.125" style="7" customWidth="1"/>
    <col min="514" max="516" width="9.875" style="7" customWidth="1"/>
    <col min="517" max="524" width="17.75" style="7" customWidth="1"/>
    <col min="525" max="768" width="9" style="7"/>
    <col min="769" max="769" width="23.125" style="7" customWidth="1"/>
    <col min="770" max="772" width="9.875" style="7" customWidth="1"/>
    <col min="773" max="780" width="17.75" style="7" customWidth="1"/>
    <col min="781" max="1024" width="9" style="7"/>
    <col min="1025" max="1025" width="23.125" style="7" customWidth="1"/>
    <col min="1026" max="1028" width="9.875" style="7" customWidth="1"/>
    <col min="1029" max="1036" width="17.75" style="7" customWidth="1"/>
    <col min="1037" max="1280" width="9" style="7"/>
    <col min="1281" max="1281" width="23.125" style="7" customWidth="1"/>
    <col min="1282" max="1284" width="9.875" style="7" customWidth="1"/>
    <col min="1285" max="1292" width="17.75" style="7" customWidth="1"/>
    <col min="1293" max="1536" width="9" style="7"/>
    <col min="1537" max="1537" width="23.125" style="7" customWidth="1"/>
    <col min="1538" max="1540" width="9.875" style="7" customWidth="1"/>
    <col min="1541" max="1548" width="17.75" style="7" customWidth="1"/>
    <col min="1549" max="1792" width="9" style="7"/>
    <col min="1793" max="1793" width="23.125" style="7" customWidth="1"/>
    <col min="1794" max="1796" width="9.875" style="7" customWidth="1"/>
    <col min="1797" max="1804" width="17.75" style="7" customWidth="1"/>
    <col min="1805" max="2048" width="9" style="7"/>
    <col min="2049" max="2049" width="23.125" style="7" customWidth="1"/>
    <col min="2050" max="2052" width="9.875" style="7" customWidth="1"/>
    <col min="2053" max="2060" width="17.75" style="7" customWidth="1"/>
    <col min="2061" max="2304" width="9" style="7"/>
    <col min="2305" max="2305" width="23.125" style="7" customWidth="1"/>
    <col min="2306" max="2308" width="9.875" style="7" customWidth="1"/>
    <col min="2309" max="2316" width="17.75" style="7" customWidth="1"/>
    <col min="2317" max="2560" width="9" style="7"/>
    <col min="2561" max="2561" width="23.125" style="7" customWidth="1"/>
    <col min="2562" max="2564" width="9.875" style="7" customWidth="1"/>
    <col min="2565" max="2572" width="17.75" style="7" customWidth="1"/>
    <col min="2573" max="2816" width="9" style="7"/>
    <col min="2817" max="2817" width="23.125" style="7" customWidth="1"/>
    <col min="2818" max="2820" width="9.875" style="7" customWidth="1"/>
    <col min="2821" max="2828" width="17.75" style="7" customWidth="1"/>
    <col min="2829" max="3072" width="9" style="7"/>
    <col min="3073" max="3073" width="23.125" style="7" customWidth="1"/>
    <col min="3074" max="3076" width="9.875" style="7" customWidth="1"/>
    <col min="3077" max="3084" width="17.75" style="7" customWidth="1"/>
    <col min="3085" max="3328" width="9" style="7"/>
    <col min="3329" max="3329" width="23.125" style="7" customWidth="1"/>
    <col min="3330" max="3332" width="9.875" style="7" customWidth="1"/>
    <col min="3333" max="3340" width="17.75" style="7" customWidth="1"/>
    <col min="3341" max="3584" width="9" style="7"/>
    <col min="3585" max="3585" width="23.125" style="7" customWidth="1"/>
    <col min="3586" max="3588" width="9.875" style="7" customWidth="1"/>
    <col min="3589" max="3596" width="17.75" style="7" customWidth="1"/>
    <col min="3597" max="3840" width="9" style="7"/>
    <col min="3841" max="3841" width="23.125" style="7" customWidth="1"/>
    <col min="3842" max="3844" width="9.875" style="7" customWidth="1"/>
    <col min="3845" max="3852" width="17.75" style="7" customWidth="1"/>
    <col min="3853" max="4096" width="9" style="7"/>
    <col min="4097" max="4097" width="23.125" style="7" customWidth="1"/>
    <col min="4098" max="4100" width="9.875" style="7" customWidth="1"/>
    <col min="4101" max="4108" width="17.75" style="7" customWidth="1"/>
    <col min="4109" max="4352" width="9" style="7"/>
    <col min="4353" max="4353" width="23.125" style="7" customWidth="1"/>
    <col min="4354" max="4356" width="9.875" style="7" customWidth="1"/>
    <col min="4357" max="4364" width="17.75" style="7" customWidth="1"/>
    <col min="4365" max="4608" width="9" style="7"/>
    <col min="4609" max="4609" width="23.125" style="7" customWidth="1"/>
    <col min="4610" max="4612" width="9.875" style="7" customWidth="1"/>
    <col min="4613" max="4620" width="17.75" style="7" customWidth="1"/>
    <col min="4621" max="4864" width="9" style="7"/>
    <col min="4865" max="4865" width="23.125" style="7" customWidth="1"/>
    <col min="4866" max="4868" width="9.875" style="7" customWidth="1"/>
    <col min="4869" max="4876" width="17.75" style="7" customWidth="1"/>
    <col min="4877" max="5120" width="9" style="7"/>
    <col min="5121" max="5121" width="23.125" style="7" customWidth="1"/>
    <col min="5122" max="5124" width="9.875" style="7" customWidth="1"/>
    <col min="5125" max="5132" width="17.75" style="7" customWidth="1"/>
    <col min="5133" max="5376" width="9" style="7"/>
    <col min="5377" max="5377" width="23.125" style="7" customWidth="1"/>
    <col min="5378" max="5380" width="9.875" style="7" customWidth="1"/>
    <col min="5381" max="5388" width="17.75" style="7" customWidth="1"/>
    <col min="5389" max="5632" width="9" style="7"/>
    <col min="5633" max="5633" width="23.125" style="7" customWidth="1"/>
    <col min="5634" max="5636" width="9.875" style="7" customWidth="1"/>
    <col min="5637" max="5644" width="17.75" style="7" customWidth="1"/>
    <col min="5645" max="5888" width="9" style="7"/>
    <col min="5889" max="5889" width="23.125" style="7" customWidth="1"/>
    <col min="5890" max="5892" width="9.875" style="7" customWidth="1"/>
    <col min="5893" max="5900" width="17.75" style="7" customWidth="1"/>
    <col min="5901" max="6144" width="9" style="7"/>
    <col min="6145" max="6145" width="23.125" style="7" customWidth="1"/>
    <col min="6146" max="6148" width="9.875" style="7" customWidth="1"/>
    <col min="6149" max="6156" width="17.75" style="7" customWidth="1"/>
    <col min="6157" max="6400" width="9" style="7"/>
    <col min="6401" max="6401" width="23.125" style="7" customWidth="1"/>
    <col min="6402" max="6404" width="9.875" style="7" customWidth="1"/>
    <col min="6405" max="6412" width="17.75" style="7" customWidth="1"/>
    <col min="6413" max="6656" width="9" style="7"/>
    <col min="6657" max="6657" width="23.125" style="7" customWidth="1"/>
    <col min="6658" max="6660" width="9.875" style="7" customWidth="1"/>
    <col min="6661" max="6668" width="17.75" style="7" customWidth="1"/>
    <col min="6669" max="6912" width="9" style="7"/>
    <col min="6913" max="6913" width="23.125" style="7" customWidth="1"/>
    <col min="6914" max="6916" width="9.875" style="7" customWidth="1"/>
    <col min="6917" max="6924" width="17.75" style="7" customWidth="1"/>
    <col min="6925" max="7168" width="9" style="7"/>
    <col min="7169" max="7169" width="23.125" style="7" customWidth="1"/>
    <col min="7170" max="7172" width="9.875" style="7" customWidth="1"/>
    <col min="7173" max="7180" width="17.75" style="7" customWidth="1"/>
    <col min="7181" max="7424" width="9" style="7"/>
    <col min="7425" max="7425" width="23.125" style="7" customWidth="1"/>
    <col min="7426" max="7428" width="9.875" style="7" customWidth="1"/>
    <col min="7429" max="7436" width="17.75" style="7" customWidth="1"/>
    <col min="7437" max="7680" width="9" style="7"/>
    <col min="7681" max="7681" width="23.125" style="7" customWidth="1"/>
    <col min="7682" max="7684" width="9.875" style="7" customWidth="1"/>
    <col min="7685" max="7692" width="17.75" style="7" customWidth="1"/>
    <col min="7693" max="7936" width="9" style="7"/>
    <col min="7937" max="7937" width="23.125" style="7" customWidth="1"/>
    <col min="7938" max="7940" width="9.875" style="7" customWidth="1"/>
    <col min="7941" max="7948" width="17.75" style="7" customWidth="1"/>
    <col min="7949" max="8192" width="9" style="7"/>
    <col min="8193" max="8193" width="23.125" style="7" customWidth="1"/>
    <col min="8194" max="8196" width="9.875" style="7" customWidth="1"/>
    <col min="8197" max="8204" width="17.75" style="7" customWidth="1"/>
    <col min="8205" max="8448" width="9" style="7"/>
    <col min="8449" max="8449" width="23.125" style="7" customWidth="1"/>
    <col min="8450" max="8452" width="9.875" style="7" customWidth="1"/>
    <col min="8453" max="8460" width="17.75" style="7" customWidth="1"/>
    <col min="8461" max="8704" width="9" style="7"/>
    <col min="8705" max="8705" width="23.125" style="7" customWidth="1"/>
    <col min="8706" max="8708" width="9.875" style="7" customWidth="1"/>
    <col min="8709" max="8716" width="17.75" style="7" customWidth="1"/>
    <col min="8717" max="8960" width="9" style="7"/>
    <col min="8961" max="8961" width="23.125" style="7" customWidth="1"/>
    <col min="8962" max="8964" width="9.875" style="7" customWidth="1"/>
    <col min="8965" max="8972" width="17.75" style="7" customWidth="1"/>
    <col min="8973" max="9216" width="9" style="7"/>
    <col min="9217" max="9217" width="23.125" style="7" customWidth="1"/>
    <col min="9218" max="9220" width="9.875" style="7" customWidth="1"/>
    <col min="9221" max="9228" width="17.75" style="7" customWidth="1"/>
    <col min="9229" max="9472" width="9" style="7"/>
    <col min="9473" max="9473" width="23.125" style="7" customWidth="1"/>
    <col min="9474" max="9476" width="9.875" style="7" customWidth="1"/>
    <col min="9477" max="9484" width="17.75" style="7" customWidth="1"/>
    <col min="9485" max="9728" width="9" style="7"/>
    <col min="9729" max="9729" width="23.125" style="7" customWidth="1"/>
    <col min="9730" max="9732" width="9.875" style="7" customWidth="1"/>
    <col min="9733" max="9740" width="17.75" style="7" customWidth="1"/>
    <col min="9741" max="9984" width="9" style="7"/>
    <col min="9985" max="9985" width="23.125" style="7" customWidth="1"/>
    <col min="9986" max="9988" width="9.875" style="7" customWidth="1"/>
    <col min="9989" max="9996" width="17.75" style="7" customWidth="1"/>
    <col min="9997" max="10240" width="9" style="7"/>
    <col min="10241" max="10241" width="23.125" style="7" customWidth="1"/>
    <col min="10242" max="10244" width="9.875" style="7" customWidth="1"/>
    <col min="10245" max="10252" width="17.75" style="7" customWidth="1"/>
    <col min="10253" max="10496" width="9" style="7"/>
    <col min="10497" max="10497" width="23.125" style="7" customWidth="1"/>
    <col min="10498" max="10500" width="9.875" style="7" customWidth="1"/>
    <col min="10501" max="10508" width="17.75" style="7" customWidth="1"/>
    <col min="10509" max="10752" width="9" style="7"/>
    <col min="10753" max="10753" width="23.125" style="7" customWidth="1"/>
    <col min="10754" max="10756" width="9.875" style="7" customWidth="1"/>
    <col min="10757" max="10764" width="17.75" style="7" customWidth="1"/>
    <col min="10765" max="11008" width="9" style="7"/>
    <col min="11009" max="11009" width="23.125" style="7" customWidth="1"/>
    <col min="11010" max="11012" width="9.875" style="7" customWidth="1"/>
    <col min="11013" max="11020" width="17.75" style="7" customWidth="1"/>
    <col min="11021" max="11264" width="9" style="7"/>
    <col min="11265" max="11265" width="23.125" style="7" customWidth="1"/>
    <col min="11266" max="11268" width="9.875" style="7" customWidth="1"/>
    <col min="11269" max="11276" width="17.75" style="7" customWidth="1"/>
    <col min="11277" max="11520" width="9" style="7"/>
    <col min="11521" max="11521" width="23.125" style="7" customWidth="1"/>
    <col min="11522" max="11524" width="9.875" style="7" customWidth="1"/>
    <col min="11525" max="11532" width="17.75" style="7" customWidth="1"/>
    <col min="11533" max="11776" width="9" style="7"/>
    <col min="11777" max="11777" width="23.125" style="7" customWidth="1"/>
    <col min="11778" max="11780" width="9.875" style="7" customWidth="1"/>
    <col min="11781" max="11788" width="17.75" style="7" customWidth="1"/>
    <col min="11789" max="12032" width="9" style="7"/>
    <col min="12033" max="12033" width="23.125" style="7" customWidth="1"/>
    <col min="12034" max="12036" width="9.875" style="7" customWidth="1"/>
    <col min="12037" max="12044" width="17.75" style="7" customWidth="1"/>
    <col min="12045" max="12288" width="9" style="7"/>
    <col min="12289" max="12289" width="23.125" style="7" customWidth="1"/>
    <col min="12290" max="12292" width="9.875" style="7" customWidth="1"/>
    <col min="12293" max="12300" width="17.75" style="7" customWidth="1"/>
    <col min="12301" max="12544" width="9" style="7"/>
    <col min="12545" max="12545" width="23.125" style="7" customWidth="1"/>
    <col min="12546" max="12548" width="9.875" style="7" customWidth="1"/>
    <col min="12549" max="12556" width="17.75" style="7" customWidth="1"/>
    <col min="12557" max="12800" width="9" style="7"/>
    <col min="12801" max="12801" width="23.125" style="7" customWidth="1"/>
    <col min="12802" max="12804" width="9.875" style="7" customWidth="1"/>
    <col min="12805" max="12812" width="17.75" style="7" customWidth="1"/>
    <col min="12813" max="13056" width="9" style="7"/>
    <col min="13057" max="13057" width="23.125" style="7" customWidth="1"/>
    <col min="13058" max="13060" width="9.875" style="7" customWidth="1"/>
    <col min="13061" max="13068" width="17.75" style="7" customWidth="1"/>
    <col min="13069" max="13312" width="9" style="7"/>
    <col min="13313" max="13313" width="23.125" style="7" customWidth="1"/>
    <col min="13314" max="13316" width="9.875" style="7" customWidth="1"/>
    <col min="13317" max="13324" width="17.75" style="7" customWidth="1"/>
    <col min="13325" max="13568" width="9" style="7"/>
    <col min="13569" max="13569" width="23.125" style="7" customWidth="1"/>
    <col min="13570" max="13572" width="9.875" style="7" customWidth="1"/>
    <col min="13573" max="13580" width="17.75" style="7" customWidth="1"/>
    <col min="13581" max="13824" width="9" style="7"/>
    <col min="13825" max="13825" width="23.125" style="7" customWidth="1"/>
    <col min="13826" max="13828" width="9.875" style="7" customWidth="1"/>
    <col min="13829" max="13836" width="17.75" style="7" customWidth="1"/>
    <col min="13837" max="14080" width="9" style="7"/>
    <col min="14081" max="14081" width="23.125" style="7" customWidth="1"/>
    <col min="14082" max="14084" width="9.875" style="7" customWidth="1"/>
    <col min="14085" max="14092" width="17.75" style="7" customWidth="1"/>
    <col min="14093" max="14336" width="9" style="7"/>
    <col min="14337" max="14337" width="23.125" style="7" customWidth="1"/>
    <col min="14338" max="14340" width="9.875" style="7" customWidth="1"/>
    <col min="14341" max="14348" width="17.75" style="7" customWidth="1"/>
    <col min="14349" max="14592" width="9" style="7"/>
    <col min="14593" max="14593" width="23.125" style="7" customWidth="1"/>
    <col min="14594" max="14596" width="9.875" style="7" customWidth="1"/>
    <col min="14597" max="14604" width="17.75" style="7" customWidth="1"/>
    <col min="14605" max="14848" width="9" style="7"/>
    <col min="14849" max="14849" width="23.125" style="7" customWidth="1"/>
    <col min="14850" max="14852" width="9.875" style="7" customWidth="1"/>
    <col min="14853" max="14860" width="17.75" style="7" customWidth="1"/>
    <col min="14861" max="15104" width="9" style="7"/>
    <col min="15105" max="15105" width="23.125" style="7" customWidth="1"/>
    <col min="15106" max="15108" width="9.875" style="7" customWidth="1"/>
    <col min="15109" max="15116" width="17.75" style="7" customWidth="1"/>
    <col min="15117" max="15360" width="9" style="7"/>
    <col min="15361" max="15361" width="23.125" style="7" customWidth="1"/>
    <col min="15362" max="15364" width="9.875" style="7" customWidth="1"/>
    <col min="15365" max="15372" width="17.75" style="7" customWidth="1"/>
    <col min="15373" max="15616" width="9" style="7"/>
    <col min="15617" max="15617" width="23.125" style="7" customWidth="1"/>
    <col min="15618" max="15620" width="9.875" style="7" customWidth="1"/>
    <col min="15621" max="15628" width="17.75" style="7" customWidth="1"/>
    <col min="15629" max="15872" width="9" style="7"/>
    <col min="15873" max="15873" width="23.125" style="7" customWidth="1"/>
    <col min="15874" max="15876" width="9.875" style="7" customWidth="1"/>
    <col min="15877" max="15884" width="17.75" style="7" customWidth="1"/>
    <col min="15885" max="16128" width="9" style="7"/>
    <col min="16129" max="16129" width="23.125" style="7" customWidth="1"/>
    <col min="16130" max="16132" width="9.875" style="7" customWidth="1"/>
    <col min="16133" max="16140" width="17.75" style="7" customWidth="1"/>
    <col min="16141" max="16384" width="9" style="7"/>
  </cols>
  <sheetData>
    <row r="1" spans="1:13" ht="35.25" customHeight="1">
      <c r="A1" s="1545" t="s">
        <v>329</v>
      </c>
      <c r="B1" s="1545"/>
      <c r="C1" s="1545"/>
      <c r="D1" s="1545"/>
      <c r="E1" s="1545"/>
      <c r="F1" s="1545"/>
      <c r="G1" s="1545"/>
      <c r="H1" s="1545"/>
      <c r="I1" s="1545"/>
      <c r="J1" s="1545"/>
      <c r="K1" s="1545"/>
      <c r="L1" s="1545"/>
      <c r="M1" s="1545"/>
    </row>
    <row r="2" spans="1:13" ht="18.75" customHeight="1"/>
    <row r="3" spans="1:13" ht="18.75" customHeight="1">
      <c r="A3" s="1482" t="s">
        <v>284</v>
      </c>
      <c r="B3" s="1482" t="s">
        <v>285</v>
      </c>
      <c r="C3" s="1482" t="s">
        <v>4</v>
      </c>
      <c r="D3" s="1482" t="s">
        <v>5</v>
      </c>
      <c r="E3" s="1482" t="s">
        <v>286</v>
      </c>
      <c r="F3" s="1482"/>
      <c r="G3" s="1482" t="s">
        <v>287</v>
      </c>
      <c r="H3" s="1482"/>
      <c r="I3" s="1482" t="s">
        <v>91</v>
      </c>
      <c r="J3" s="1482"/>
      <c r="K3" s="1482" t="s">
        <v>288</v>
      </c>
      <c r="L3" s="1482"/>
      <c r="M3" s="1482" t="s">
        <v>289</v>
      </c>
    </row>
    <row r="4" spans="1:13" ht="18.75" customHeight="1">
      <c r="A4" s="1482"/>
      <c r="B4" s="1482"/>
      <c r="C4" s="1482"/>
      <c r="D4" s="1482"/>
      <c r="E4" s="401" t="s">
        <v>89</v>
      </c>
      <c r="F4" s="401" t="s">
        <v>90</v>
      </c>
      <c r="G4" s="401" t="s">
        <v>89</v>
      </c>
      <c r="H4" s="401" t="s">
        <v>90</v>
      </c>
      <c r="I4" s="401" t="s">
        <v>89</v>
      </c>
      <c r="J4" s="401" t="s">
        <v>90</v>
      </c>
      <c r="K4" s="401" t="s">
        <v>89</v>
      </c>
      <c r="L4" s="401" t="s">
        <v>90</v>
      </c>
      <c r="M4" s="1482"/>
    </row>
    <row r="5" spans="1:13" s="449" customFormat="1" ht="18.75" customHeight="1">
      <c r="A5" s="448" t="s">
        <v>290</v>
      </c>
      <c r="B5" s="141"/>
      <c r="C5" s="141"/>
      <c r="D5" s="141"/>
      <c r="E5" s="141"/>
      <c r="F5" s="141"/>
      <c r="G5" s="141"/>
      <c r="H5" s="141"/>
      <c r="I5" s="141"/>
      <c r="J5" s="141"/>
      <c r="K5" s="141"/>
      <c r="L5" s="141"/>
      <c r="M5" s="141"/>
    </row>
    <row r="6" spans="1:13" ht="18.75" customHeight="1">
      <c r="A6" s="131" t="s">
        <v>92</v>
      </c>
      <c r="B6" s="82"/>
      <c r="C6" s="450">
        <f>'2-2.산출근거'!C13</f>
        <v>0.36</v>
      </c>
      <c r="D6" s="82" t="s">
        <v>291</v>
      </c>
      <c r="E6" s="20">
        <f t="shared" ref="E6:E11" si="0">G6+I6+K6</f>
        <v>325327.32320500002</v>
      </c>
      <c r="F6" s="20">
        <f t="shared" ref="F6:F11" si="1">H6+J6+L6</f>
        <v>117117</v>
      </c>
      <c r="G6" s="20"/>
      <c r="H6" s="20"/>
      <c r="I6" s="20">
        <f>'2-2.산출근거'!J11</f>
        <v>325327.32320500002</v>
      </c>
      <c r="J6" s="20">
        <f t="shared" ref="J6:J11" si="2">INT(I6*C6)</f>
        <v>117117</v>
      </c>
      <c r="K6" s="82"/>
      <c r="L6" s="82"/>
      <c r="M6" s="82"/>
    </row>
    <row r="7" spans="1:13" ht="18.75" customHeight="1">
      <c r="A7" s="131" t="s">
        <v>93</v>
      </c>
      <c r="B7" s="82"/>
      <c r="C7" s="450">
        <f>'2-2.산출근거'!D13</f>
        <v>0.6</v>
      </c>
      <c r="D7" s="82" t="s">
        <v>291</v>
      </c>
      <c r="E7" s="20">
        <f t="shared" si="0"/>
        <v>238578.78030000001</v>
      </c>
      <c r="F7" s="20">
        <f t="shared" si="1"/>
        <v>143147</v>
      </c>
      <c r="G7" s="20"/>
      <c r="H7" s="20"/>
      <c r="I7" s="20">
        <f>'2-2.산출근거'!J12</f>
        <v>238578.78030000001</v>
      </c>
      <c r="J7" s="20">
        <f t="shared" si="2"/>
        <v>143147</v>
      </c>
      <c r="K7" s="82"/>
      <c r="L7" s="82"/>
      <c r="M7" s="82"/>
    </row>
    <row r="8" spans="1:13" ht="18.75" customHeight="1">
      <c r="A8" s="131" t="s">
        <v>94</v>
      </c>
      <c r="B8" s="82"/>
      <c r="C8" s="450">
        <f>'2-2.산출근거'!E13</f>
        <v>2.82</v>
      </c>
      <c r="D8" s="82" t="s">
        <v>291</v>
      </c>
      <c r="E8" s="20">
        <f t="shared" si="0"/>
        <v>199505.89618100002</v>
      </c>
      <c r="F8" s="20">
        <f t="shared" si="1"/>
        <v>562606</v>
      </c>
      <c r="G8" s="20"/>
      <c r="H8" s="20"/>
      <c r="I8" s="20">
        <f>'2-2.산출근거'!J13</f>
        <v>199505.89618100002</v>
      </c>
      <c r="J8" s="20">
        <f t="shared" si="2"/>
        <v>562606</v>
      </c>
      <c r="K8" s="82"/>
      <c r="L8" s="82"/>
      <c r="M8" s="82"/>
    </row>
    <row r="9" spans="1:13" ht="18.75" customHeight="1">
      <c r="A9" s="131" t="s">
        <v>95</v>
      </c>
      <c r="B9" s="82"/>
      <c r="C9" s="450">
        <f>'2-2.산출근거'!F13</f>
        <v>3.36</v>
      </c>
      <c r="D9" s="82" t="s">
        <v>291</v>
      </c>
      <c r="E9" s="20">
        <f t="shared" si="0"/>
        <v>173018.78261300002</v>
      </c>
      <c r="F9" s="20">
        <f t="shared" si="1"/>
        <v>581343</v>
      </c>
      <c r="G9" s="20"/>
      <c r="H9" s="20"/>
      <c r="I9" s="20">
        <f>'2-2.산출근거'!J14</f>
        <v>173018.78261300002</v>
      </c>
      <c r="J9" s="20">
        <f t="shared" si="2"/>
        <v>581343</v>
      </c>
      <c r="K9" s="82"/>
      <c r="L9" s="82"/>
      <c r="M9" s="82"/>
    </row>
    <row r="10" spans="1:13" ht="18.75" customHeight="1">
      <c r="A10" s="131" t="s">
        <v>96</v>
      </c>
      <c r="B10" s="82"/>
      <c r="C10" s="450">
        <f>'2-2.산출근거'!G13</f>
        <v>4.5599999999999996</v>
      </c>
      <c r="D10" s="82" t="s">
        <v>291</v>
      </c>
      <c r="E10" s="20">
        <f t="shared" si="0"/>
        <v>134480.52881399999</v>
      </c>
      <c r="F10" s="20">
        <f t="shared" si="1"/>
        <v>613231</v>
      </c>
      <c r="G10" s="20"/>
      <c r="H10" s="20"/>
      <c r="I10" s="20">
        <f>'2-2.산출근거'!J15</f>
        <v>134480.52881399999</v>
      </c>
      <c r="J10" s="20">
        <f t="shared" si="2"/>
        <v>613231</v>
      </c>
      <c r="K10" s="82"/>
      <c r="L10" s="82"/>
      <c r="M10" s="82"/>
    </row>
    <row r="11" spans="1:13" ht="18.75" customHeight="1">
      <c r="A11" s="131" t="s">
        <v>97</v>
      </c>
      <c r="B11" s="82"/>
      <c r="C11" s="450">
        <f>'2-2.산출근거'!H13</f>
        <v>4.8</v>
      </c>
      <c r="D11" s="82" t="s">
        <v>291</v>
      </c>
      <c r="E11" s="20">
        <f t="shared" si="0"/>
        <v>135345.48429600001</v>
      </c>
      <c r="F11" s="20">
        <f t="shared" si="1"/>
        <v>649658</v>
      </c>
      <c r="G11" s="20"/>
      <c r="H11" s="20"/>
      <c r="I11" s="20">
        <f>'2-2.산출근거'!J17</f>
        <v>135345.48429600001</v>
      </c>
      <c r="J11" s="20">
        <f t="shared" si="2"/>
        <v>649658</v>
      </c>
      <c r="K11" s="82"/>
      <c r="L11" s="82"/>
      <c r="M11" s="82"/>
    </row>
    <row r="12" spans="1:13" s="452" customFormat="1" ht="18.75" customHeight="1">
      <c r="A12" s="141" t="s">
        <v>292</v>
      </c>
      <c r="B12" s="141"/>
      <c r="C12" s="451"/>
      <c r="D12" s="141"/>
      <c r="E12" s="78"/>
      <c r="F12" s="78">
        <f>SUM(F6:F11)</f>
        <v>2667102</v>
      </c>
      <c r="G12" s="78"/>
      <c r="H12" s="78"/>
      <c r="I12" s="78"/>
      <c r="J12" s="78">
        <f>SUM(J6:J11)</f>
        <v>2667102</v>
      </c>
      <c r="K12" s="141"/>
      <c r="L12" s="141"/>
      <c r="M12" s="141"/>
    </row>
    <row r="13" spans="1:13" ht="18.75" customHeight="1">
      <c r="A13" s="131" t="s">
        <v>293</v>
      </c>
      <c r="B13" s="82">
        <f>'2-2.산출근거'!C22</f>
        <v>0.39300000000000002</v>
      </c>
      <c r="C13" s="450"/>
      <c r="D13" s="82"/>
      <c r="E13" s="20"/>
      <c r="F13" s="20"/>
      <c r="G13" s="20"/>
      <c r="H13" s="20"/>
      <c r="I13" s="20"/>
      <c r="J13" s="20"/>
      <c r="K13" s="141"/>
      <c r="L13" s="141"/>
      <c r="M13" s="141"/>
    </row>
    <row r="14" spans="1:13" s="449" customFormat="1" ht="18.75" customHeight="1">
      <c r="A14" s="141" t="s">
        <v>294</v>
      </c>
      <c r="B14" s="141"/>
      <c r="C14" s="451"/>
      <c r="D14" s="141"/>
      <c r="E14" s="78"/>
      <c r="F14" s="78">
        <f>J14</f>
        <v>1048171</v>
      </c>
      <c r="G14" s="78"/>
      <c r="H14" s="78"/>
      <c r="I14" s="78"/>
      <c r="J14" s="78">
        <f>INT(J12*B13)</f>
        <v>1048171</v>
      </c>
      <c r="K14" s="141"/>
      <c r="L14" s="141"/>
      <c r="M14" s="141"/>
    </row>
    <row r="15" spans="1:13" s="449" customFormat="1" ht="18.75" customHeight="1">
      <c r="A15" s="141"/>
      <c r="B15" s="141"/>
      <c r="C15" s="451"/>
      <c r="D15" s="141"/>
      <c r="E15" s="78"/>
      <c r="F15" s="78"/>
      <c r="G15" s="78"/>
      <c r="H15" s="78"/>
      <c r="I15" s="78"/>
      <c r="J15" s="78"/>
      <c r="K15" s="141"/>
      <c r="L15" s="141"/>
      <c r="M15" s="141"/>
    </row>
    <row r="16" spans="1:13" s="449" customFormat="1" ht="18.75" customHeight="1">
      <c r="A16" s="141"/>
      <c r="B16" s="141"/>
      <c r="C16" s="451"/>
      <c r="D16" s="141"/>
      <c r="E16" s="78"/>
      <c r="F16" s="78"/>
      <c r="G16" s="78"/>
      <c r="H16" s="78"/>
      <c r="I16" s="78"/>
      <c r="J16" s="78"/>
      <c r="K16" s="141"/>
      <c r="L16" s="141"/>
      <c r="M16" s="141"/>
    </row>
    <row r="17" spans="1:13" s="449" customFormat="1" ht="18.75" customHeight="1">
      <c r="A17" s="448" t="s">
        <v>295</v>
      </c>
      <c r="B17" s="141"/>
      <c r="C17" s="141"/>
      <c r="D17" s="141"/>
      <c r="E17" s="141"/>
      <c r="F17" s="141"/>
      <c r="G17" s="141"/>
      <c r="H17" s="141"/>
      <c r="I17" s="141"/>
      <c r="J17" s="141"/>
      <c r="K17" s="141"/>
      <c r="L17" s="141"/>
      <c r="M17" s="141"/>
    </row>
    <row r="18" spans="1:13" ht="18.75" customHeight="1">
      <c r="A18" s="131" t="s">
        <v>92</v>
      </c>
      <c r="B18" s="82"/>
      <c r="C18" s="450">
        <f>'2-2.산출근거'!C19</f>
        <v>1.5</v>
      </c>
      <c r="D18" s="82" t="s">
        <v>291</v>
      </c>
      <c r="E18" s="20">
        <f t="shared" ref="E18:F23" si="3">G18+I18+K18</f>
        <v>325327.32320500002</v>
      </c>
      <c r="F18" s="20">
        <f t="shared" si="3"/>
        <v>487990</v>
      </c>
      <c r="G18" s="20"/>
      <c r="H18" s="20"/>
      <c r="I18" s="20">
        <f>'2-2.산출근거'!J11</f>
        <v>325327.32320500002</v>
      </c>
      <c r="J18" s="20">
        <f t="shared" ref="J18:J23" si="4">INT(I18*C18)</f>
        <v>487990</v>
      </c>
      <c r="K18" s="82"/>
      <c r="L18" s="82"/>
      <c r="M18" s="82"/>
    </row>
    <row r="19" spans="1:13" ht="18.75" customHeight="1">
      <c r="A19" s="131" t="s">
        <v>93</v>
      </c>
      <c r="B19" s="82"/>
      <c r="C19" s="450">
        <f>'2-2.산출근거'!D19</f>
        <v>1.92</v>
      </c>
      <c r="D19" s="82" t="s">
        <v>291</v>
      </c>
      <c r="E19" s="20">
        <f t="shared" si="3"/>
        <v>238578.78030000001</v>
      </c>
      <c r="F19" s="20">
        <f t="shared" si="3"/>
        <v>458071</v>
      </c>
      <c r="G19" s="20"/>
      <c r="H19" s="20"/>
      <c r="I19" s="20">
        <f>'2-2.산출근거'!J12</f>
        <v>238578.78030000001</v>
      </c>
      <c r="J19" s="20">
        <f t="shared" si="4"/>
        <v>458071</v>
      </c>
      <c r="K19" s="82"/>
      <c r="L19" s="82"/>
      <c r="M19" s="82"/>
    </row>
    <row r="20" spans="1:13" ht="18.75" customHeight="1">
      <c r="A20" s="131" t="s">
        <v>94</v>
      </c>
      <c r="B20" s="82"/>
      <c r="C20" s="450">
        <f>'2-2.산출근거'!E19</f>
        <v>7.2</v>
      </c>
      <c r="D20" s="82" t="s">
        <v>291</v>
      </c>
      <c r="E20" s="20">
        <f t="shared" si="3"/>
        <v>199505.89618100002</v>
      </c>
      <c r="F20" s="20">
        <f t="shared" si="3"/>
        <v>1436442</v>
      </c>
      <c r="G20" s="20"/>
      <c r="H20" s="20"/>
      <c r="I20" s="20">
        <f>'2-2.산출근거'!J13</f>
        <v>199505.89618100002</v>
      </c>
      <c r="J20" s="20">
        <f t="shared" si="4"/>
        <v>1436442</v>
      </c>
      <c r="K20" s="82"/>
      <c r="L20" s="82"/>
      <c r="M20" s="82"/>
    </row>
    <row r="21" spans="1:13" ht="18.75" customHeight="1">
      <c r="A21" s="131" t="s">
        <v>95</v>
      </c>
      <c r="B21" s="82"/>
      <c r="C21" s="450">
        <f>'2-2.산출근거'!F19</f>
        <v>9.36</v>
      </c>
      <c r="D21" s="82" t="s">
        <v>291</v>
      </c>
      <c r="E21" s="20">
        <f t="shared" si="3"/>
        <v>173018.78261300002</v>
      </c>
      <c r="F21" s="20">
        <f t="shared" si="3"/>
        <v>1619455</v>
      </c>
      <c r="G21" s="20"/>
      <c r="H21" s="20"/>
      <c r="I21" s="20">
        <f>'2-2.산출근거'!J14</f>
        <v>173018.78261300002</v>
      </c>
      <c r="J21" s="20">
        <f t="shared" si="4"/>
        <v>1619455</v>
      </c>
      <c r="K21" s="82"/>
      <c r="L21" s="82"/>
      <c r="M21" s="82"/>
    </row>
    <row r="22" spans="1:13" ht="18.75" customHeight="1">
      <c r="A22" s="131" t="s">
        <v>96</v>
      </c>
      <c r="B22" s="82"/>
      <c r="C22" s="450">
        <f>'2-2.산출근거'!G19</f>
        <v>9.84</v>
      </c>
      <c r="D22" s="82" t="s">
        <v>291</v>
      </c>
      <c r="E22" s="20">
        <f t="shared" si="3"/>
        <v>134480.52881399999</v>
      </c>
      <c r="F22" s="20">
        <f t="shared" si="3"/>
        <v>1323288</v>
      </c>
      <c r="G22" s="20"/>
      <c r="H22" s="20"/>
      <c r="I22" s="20">
        <f>'2-2.산출근거'!J15</f>
        <v>134480.52881399999</v>
      </c>
      <c r="J22" s="20">
        <f t="shared" si="4"/>
        <v>1323288</v>
      </c>
      <c r="K22" s="82"/>
      <c r="L22" s="82"/>
      <c r="M22" s="82"/>
    </row>
    <row r="23" spans="1:13" ht="18.75" customHeight="1">
      <c r="A23" s="131" t="s">
        <v>97</v>
      </c>
      <c r="B23" s="82"/>
      <c r="C23" s="450">
        <f>'2-2.산출근거'!H19</f>
        <v>15.12</v>
      </c>
      <c r="D23" s="82" t="s">
        <v>291</v>
      </c>
      <c r="E23" s="20">
        <f t="shared" si="3"/>
        <v>135345.48429600001</v>
      </c>
      <c r="F23" s="20">
        <f t="shared" si="3"/>
        <v>2046423</v>
      </c>
      <c r="G23" s="20"/>
      <c r="H23" s="20"/>
      <c r="I23" s="20">
        <f>'2-2.산출근거'!J17</f>
        <v>135345.48429600001</v>
      </c>
      <c r="J23" s="20">
        <f t="shared" si="4"/>
        <v>2046423</v>
      </c>
      <c r="K23" s="82"/>
      <c r="L23" s="82"/>
      <c r="M23" s="82"/>
    </row>
    <row r="24" spans="1:13" s="452" customFormat="1" ht="18.75" customHeight="1">
      <c r="A24" s="141" t="s">
        <v>292</v>
      </c>
      <c r="B24" s="141"/>
      <c r="C24" s="451"/>
      <c r="D24" s="141"/>
      <c r="E24" s="78"/>
      <c r="F24" s="78">
        <f>SUM(F18:F23)</f>
        <v>7371669</v>
      </c>
      <c r="G24" s="78"/>
      <c r="H24" s="78"/>
      <c r="I24" s="78"/>
      <c r="J24" s="78">
        <f>SUM(J18:J23)</f>
        <v>7371669</v>
      </c>
      <c r="K24" s="141"/>
      <c r="L24" s="141"/>
      <c r="M24" s="141"/>
    </row>
    <row r="25" spans="1:13" ht="18.75" customHeight="1">
      <c r="A25" s="131" t="s">
        <v>293</v>
      </c>
      <c r="B25" s="82">
        <f>'2-2.산출근거'!C22</f>
        <v>0.39300000000000002</v>
      </c>
      <c r="C25" s="450"/>
      <c r="D25" s="82"/>
      <c r="E25" s="20"/>
      <c r="F25" s="20"/>
      <c r="G25" s="20"/>
      <c r="H25" s="20"/>
      <c r="I25" s="20"/>
      <c r="J25" s="20"/>
      <c r="K25" s="141"/>
      <c r="L25" s="141"/>
      <c r="M25" s="141"/>
    </row>
    <row r="26" spans="1:13" s="449" customFormat="1" ht="18.75" customHeight="1">
      <c r="A26" s="141" t="s">
        <v>294</v>
      </c>
      <c r="B26" s="141"/>
      <c r="C26" s="451"/>
      <c r="D26" s="141"/>
      <c r="E26" s="78"/>
      <c r="F26" s="78">
        <f>J26</f>
        <v>2897065</v>
      </c>
      <c r="G26" s="78"/>
      <c r="H26" s="78"/>
      <c r="I26" s="78"/>
      <c r="J26" s="78">
        <f>INT(J24*B25)</f>
        <v>2897065</v>
      </c>
      <c r="K26" s="141"/>
      <c r="L26" s="141"/>
      <c r="M26" s="141"/>
    </row>
    <row r="27" spans="1:13" ht="18.75" customHeight="1">
      <c r="A27" s="131"/>
      <c r="B27" s="82"/>
      <c r="C27" s="450"/>
      <c r="D27" s="82"/>
      <c r="E27" s="20"/>
      <c r="F27" s="20"/>
      <c r="G27" s="20"/>
      <c r="H27" s="20"/>
      <c r="I27" s="20"/>
      <c r="J27" s="20"/>
      <c r="K27" s="82"/>
      <c r="L27" s="82"/>
      <c r="M27" s="82"/>
    </row>
    <row r="28" spans="1:13" ht="18.75" customHeight="1">
      <c r="A28" s="131"/>
      <c r="B28" s="82"/>
      <c r="C28" s="450"/>
      <c r="D28" s="82"/>
      <c r="E28" s="20"/>
      <c r="F28" s="20"/>
      <c r="G28" s="20"/>
      <c r="H28" s="20"/>
      <c r="I28" s="20"/>
      <c r="J28" s="20"/>
      <c r="K28" s="82"/>
      <c r="L28" s="82"/>
      <c r="M28" s="82"/>
    </row>
    <row r="29" spans="1:13" s="449" customFormat="1" ht="18.75" customHeight="1">
      <c r="A29" s="448" t="s">
        <v>296</v>
      </c>
      <c r="B29" s="141"/>
      <c r="C29" s="451"/>
      <c r="D29" s="141"/>
      <c r="E29" s="78"/>
      <c r="F29" s="78"/>
      <c r="G29" s="78"/>
      <c r="H29" s="78"/>
      <c r="I29" s="78"/>
      <c r="J29" s="78"/>
      <c r="K29" s="141"/>
      <c r="L29" s="141"/>
      <c r="M29" s="141"/>
    </row>
    <row r="30" spans="1:13" ht="18.75" customHeight="1">
      <c r="A30" s="131" t="s">
        <v>92</v>
      </c>
      <c r="B30" s="82"/>
      <c r="C30" s="450">
        <f>'2-2.산출근거'!C21</f>
        <v>0.06</v>
      </c>
      <c r="D30" s="82" t="s">
        <v>291</v>
      </c>
      <c r="E30" s="20">
        <f t="shared" ref="E30:F35" si="5">G30+I30+K30</f>
        <v>325327.32320500002</v>
      </c>
      <c r="F30" s="20">
        <f t="shared" si="5"/>
        <v>19519</v>
      </c>
      <c r="G30" s="20"/>
      <c r="H30" s="20"/>
      <c r="I30" s="20">
        <f>I18</f>
        <v>325327.32320500002</v>
      </c>
      <c r="J30" s="20">
        <f t="shared" ref="J30:J35" si="6">INT(I30*C30)</f>
        <v>19519</v>
      </c>
      <c r="K30" s="82"/>
      <c r="L30" s="82"/>
      <c r="M30" s="82"/>
    </row>
    <row r="31" spans="1:13" ht="18.75" customHeight="1">
      <c r="A31" s="131" t="s">
        <v>93</v>
      </c>
      <c r="B31" s="82"/>
      <c r="C31" s="450">
        <f>'2-2.산출근거'!D21</f>
        <v>0.06</v>
      </c>
      <c r="D31" s="82" t="s">
        <v>291</v>
      </c>
      <c r="E31" s="20">
        <f t="shared" si="5"/>
        <v>238578.78030000001</v>
      </c>
      <c r="F31" s="20">
        <f t="shared" si="5"/>
        <v>14314</v>
      </c>
      <c r="G31" s="20"/>
      <c r="H31" s="20"/>
      <c r="I31" s="20">
        <f t="shared" ref="I31:I35" si="7">I19</f>
        <v>238578.78030000001</v>
      </c>
      <c r="J31" s="20">
        <f t="shared" si="6"/>
        <v>14314</v>
      </c>
      <c r="K31" s="82"/>
      <c r="L31" s="82"/>
      <c r="M31" s="82"/>
    </row>
    <row r="32" spans="1:13" ht="18.75" customHeight="1">
      <c r="A32" s="131" t="s">
        <v>94</v>
      </c>
      <c r="B32" s="82"/>
      <c r="C32" s="450">
        <f>'2-2.산출근거'!E21</f>
        <v>0.3</v>
      </c>
      <c r="D32" s="82" t="s">
        <v>291</v>
      </c>
      <c r="E32" s="20">
        <f t="shared" si="5"/>
        <v>199505.89618100002</v>
      </c>
      <c r="F32" s="20">
        <f t="shared" si="5"/>
        <v>59851</v>
      </c>
      <c r="G32" s="20"/>
      <c r="H32" s="20"/>
      <c r="I32" s="20">
        <f t="shared" si="7"/>
        <v>199505.89618100002</v>
      </c>
      <c r="J32" s="20">
        <f t="shared" si="6"/>
        <v>59851</v>
      </c>
      <c r="K32" s="82"/>
      <c r="L32" s="82"/>
      <c r="M32" s="82"/>
    </row>
    <row r="33" spans="1:13" ht="18.75" customHeight="1">
      <c r="A33" s="131" t="s">
        <v>95</v>
      </c>
      <c r="B33" s="82"/>
      <c r="C33" s="450">
        <f>'2-2.산출근거'!F21</f>
        <v>0.6</v>
      </c>
      <c r="D33" s="82" t="s">
        <v>291</v>
      </c>
      <c r="E33" s="20">
        <f t="shared" si="5"/>
        <v>173018.78261300002</v>
      </c>
      <c r="F33" s="20">
        <f t="shared" si="5"/>
        <v>103811</v>
      </c>
      <c r="G33" s="20"/>
      <c r="H33" s="20"/>
      <c r="I33" s="20">
        <f t="shared" si="7"/>
        <v>173018.78261300002</v>
      </c>
      <c r="J33" s="20">
        <f t="shared" si="6"/>
        <v>103811</v>
      </c>
      <c r="K33" s="82"/>
      <c r="L33" s="82"/>
      <c r="M33" s="82"/>
    </row>
    <row r="34" spans="1:13" ht="18.75" customHeight="1">
      <c r="A34" s="131" t="s">
        <v>96</v>
      </c>
      <c r="B34" s="82"/>
      <c r="C34" s="450">
        <f>'2-2.산출근거'!G21</f>
        <v>0.72</v>
      </c>
      <c r="D34" s="82" t="s">
        <v>291</v>
      </c>
      <c r="E34" s="20">
        <f t="shared" si="5"/>
        <v>134480.52881399999</v>
      </c>
      <c r="F34" s="20">
        <f t="shared" si="5"/>
        <v>96825</v>
      </c>
      <c r="G34" s="20"/>
      <c r="H34" s="20"/>
      <c r="I34" s="20">
        <f t="shared" si="7"/>
        <v>134480.52881399999</v>
      </c>
      <c r="J34" s="20">
        <f t="shared" si="6"/>
        <v>96825</v>
      </c>
      <c r="K34" s="82"/>
      <c r="L34" s="82"/>
      <c r="M34" s="82"/>
    </row>
    <row r="35" spans="1:13" ht="18.75" customHeight="1">
      <c r="A35" s="131" t="s">
        <v>97</v>
      </c>
      <c r="B35" s="82"/>
      <c r="C35" s="450">
        <f>'2-2.산출근거'!H21</f>
        <v>1.5</v>
      </c>
      <c r="D35" s="82" t="s">
        <v>291</v>
      </c>
      <c r="E35" s="20">
        <f t="shared" si="5"/>
        <v>135345.48429600001</v>
      </c>
      <c r="F35" s="20">
        <f t="shared" si="5"/>
        <v>203018</v>
      </c>
      <c r="G35" s="20"/>
      <c r="H35" s="20"/>
      <c r="I35" s="20">
        <f t="shared" si="7"/>
        <v>135345.48429600001</v>
      </c>
      <c r="J35" s="20">
        <f t="shared" si="6"/>
        <v>203018</v>
      </c>
      <c r="K35" s="82"/>
      <c r="L35" s="82"/>
      <c r="M35" s="82"/>
    </row>
    <row r="36" spans="1:13" s="449" customFormat="1" ht="18.75" customHeight="1">
      <c r="A36" s="141" t="s">
        <v>292</v>
      </c>
      <c r="B36" s="141"/>
      <c r="C36" s="451"/>
      <c r="D36" s="141"/>
      <c r="E36" s="78"/>
      <c r="F36" s="78">
        <f>SUM(F30:F35)</f>
        <v>497338</v>
      </c>
      <c r="G36" s="78"/>
      <c r="H36" s="78"/>
      <c r="I36" s="78"/>
      <c r="J36" s="78">
        <f>SUM(J30:J35)</f>
        <v>497338</v>
      </c>
      <c r="K36" s="141"/>
      <c r="L36" s="141"/>
      <c r="M36" s="141"/>
    </row>
    <row r="37" spans="1:13" ht="18.75" customHeight="1">
      <c r="A37" s="131" t="s">
        <v>293</v>
      </c>
      <c r="B37" s="82">
        <f>B25</f>
        <v>0.39300000000000002</v>
      </c>
      <c r="C37" s="450"/>
      <c r="D37" s="82"/>
      <c r="E37" s="20"/>
      <c r="F37" s="20"/>
      <c r="G37" s="20"/>
      <c r="H37" s="20"/>
      <c r="I37" s="20"/>
      <c r="J37" s="20"/>
      <c r="K37" s="141"/>
      <c r="L37" s="141"/>
      <c r="M37" s="141"/>
    </row>
    <row r="38" spans="1:13" ht="18.75" customHeight="1">
      <c r="A38" s="141" t="s">
        <v>294</v>
      </c>
      <c r="B38" s="141"/>
      <c r="C38" s="451"/>
      <c r="D38" s="141"/>
      <c r="E38" s="78"/>
      <c r="F38" s="78">
        <f>J38</f>
        <v>195453</v>
      </c>
      <c r="G38" s="78"/>
      <c r="H38" s="78"/>
      <c r="I38" s="78"/>
      <c r="J38" s="78">
        <f>INT(J36*B37)</f>
        <v>195453</v>
      </c>
      <c r="K38" s="141"/>
      <c r="L38" s="141"/>
      <c r="M38" s="141"/>
    </row>
    <row r="39" spans="1:13" ht="18.75" customHeight="1">
      <c r="A39" s="179"/>
      <c r="B39" s="179"/>
      <c r="C39" s="179"/>
      <c r="D39" s="179"/>
      <c r="E39" s="179"/>
      <c r="F39" s="179"/>
      <c r="G39" s="179"/>
      <c r="H39" s="179"/>
      <c r="I39" s="179"/>
      <c r="J39" s="179"/>
      <c r="K39" s="179"/>
      <c r="L39" s="179"/>
      <c r="M39" s="179"/>
    </row>
    <row r="40" spans="1:13" ht="18.75" customHeight="1">
      <c r="A40" s="179"/>
      <c r="B40" s="179"/>
      <c r="C40" s="179"/>
      <c r="D40" s="179"/>
      <c r="E40" s="179"/>
      <c r="F40" s="179"/>
      <c r="G40" s="179"/>
      <c r="H40" s="179"/>
      <c r="I40" s="179"/>
      <c r="J40" s="179"/>
      <c r="K40" s="179"/>
      <c r="L40" s="179"/>
      <c r="M40" s="179"/>
    </row>
    <row r="41" spans="1:13" s="11" customFormat="1" ht="18.75" customHeight="1">
      <c r="A41" s="19" t="s">
        <v>327</v>
      </c>
      <c r="B41" s="19"/>
      <c r="C41" s="77"/>
      <c r="D41" s="141"/>
      <c r="E41" s="141"/>
      <c r="F41" s="141"/>
      <c r="G41" s="78"/>
      <c r="H41" s="79"/>
      <c r="I41" s="141"/>
      <c r="J41" s="141"/>
      <c r="K41" s="141"/>
      <c r="L41" s="141"/>
      <c r="M41" s="141"/>
    </row>
    <row r="42" spans="1:13" s="10" customFormat="1" ht="18.75" customHeight="1">
      <c r="A42" s="80" t="s">
        <v>328</v>
      </c>
      <c r="B42" s="80"/>
      <c r="C42" s="110">
        <v>1</v>
      </c>
      <c r="D42" s="82" t="s">
        <v>297</v>
      </c>
      <c r="E42" s="83"/>
      <c r="F42" s="83">
        <f>H42+J42+L42</f>
        <v>808485.15445000003</v>
      </c>
      <c r="G42" s="83"/>
      <c r="H42" s="83"/>
      <c r="I42" s="83"/>
      <c r="J42" s="82"/>
      <c r="K42" s="20"/>
      <c r="L42" s="20">
        <f>'2-2.산출근거'!G25</f>
        <v>808485.15445000003</v>
      </c>
      <c r="M42" s="82"/>
    </row>
    <row r="43" spans="1:13" s="449" customFormat="1" ht="18.75" customHeight="1">
      <c r="A43" s="141" t="s">
        <v>292</v>
      </c>
      <c r="B43" s="141"/>
      <c r="C43" s="451"/>
      <c r="D43" s="141"/>
      <c r="E43" s="78"/>
      <c r="F43" s="78">
        <f>SUM(F42)</f>
        <v>808485.15445000003</v>
      </c>
      <c r="G43" s="78"/>
      <c r="H43" s="78"/>
      <c r="I43" s="78"/>
      <c r="J43" s="78"/>
      <c r="K43" s="141"/>
      <c r="L43" s="78">
        <f>SUM(L42)</f>
        <v>808485.15445000003</v>
      </c>
      <c r="M43" s="141"/>
    </row>
  </sheetData>
  <mergeCells count="10">
    <mergeCell ref="A1:M1"/>
    <mergeCell ref="A3:A4"/>
    <mergeCell ref="B3:B4"/>
    <mergeCell ref="C3:C4"/>
    <mergeCell ref="D3:D4"/>
    <mergeCell ref="E3:F3"/>
    <mergeCell ref="G3:H3"/>
    <mergeCell ref="I3:J3"/>
    <mergeCell ref="K3:L3"/>
    <mergeCell ref="M3:M4"/>
  </mergeCells>
  <phoneticPr fontId="2" type="noConversion"/>
  <printOptions horizontalCentered="1"/>
  <pageMargins left="0.70866141732283472" right="0.70866141732283472" top="0.74803149606299213" bottom="0.74803149606299213" header="0.31496062992125984" footer="0.31496062992125984"/>
  <pageSetup paperSize="9" scale="85" orientation="landscape" r:id="rId1"/>
  <rowBreaks count="1" manualBreakCount="1">
    <brk id="2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35</vt:i4>
      </vt:variant>
      <vt:variant>
        <vt:lpstr>이름이 지정된 범위</vt:lpstr>
      </vt:variant>
      <vt:variant>
        <vt:i4>58</vt:i4>
      </vt:variant>
    </vt:vector>
  </HeadingPairs>
  <TitlesOfParts>
    <vt:vector size="93" baseType="lpstr">
      <vt:lpstr>표지 (2)</vt:lpstr>
      <vt:lpstr>예산내역서 (총괄)</vt:lpstr>
      <vt:lpstr>표지</vt:lpstr>
      <vt:lpstr>용역비총괄표</vt:lpstr>
      <vt:lpstr>1.기본계획</vt:lpstr>
      <vt:lpstr>1-1.일위대가</vt:lpstr>
      <vt:lpstr>1-2.수량산출</vt:lpstr>
      <vt:lpstr>2.조경기본계획</vt:lpstr>
      <vt:lpstr>2-1.일위대가</vt:lpstr>
      <vt:lpstr>2-2.산출근거</vt:lpstr>
      <vt:lpstr>3.농지전용</vt:lpstr>
      <vt:lpstr>3-1.일위대가</vt:lpstr>
      <vt:lpstr>3-2.산출근거</vt:lpstr>
      <vt:lpstr>4.산지전용</vt:lpstr>
      <vt:lpstr>4-1.사업계획서작성</vt:lpstr>
      <vt:lpstr>4-2.실측도</vt:lpstr>
      <vt:lpstr>4-3.산림조사서</vt:lpstr>
      <vt:lpstr>5.지구단위계획</vt:lpstr>
      <vt:lpstr>5-1.일위대가</vt:lpstr>
      <vt:lpstr>5-2.산출근거(1)</vt:lpstr>
      <vt:lpstr>5-3.산출근거(2)</vt:lpstr>
      <vt:lpstr>6.(기본및실시)예산내역서</vt:lpstr>
      <vt:lpstr>6-1.기초DATA 입력</vt:lpstr>
      <vt:lpstr>6-2.(기본및실시)직접인건비 내역</vt:lpstr>
      <vt:lpstr>6-3.기본및실시설계투입인원</vt:lpstr>
      <vt:lpstr>6-5.(기본및실시)적용수량 산출근거</vt:lpstr>
      <vt:lpstr>6-6.(기본및실시)직접경비</vt:lpstr>
      <vt:lpstr>6-7.(기본및실시)손해배상보험료</vt:lpstr>
      <vt:lpstr>7.수요 및 사업타당성조사용역</vt:lpstr>
      <vt:lpstr>7-1.일위대가</vt:lpstr>
      <vt:lpstr>7-2.인건비산출근거</vt:lpstr>
      <vt:lpstr>7-3.경비산출근거</vt:lpstr>
      <vt:lpstr>7-4.인력투입량 배분</vt:lpstr>
      <vt:lpstr>8.관리용역비</vt:lpstr>
      <vt:lpstr>8-1.산출내역</vt:lpstr>
      <vt:lpstr>'1.기본계획'!Print_Area</vt:lpstr>
      <vt:lpstr>'1-1.일위대가'!Print_Area</vt:lpstr>
      <vt:lpstr>'1-2.수량산출'!Print_Area</vt:lpstr>
      <vt:lpstr>'2.조경기본계획'!Print_Area</vt:lpstr>
      <vt:lpstr>'2-1.일위대가'!Print_Area</vt:lpstr>
      <vt:lpstr>'2-2.산출근거'!Print_Area</vt:lpstr>
      <vt:lpstr>'3.농지전용'!Print_Area</vt:lpstr>
      <vt:lpstr>'3-2.산출근거'!Print_Area</vt:lpstr>
      <vt:lpstr>'4.산지전용'!Print_Area</vt:lpstr>
      <vt:lpstr>'4-1.사업계획서작성'!Print_Area</vt:lpstr>
      <vt:lpstr>'4-2.실측도'!Print_Area</vt:lpstr>
      <vt:lpstr>'4-3.산림조사서'!Print_Area</vt:lpstr>
      <vt:lpstr>'5.지구단위계획'!Print_Area</vt:lpstr>
      <vt:lpstr>'5-2.산출근거(1)'!Print_Area</vt:lpstr>
      <vt:lpstr>'5-3.산출근거(2)'!Print_Area</vt:lpstr>
      <vt:lpstr>'6.(기본및실시)예산내역서'!Print_Area</vt:lpstr>
      <vt:lpstr>'6-1.기초DATA 입력'!Print_Area</vt:lpstr>
      <vt:lpstr>'6-3.기본및실시설계투입인원'!Print_Area</vt:lpstr>
      <vt:lpstr>'6-5.(기본및실시)적용수량 산출근거'!Print_Area</vt:lpstr>
      <vt:lpstr>'6-6.(기본및실시)직접경비'!Print_Area</vt:lpstr>
      <vt:lpstr>'6-7.(기본및실시)손해배상보험료'!Print_Area</vt:lpstr>
      <vt:lpstr>'7.수요 및 사업타당성조사용역'!Print_Area</vt:lpstr>
      <vt:lpstr>'7-1.일위대가'!Print_Area</vt:lpstr>
      <vt:lpstr>'7-2.인건비산출근거'!Print_Area</vt:lpstr>
      <vt:lpstr>'7-4.인력투입량 배분'!Print_Area</vt:lpstr>
      <vt:lpstr>'8.관리용역비'!Print_Area</vt:lpstr>
      <vt:lpstr>'예산내역서 (총괄)'!Print_Area</vt:lpstr>
      <vt:lpstr>용역비총괄표!Print_Area</vt:lpstr>
      <vt:lpstr>'표지 (2)'!Print_Area</vt:lpstr>
      <vt:lpstr>'1-1.일위대가'!Print_Titles</vt:lpstr>
      <vt:lpstr>'2-1.일위대가'!Print_Titles</vt:lpstr>
      <vt:lpstr>'3-1.일위대가'!Print_Titles</vt:lpstr>
      <vt:lpstr>'5-1.일위대가'!Print_Titles</vt:lpstr>
      <vt:lpstr>'6-2.(기본및실시)직접인건비 내역'!Print_Titles</vt:lpstr>
      <vt:lpstr>'6-5.(기본및실시)적용수량 산출근거'!Print_Titles</vt:lpstr>
      <vt:lpstr>'7-1.일위대가'!Print_Titles</vt:lpstr>
      <vt:lpstr>'7-4.인력투입량 배분'!Print_Titles</vt:lpstr>
      <vt:lpstr>고급단가</vt:lpstr>
      <vt:lpstr>고급단가3_1</vt:lpstr>
      <vt:lpstr>기술사단가</vt:lpstr>
      <vt:lpstr>기술사단가3_1</vt:lpstr>
      <vt:lpstr>단지유형</vt:lpstr>
      <vt:lpstr>단지유형3_1</vt:lpstr>
      <vt:lpstr>중급단가</vt:lpstr>
      <vt:lpstr>중급단가3_1</vt:lpstr>
      <vt:lpstr>지구보정</vt:lpstr>
      <vt:lpstr>지구보정3_1</vt:lpstr>
      <vt:lpstr>지구특성3</vt:lpstr>
      <vt:lpstr>지역보정</vt:lpstr>
      <vt:lpstr>지역보정3_1</vt:lpstr>
      <vt:lpstr>지역특성3</vt:lpstr>
      <vt:lpstr>지형보정</vt:lpstr>
      <vt:lpstr>지형보정3_1</vt:lpstr>
      <vt:lpstr>지형특성3</vt:lpstr>
      <vt:lpstr>초급단가</vt:lpstr>
      <vt:lpstr>초급단가3_1</vt:lpstr>
      <vt:lpstr>특급단가</vt:lpstr>
      <vt:lpstr>특급단가3_1</vt:lpstr>
    </vt:vector>
  </TitlesOfParts>
  <Company>lh-1</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dc:creator>
  <cp:lastModifiedBy>user</cp:lastModifiedBy>
  <cp:lastPrinted>2015-10-01T01:05:53Z</cp:lastPrinted>
  <dcterms:created xsi:type="dcterms:W3CDTF">2013-09-27T07:30:55Z</dcterms:created>
  <dcterms:modified xsi:type="dcterms:W3CDTF">2017-06-07T13:42:28Z</dcterms:modified>
</cp:coreProperties>
</file>