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" yWindow="-300" windowWidth="14025" windowHeight="13065" tabRatio="900"/>
  </bookViews>
  <sheets>
    <sheet name="토지조서" sheetId="89" r:id="rId1"/>
    <sheet name="도문리(편입없음)" sheetId="93" state="hidden" r:id="rId2"/>
    <sheet name="5" sheetId="85" state="hidden" r:id="rId3"/>
    <sheet name="6" sheetId="84" state="hidden" r:id="rId4"/>
    <sheet name="7" sheetId="83" state="hidden" r:id="rId5"/>
    <sheet name="8" sheetId="82" state="hidden" r:id="rId6"/>
    <sheet name="9" sheetId="81" state="hidden" r:id="rId7"/>
    <sheet name="10" sheetId="80" state="hidden" r:id="rId8"/>
  </sheets>
  <definedNames>
    <definedName name="_xlnm._FilterDatabase" localSheetId="7" hidden="1">'10'!$A$5:$N$5</definedName>
    <definedName name="_xlnm._FilterDatabase" localSheetId="2" hidden="1">'5'!$A$5:$N$530</definedName>
    <definedName name="_xlnm._FilterDatabase" localSheetId="3" hidden="1">'6'!$A$5:$N$530</definedName>
    <definedName name="_xlnm._FilterDatabase" localSheetId="4" hidden="1">'7'!$A$5:$N$5</definedName>
    <definedName name="_xlnm._FilterDatabase" localSheetId="5" hidden="1">'8'!$A$5:$N$5</definedName>
    <definedName name="_xlnm._FilterDatabase" localSheetId="6" hidden="1">'9'!$A$5:$N$5</definedName>
    <definedName name="_xlnm._FilterDatabase" localSheetId="1" hidden="1">'도문리(편입없음)'!$A$5:$R$529</definedName>
    <definedName name="_xlnm._FilterDatabase" localSheetId="0" hidden="1">토지조서!$A$5:$T$289</definedName>
    <definedName name="_xlnm.Print_Area" localSheetId="7">'10'!$A$1:$M$26</definedName>
    <definedName name="_xlnm.Print_Area" localSheetId="2">'5'!$A$1:$M$257</definedName>
    <definedName name="_xlnm.Print_Area" localSheetId="3">'6'!$A$1:$M$257</definedName>
    <definedName name="_xlnm.Print_Area" localSheetId="4">'7'!$A$1:$M$26</definedName>
    <definedName name="_xlnm.Print_Area" localSheetId="5">'8'!$A$1:$M$26</definedName>
    <definedName name="_xlnm.Print_Area" localSheetId="6">'9'!$A$1:$M$26</definedName>
    <definedName name="_xlnm.Print_Area" localSheetId="1">'도문리(편입없음)'!$A$1:$Q$28</definedName>
    <definedName name="_xlnm.Print_Area" localSheetId="0">토지조서!$A$1:$R$990</definedName>
    <definedName name="_xlnm.Print_Titles" localSheetId="7">'10'!$1:$5</definedName>
    <definedName name="_xlnm.Print_Titles" localSheetId="2">'5'!$1:$5</definedName>
    <definedName name="_xlnm.Print_Titles" localSheetId="3">'6'!$1:$5</definedName>
    <definedName name="_xlnm.Print_Titles" localSheetId="4">'7'!$1:$5</definedName>
    <definedName name="_xlnm.Print_Titles" localSheetId="5">'8'!$1:$5</definedName>
    <definedName name="_xlnm.Print_Titles" localSheetId="6">'9'!$1:$5</definedName>
    <definedName name="_xlnm.Print_Titles" localSheetId="1">'도문리(편입없음)'!$1:$5</definedName>
    <definedName name="_xlnm.Print_Titles" localSheetId="0">토지조서!$1:$5</definedName>
  </definedNames>
  <calcPr calcId="145621"/>
</workbook>
</file>

<file path=xl/calcChain.xml><?xml version="1.0" encoding="utf-8"?>
<calcChain xmlns="http://schemas.openxmlformats.org/spreadsheetml/2006/main">
  <c r="G990" i="89" l="1"/>
  <c r="H990" i="89"/>
  <c r="F990" i="89"/>
  <c r="A6" i="80"/>
  <c r="N6" i="80"/>
  <c r="O6" i="80"/>
  <c r="A7" i="80"/>
  <c r="N7" i="80"/>
  <c r="O7" i="80"/>
  <c r="A8" i="80"/>
  <c r="N8" i="80"/>
  <c r="O8" i="80"/>
  <c r="A9" i="80"/>
  <c r="N9" i="80"/>
  <c r="O9" i="80"/>
  <c r="A10" i="80"/>
  <c r="N10" i="80"/>
  <c r="O10" i="80"/>
  <c r="A11" i="80"/>
  <c r="N11" i="80"/>
  <c r="O11" i="80"/>
  <c r="A12" i="80"/>
  <c r="N12" i="80"/>
  <c r="O12" i="80"/>
  <c r="A13" i="80"/>
  <c r="N13" i="80"/>
  <c r="O13" i="80"/>
  <c r="A14" i="80"/>
  <c r="N14" i="80"/>
  <c r="O14" i="80"/>
  <c r="A15" i="80"/>
  <c r="N15" i="80"/>
  <c r="O15" i="80"/>
  <c r="A16" i="80"/>
  <c r="N16" i="80"/>
  <c r="O16" i="80"/>
  <c r="A17" i="80"/>
  <c r="N17" i="80"/>
  <c r="O17" i="80"/>
  <c r="A18" i="80"/>
  <c r="N18" i="80"/>
  <c r="O18" i="80"/>
  <c r="A19" i="80"/>
  <c r="N19" i="80"/>
  <c r="O19" i="80"/>
  <c r="A20" i="80"/>
  <c r="N20" i="80"/>
  <c r="O20" i="80"/>
  <c r="A21" i="80"/>
  <c r="N21" i="80"/>
  <c r="O21" i="80"/>
  <c r="A22" i="80"/>
  <c r="N22" i="80"/>
  <c r="O22" i="80"/>
  <c r="A23" i="80"/>
  <c r="N23" i="80"/>
  <c r="O23" i="80"/>
  <c r="A24" i="80"/>
  <c r="N24" i="80"/>
  <c r="O24" i="80"/>
  <c r="A25" i="80"/>
  <c r="N25" i="80"/>
  <c r="O25" i="80"/>
  <c r="E26" i="80"/>
  <c r="N26" i="80"/>
  <c r="A27" i="80"/>
  <c r="N27" i="80"/>
  <c r="O27" i="80"/>
  <c r="A28" i="80"/>
  <c r="N28" i="80"/>
  <c r="O28" i="80"/>
  <c r="A29" i="80"/>
  <c r="N29" i="80"/>
  <c r="O29" i="80"/>
  <c r="A30" i="80"/>
  <c r="N30" i="80"/>
  <c r="O30" i="80"/>
  <c r="A31" i="80"/>
  <c r="N31" i="80"/>
  <c r="O31" i="80"/>
  <c r="A32" i="80"/>
  <c r="N32" i="80"/>
  <c r="O32" i="80"/>
  <c r="A33" i="80"/>
  <c r="N33" i="80"/>
  <c r="O33" i="80"/>
  <c r="A34" i="80"/>
  <c r="N34" i="80"/>
  <c r="O34" i="80"/>
  <c r="A35" i="80"/>
  <c r="N35" i="80"/>
  <c r="O35" i="80"/>
  <c r="A36" i="80"/>
  <c r="N36" i="80"/>
  <c r="O36" i="80"/>
  <c r="A37" i="80"/>
  <c r="N37" i="80"/>
  <c r="O37" i="80"/>
  <c r="A38" i="80"/>
  <c r="N38" i="80"/>
  <c r="O38" i="80"/>
  <c r="A39" i="80"/>
  <c r="N39" i="80"/>
  <c r="O39" i="80"/>
  <c r="A40" i="80"/>
  <c r="N40" i="80"/>
  <c r="O40" i="80"/>
  <c r="A41" i="80"/>
  <c r="N41" i="80"/>
  <c r="O41" i="80"/>
  <c r="A42" i="80"/>
  <c r="N42" i="80"/>
  <c r="O42" i="80"/>
  <c r="A43" i="80"/>
  <c r="N43" i="80"/>
  <c r="O43" i="80"/>
  <c r="A44" i="80"/>
  <c r="N44" i="80"/>
  <c r="O44" i="80"/>
  <c r="A45" i="80"/>
  <c r="N45" i="80"/>
  <c r="O45" i="80"/>
  <c r="A46" i="80"/>
  <c r="N46" i="80"/>
  <c r="O46" i="80"/>
  <c r="E47" i="80"/>
  <c r="N47" i="80"/>
  <c r="A48" i="80"/>
  <c r="N48" i="80"/>
  <c r="O48" i="80"/>
  <c r="A49" i="80"/>
  <c r="N49" i="80"/>
  <c r="O49" i="80"/>
  <c r="A50" i="80"/>
  <c r="N50" i="80"/>
  <c r="O50" i="80"/>
  <c r="A51" i="80"/>
  <c r="N51" i="80"/>
  <c r="O51" i="80"/>
  <c r="A52" i="80"/>
  <c r="N52" i="80"/>
  <c r="O52" i="80"/>
  <c r="A53" i="80"/>
  <c r="N53" i="80"/>
  <c r="O53" i="80"/>
  <c r="A54" i="80"/>
  <c r="N54" i="80"/>
  <c r="O54" i="80"/>
  <c r="A55" i="80"/>
  <c r="N55" i="80"/>
  <c r="O55" i="80"/>
  <c r="A56" i="80"/>
  <c r="N56" i="80"/>
  <c r="O56" i="80"/>
  <c r="A57" i="80"/>
  <c r="N57" i="80"/>
  <c r="O57" i="80"/>
  <c r="A58" i="80"/>
  <c r="N58" i="80"/>
  <c r="O58" i="80"/>
  <c r="A59" i="80"/>
  <c r="N59" i="80"/>
  <c r="O59" i="80"/>
  <c r="A60" i="80"/>
  <c r="N60" i="80"/>
  <c r="O60" i="80"/>
  <c r="A61" i="80"/>
  <c r="N61" i="80"/>
  <c r="O61" i="80"/>
  <c r="A62" i="80"/>
  <c r="N62" i="80"/>
  <c r="O62" i="80"/>
  <c r="A63" i="80"/>
  <c r="N63" i="80"/>
  <c r="O63" i="80"/>
  <c r="A64" i="80"/>
  <c r="N64" i="80"/>
  <c r="O64" i="80"/>
  <c r="A65" i="80"/>
  <c r="N65" i="80"/>
  <c r="O65" i="80"/>
  <c r="A66" i="80"/>
  <c r="N66" i="80"/>
  <c r="O66" i="80"/>
  <c r="A67" i="80"/>
  <c r="N67" i="80"/>
  <c r="O67" i="80"/>
  <c r="E68" i="80"/>
  <c r="N68" i="80"/>
  <c r="A69" i="80"/>
  <c r="N69" i="80"/>
  <c r="O69" i="80"/>
  <c r="A70" i="80"/>
  <c r="N70" i="80"/>
  <c r="O70" i="80"/>
  <c r="A71" i="80"/>
  <c r="N71" i="80"/>
  <c r="O71" i="80"/>
  <c r="A72" i="80"/>
  <c r="N72" i="80"/>
  <c r="O72" i="80"/>
  <c r="A73" i="80"/>
  <c r="N73" i="80"/>
  <c r="O73" i="80"/>
  <c r="A74" i="80"/>
  <c r="N74" i="80"/>
  <c r="O74" i="80"/>
  <c r="A75" i="80"/>
  <c r="N75" i="80"/>
  <c r="O75" i="80"/>
  <c r="A76" i="80"/>
  <c r="N76" i="80"/>
  <c r="O76" i="80"/>
  <c r="A77" i="80"/>
  <c r="N77" i="80"/>
  <c r="O77" i="80"/>
  <c r="A78" i="80"/>
  <c r="N78" i="80"/>
  <c r="O78" i="80"/>
  <c r="A79" i="80"/>
  <c r="N79" i="80"/>
  <c r="O79" i="80"/>
  <c r="A80" i="80"/>
  <c r="N80" i="80"/>
  <c r="O80" i="80"/>
  <c r="A81" i="80"/>
  <c r="N81" i="80"/>
  <c r="O81" i="80"/>
  <c r="A82" i="80"/>
  <c r="N82" i="80"/>
  <c r="O82" i="80"/>
  <c r="A83" i="80"/>
  <c r="N83" i="80"/>
  <c r="O83" i="80"/>
  <c r="A84" i="80"/>
  <c r="N84" i="80"/>
  <c r="O84" i="80"/>
  <c r="A85" i="80"/>
  <c r="N85" i="80"/>
  <c r="O85" i="80"/>
  <c r="A86" i="80"/>
  <c r="N86" i="80"/>
  <c r="O86" i="80"/>
  <c r="A87" i="80"/>
  <c r="N87" i="80"/>
  <c r="O87" i="80"/>
  <c r="A88" i="80"/>
  <c r="N88" i="80"/>
  <c r="O88" i="80"/>
  <c r="E89" i="80"/>
  <c r="N89" i="80"/>
  <c r="A90" i="80"/>
  <c r="N90" i="80"/>
  <c r="O90" i="80"/>
  <c r="A91" i="80"/>
  <c r="N91" i="80"/>
  <c r="O91" i="80"/>
  <c r="A92" i="80"/>
  <c r="N92" i="80"/>
  <c r="O92" i="80"/>
  <c r="A93" i="80"/>
  <c r="N93" i="80"/>
  <c r="O93" i="80"/>
  <c r="A94" i="80"/>
  <c r="N94" i="80"/>
  <c r="O94" i="80"/>
  <c r="A95" i="80"/>
  <c r="N95" i="80"/>
  <c r="O95" i="80"/>
  <c r="A96" i="80"/>
  <c r="N96" i="80"/>
  <c r="O96" i="80"/>
  <c r="A97" i="80"/>
  <c r="N97" i="80"/>
  <c r="O97" i="80"/>
  <c r="A98" i="80"/>
  <c r="N98" i="80"/>
  <c r="O98" i="80"/>
  <c r="A99" i="80"/>
  <c r="N99" i="80"/>
  <c r="O99" i="80"/>
  <c r="A100" i="80"/>
  <c r="N100" i="80"/>
  <c r="O100" i="80"/>
  <c r="A101" i="80"/>
  <c r="N101" i="80"/>
  <c r="O101" i="80"/>
  <c r="A102" i="80"/>
  <c r="N102" i="80"/>
  <c r="O102" i="80"/>
  <c r="A103" i="80"/>
  <c r="N103" i="80"/>
  <c r="O103" i="80"/>
  <c r="A104" i="80"/>
  <c r="N104" i="80"/>
  <c r="O104" i="80"/>
  <c r="A105" i="80"/>
  <c r="N105" i="80"/>
  <c r="O105" i="80"/>
  <c r="A106" i="80"/>
  <c r="N106" i="80"/>
  <c r="O106" i="80"/>
  <c r="A107" i="80"/>
  <c r="N107" i="80"/>
  <c r="O107" i="80"/>
  <c r="A108" i="80"/>
  <c r="N108" i="80"/>
  <c r="O108" i="80"/>
  <c r="A109" i="80"/>
  <c r="N109" i="80"/>
  <c r="O109" i="80"/>
  <c r="E110" i="80"/>
  <c r="N110" i="80"/>
  <c r="A111" i="80"/>
  <c r="N111" i="80"/>
  <c r="O111" i="80"/>
  <c r="A112" i="80"/>
  <c r="N112" i="80"/>
  <c r="O112" i="80"/>
  <c r="A113" i="80"/>
  <c r="N113" i="80"/>
  <c r="O113" i="80"/>
  <c r="A114" i="80"/>
  <c r="N114" i="80"/>
  <c r="O114" i="80"/>
  <c r="A115" i="80"/>
  <c r="N115" i="80"/>
  <c r="O115" i="80"/>
  <c r="A116" i="80"/>
  <c r="N116" i="80"/>
  <c r="O116" i="80"/>
  <c r="A117" i="80"/>
  <c r="N117" i="80"/>
  <c r="O117" i="80"/>
  <c r="A118" i="80"/>
  <c r="N118" i="80"/>
  <c r="O118" i="80"/>
  <c r="A119" i="80"/>
  <c r="N119" i="80"/>
  <c r="O119" i="80"/>
  <c r="A120" i="80"/>
  <c r="N120" i="80"/>
  <c r="O120" i="80"/>
  <c r="A121" i="80"/>
  <c r="N121" i="80"/>
  <c r="O121" i="80"/>
  <c r="A122" i="80"/>
  <c r="N122" i="80"/>
  <c r="O122" i="80"/>
  <c r="A123" i="80"/>
  <c r="N123" i="80"/>
  <c r="O123" i="80"/>
  <c r="A124" i="80"/>
  <c r="N124" i="80"/>
  <c r="O124" i="80"/>
  <c r="A125" i="80"/>
  <c r="N125" i="80"/>
  <c r="O125" i="80"/>
  <c r="A126" i="80"/>
  <c r="N126" i="80"/>
  <c r="O126" i="80"/>
  <c r="A127" i="80"/>
  <c r="N127" i="80"/>
  <c r="O127" i="80"/>
  <c r="A128" i="80"/>
  <c r="N128" i="80"/>
  <c r="O128" i="80"/>
  <c r="A129" i="80"/>
  <c r="N129" i="80"/>
  <c r="O129" i="80"/>
  <c r="A130" i="80"/>
  <c r="N130" i="80"/>
  <c r="O130" i="80"/>
  <c r="E131" i="80"/>
  <c r="N131" i="80"/>
  <c r="A132" i="80"/>
  <c r="N132" i="80"/>
  <c r="O132" i="80"/>
  <c r="A133" i="80"/>
  <c r="N133" i="80"/>
  <c r="O133" i="80"/>
  <c r="A134" i="80"/>
  <c r="N134" i="80"/>
  <c r="O134" i="80"/>
  <c r="A135" i="80"/>
  <c r="N135" i="80"/>
  <c r="O135" i="80"/>
  <c r="A136" i="80"/>
  <c r="N136" i="80"/>
  <c r="O136" i="80"/>
  <c r="A137" i="80"/>
  <c r="N137" i="80"/>
  <c r="O137" i="80"/>
  <c r="A138" i="80"/>
  <c r="N138" i="80"/>
  <c r="O138" i="80"/>
  <c r="A139" i="80"/>
  <c r="N139" i="80"/>
  <c r="O139" i="80"/>
  <c r="A140" i="80"/>
  <c r="N140" i="80"/>
  <c r="O140" i="80"/>
  <c r="A141" i="80"/>
  <c r="N141" i="80"/>
  <c r="O141" i="80"/>
  <c r="A142" i="80"/>
  <c r="N142" i="80"/>
  <c r="O142" i="80"/>
  <c r="A143" i="80"/>
  <c r="N143" i="80"/>
  <c r="O143" i="80"/>
  <c r="A144" i="80"/>
  <c r="N144" i="80"/>
  <c r="O144" i="80"/>
  <c r="A145" i="80"/>
  <c r="N145" i="80"/>
  <c r="O145" i="80"/>
  <c r="A146" i="80"/>
  <c r="N146" i="80"/>
  <c r="O146" i="80"/>
  <c r="A147" i="80"/>
  <c r="N147" i="80"/>
  <c r="O147" i="80"/>
  <c r="A148" i="80"/>
  <c r="N148" i="80"/>
  <c r="O148" i="80"/>
  <c r="A149" i="80"/>
  <c r="N149" i="80"/>
  <c r="O149" i="80"/>
  <c r="A150" i="80"/>
  <c r="N150" i="80"/>
  <c r="O150" i="80"/>
  <c r="A151" i="80"/>
  <c r="N151" i="80"/>
  <c r="O151" i="80"/>
  <c r="E152" i="80"/>
  <c r="N152" i="80"/>
  <c r="A153" i="80"/>
  <c r="N153" i="80"/>
  <c r="O153" i="80"/>
  <c r="A154" i="80"/>
  <c r="N154" i="80"/>
  <c r="O154" i="80"/>
  <c r="A155" i="80"/>
  <c r="N155" i="80"/>
  <c r="O155" i="80"/>
  <c r="A156" i="80"/>
  <c r="N156" i="80"/>
  <c r="O156" i="80"/>
  <c r="A157" i="80"/>
  <c r="N157" i="80"/>
  <c r="O157" i="80"/>
  <c r="A158" i="80"/>
  <c r="N158" i="80"/>
  <c r="O158" i="80"/>
  <c r="A159" i="80"/>
  <c r="N159" i="80"/>
  <c r="O159" i="80"/>
  <c r="A160" i="80"/>
  <c r="N160" i="80"/>
  <c r="O160" i="80"/>
  <c r="A161" i="80"/>
  <c r="N161" i="80"/>
  <c r="O161" i="80"/>
  <c r="A162" i="80"/>
  <c r="N162" i="80"/>
  <c r="O162" i="80"/>
  <c r="A163" i="80"/>
  <c r="N163" i="80"/>
  <c r="O163" i="80"/>
  <c r="A164" i="80"/>
  <c r="N164" i="80"/>
  <c r="O164" i="80"/>
  <c r="A165" i="80"/>
  <c r="N165" i="80"/>
  <c r="O165" i="80"/>
  <c r="A166" i="80"/>
  <c r="N166" i="80"/>
  <c r="O166" i="80"/>
  <c r="A167" i="80"/>
  <c r="N167" i="80"/>
  <c r="O167" i="80"/>
  <c r="A168" i="80"/>
  <c r="N168" i="80"/>
  <c r="O168" i="80"/>
  <c r="A169" i="80"/>
  <c r="N169" i="80"/>
  <c r="O169" i="80"/>
  <c r="A170" i="80"/>
  <c r="N170" i="80"/>
  <c r="O170" i="80"/>
  <c r="A171" i="80"/>
  <c r="N171" i="80"/>
  <c r="O171" i="80"/>
  <c r="A172" i="80"/>
  <c r="N172" i="80"/>
  <c r="O172" i="80"/>
  <c r="E173" i="80"/>
  <c r="N173" i="80"/>
  <c r="A174" i="80"/>
  <c r="N174" i="80"/>
  <c r="O174" i="80"/>
  <c r="A175" i="80"/>
  <c r="N175" i="80"/>
  <c r="O175" i="80"/>
  <c r="A176" i="80"/>
  <c r="N176" i="80"/>
  <c r="O176" i="80"/>
  <c r="A177" i="80"/>
  <c r="N177" i="80"/>
  <c r="O177" i="80"/>
  <c r="A178" i="80"/>
  <c r="N178" i="80"/>
  <c r="O178" i="80"/>
  <c r="A179" i="80"/>
  <c r="N179" i="80"/>
  <c r="O179" i="80"/>
  <c r="A180" i="80"/>
  <c r="N180" i="80"/>
  <c r="O180" i="80"/>
  <c r="A181" i="80"/>
  <c r="N181" i="80"/>
  <c r="O181" i="80"/>
  <c r="A182" i="80"/>
  <c r="N182" i="80"/>
  <c r="O182" i="80"/>
  <c r="A183" i="80"/>
  <c r="N183" i="80"/>
  <c r="O183" i="80"/>
  <c r="A184" i="80"/>
  <c r="N184" i="80"/>
  <c r="O184" i="80"/>
  <c r="A185" i="80"/>
  <c r="N185" i="80"/>
  <c r="O185" i="80"/>
  <c r="A186" i="80"/>
  <c r="N186" i="80"/>
  <c r="O186" i="80"/>
  <c r="A187" i="80"/>
  <c r="N187" i="80"/>
  <c r="O187" i="80"/>
  <c r="A188" i="80"/>
  <c r="N188" i="80"/>
  <c r="O188" i="80"/>
  <c r="A189" i="80"/>
  <c r="N189" i="80"/>
  <c r="O189" i="80"/>
  <c r="A190" i="80"/>
  <c r="N190" i="80"/>
  <c r="O190" i="80"/>
  <c r="A191" i="80"/>
  <c r="N191" i="80"/>
  <c r="O191" i="80"/>
  <c r="A192" i="80"/>
  <c r="N192" i="80"/>
  <c r="O192" i="80"/>
  <c r="A193" i="80"/>
  <c r="N193" i="80"/>
  <c r="O193" i="80"/>
  <c r="E194" i="80"/>
  <c r="N194" i="80"/>
  <c r="A195" i="80"/>
  <c r="N195" i="80"/>
  <c r="O195" i="80"/>
  <c r="A196" i="80"/>
  <c r="N196" i="80"/>
  <c r="O196" i="80"/>
  <c r="A197" i="80"/>
  <c r="N197" i="80"/>
  <c r="O197" i="80"/>
  <c r="A198" i="80"/>
  <c r="N198" i="80"/>
  <c r="O198" i="80"/>
  <c r="A199" i="80"/>
  <c r="N199" i="80"/>
  <c r="O199" i="80"/>
  <c r="A200" i="80"/>
  <c r="N200" i="80"/>
  <c r="O200" i="80"/>
  <c r="A201" i="80"/>
  <c r="N201" i="80"/>
  <c r="O201" i="80"/>
  <c r="A202" i="80"/>
  <c r="N202" i="80"/>
  <c r="O202" i="80"/>
  <c r="A203" i="80"/>
  <c r="N203" i="80"/>
  <c r="O203" i="80"/>
  <c r="A204" i="80"/>
  <c r="N204" i="80"/>
  <c r="O204" i="80"/>
  <c r="A205" i="80"/>
  <c r="N205" i="80"/>
  <c r="O205" i="80"/>
  <c r="A206" i="80"/>
  <c r="N206" i="80"/>
  <c r="O206" i="80"/>
  <c r="A207" i="80"/>
  <c r="N207" i="80"/>
  <c r="O207" i="80"/>
  <c r="A208" i="80"/>
  <c r="N208" i="80"/>
  <c r="O208" i="80"/>
  <c r="A209" i="80"/>
  <c r="N209" i="80"/>
  <c r="O209" i="80"/>
  <c r="A210" i="80"/>
  <c r="N210" i="80"/>
  <c r="O210" i="80"/>
  <c r="A211" i="80"/>
  <c r="N211" i="80"/>
  <c r="O211" i="80"/>
  <c r="A212" i="80"/>
  <c r="N212" i="80"/>
  <c r="O212" i="80"/>
  <c r="A213" i="80"/>
  <c r="N213" i="80"/>
  <c r="O213" i="80"/>
  <c r="A214" i="80"/>
  <c r="N214" i="80"/>
  <c r="O214" i="80"/>
  <c r="E215" i="80"/>
  <c r="N215" i="80"/>
  <c r="A216" i="80"/>
  <c r="N216" i="80"/>
  <c r="O216" i="80"/>
  <c r="A217" i="80"/>
  <c r="N217" i="80"/>
  <c r="O217" i="80"/>
  <c r="A218" i="80"/>
  <c r="N218" i="80"/>
  <c r="O218" i="80"/>
  <c r="A219" i="80"/>
  <c r="N219" i="80"/>
  <c r="O219" i="80"/>
  <c r="A220" i="80"/>
  <c r="N220" i="80"/>
  <c r="O220" i="80"/>
  <c r="A221" i="80"/>
  <c r="N221" i="80"/>
  <c r="O221" i="80"/>
  <c r="A222" i="80"/>
  <c r="N222" i="80"/>
  <c r="O222" i="80"/>
  <c r="A223" i="80"/>
  <c r="N223" i="80"/>
  <c r="O223" i="80"/>
  <c r="A224" i="80"/>
  <c r="N224" i="80"/>
  <c r="O224" i="80"/>
  <c r="A225" i="80"/>
  <c r="N225" i="80"/>
  <c r="O225" i="80"/>
  <c r="A226" i="80"/>
  <c r="N226" i="80"/>
  <c r="O226" i="80"/>
  <c r="A227" i="80"/>
  <c r="N227" i="80"/>
  <c r="O227" i="80"/>
  <c r="A228" i="80"/>
  <c r="N228" i="80"/>
  <c r="O228" i="80"/>
  <c r="A229" i="80"/>
  <c r="N229" i="80"/>
  <c r="O229" i="80"/>
  <c r="A230" i="80"/>
  <c r="N230" i="80"/>
  <c r="O230" i="80"/>
  <c r="A231" i="80"/>
  <c r="N231" i="80"/>
  <c r="O231" i="80"/>
  <c r="A232" i="80"/>
  <c r="N232" i="80"/>
  <c r="O232" i="80"/>
  <c r="A233" i="80"/>
  <c r="N233" i="80"/>
  <c r="O233" i="80"/>
  <c r="A234" i="80"/>
  <c r="N234" i="80"/>
  <c r="O234" i="80"/>
  <c r="A235" i="80"/>
  <c r="N235" i="80"/>
  <c r="O235" i="80"/>
  <c r="E236" i="80"/>
  <c r="N236" i="80"/>
  <c r="A237" i="80"/>
  <c r="N237" i="80"/>
  <c r="O237" i="80"/>
  <c r="A238" i="80"/>
  <c r="N238" i="80"/>
  <c r="O238" i="80"/>
  <c r="A239" i="80"/>
  <c r="N239" i="80"/>
  <c r="O239" i="80"/>
  <c r="A240" i="80"/>
  <c r="N240" i="80"/>
  <c r="O240" i="80"/>
  <c r="A241" i="80"/>
  <c r="N241" i="80"/>
  <c r="O241" i="80"/>
  <c r="A242" i="80"/>
  <c r="N242" i="80"/>
  <c r="O242" i="80"/>
  <c r="A243" i="80"/>
  <c r="N243" i="80"/>
  <c r="O243" i="80"/>
  <c r="A244" i="80"/>
  <c r="N244" i="80"/>
  <c r="O244" i="80"/>
  <c r="A245" i="80"/>
  <c r="N245" i="80"/>
  <c r="O245" i="80"/>
  <c r="A246" i="80"/>
  <c r="N246" i="80"/>
  <c r="O246" i="80"/>
  <c r="A247" i="80"/>
  <c r="N247" i="80"/>
  <c r="O247" i="80"/>
  <c r="A248" i="80"/>
  <c r="N248" i="80"/>
  <c r="O248" i="80"/>
  <c r="A249" i="80"/>
  <c r="N249" i="80"/>
  <c r="O249" i="80"/>
  <c r="A250" i="80"/>
  <c r="N250" i="80"/>
  <c r="O250" i="80"/>
  <c r="A251" i="80"/>
  <c r="N251" i="80"/>
  <c r="O251" i="80"/>
  <c r="A252" i="80"/>
  <c r="N252" i="80"/>
  <c r="O252" i="80"/>
  <c r="A253" i="80"/>
  <c r="N253" i="80"/>
  <c r="O253" i="80"/>
  <c r="A254" i="80"/>
  <c r="N254" i="80"/>
  <c r="O254" i="80"/>
  <c r="A255" i="80"/>
  <c r="N255" i="80"/>
  <c r="O255" i="80"/>
  <c r="A256" i="80"/>
  <c r="N256" i="80"/>
  <c r="O256" i="80"/>
  <c r="E257" i="80"/>
  <c r="N257" i="80"/>
  <c r="A258" i="80"/>
  <c r="N258" i="80"/>
  <c r="O258" i="80"/>
  <c r="A259" i="80"/>
  <c r="N259" i="80"/>
  <c r="O259" i="80"/>
  <c r="A260" i="80"/>
  <c r="N260" i="80"/>
  <c r="O260" i="80"/>
  <c r="A261" i="80"/>
  <c r="N261" i="80"/>
  <c r="O261" i="80"/>
  <c r="A262" i="80"/>
  <c r="N262" i="80"/>
  <c r="O262" i="80"/>
  <c r="A263" i="80"/>
  <c r="N263" i="80"/>
  <c r="O263" i="80"/>
  <c r="A264" i="80"/>
  <c r="N264" i="80"/>
  <c r="O264" i="80"/>
  <c r="A265" i="80"/>
  <c r="N265" i="80"/>
  <c r="O265" i="80"/>
  <c r="A266" i="80"/>
  <c r="N266" i="80"/>
  <c r="O266" i="80"/>
  <c r="A267" i="80"/>
  <c r="N267" i="80"/>
  <c r="O267" i="80"/>
  <c r="A268" i="80"/>
  <c r="N268" i="80"/>
  <c r="O268" i="80"/>
  <c r="A269" i="80"/>
  <c r="N269" i="80"/>
  <c r="O269" i="80"/>
  <c r="A270" i="80"/>
  <c r="N270" i="80"/>
  <c r="O270" i="80"/>
  <c r="A271" i="80"/>
  <c r="N271" i="80"/>
  <c r="O271" i="80"/>
  <c r="A272" i="80"/>
  <c r="N272" i="80"/>
  <c r="O272" i="80"/>
  <c r="A273" i="80"/>
  <c r="N273" i="80"/>
  <c r="O273" i="80"/>
  <c r="A274" i="80"/>
  <c r="N274" i="80"/>
  <c r="O274" i="80"/>
  <c r="A275" i="80"/>
  <c r="N275" i="80"/>
  <c r="O275" i="80"/>
  <c r="A276" i="80"/>
  <c r="N276" i="80"/>
  <c r="O276" i="80"/>
  <c r="A277" i="80"/>
  <c r="N277" i="80"/>
  <c r="O277" i="80"/>
  <c r="E278" i="80"/>
  <c r="N278" i="80"/>
  <c r="A279" i="80"/>
  <c r="N279" i="80"/>
  <c r="O279" i="80"/>
  <c r="A280" i="80"/>
  <c r="N280" i="80"/>
  <c r="O280" i="80"/>
  <c r="A281" i="80"/>
  <c r="N281" i="80"/>
  <c r="O281" i="80"/>
  <c r="A282" i="80"/>
  <c r="N282" i="80"/>
  <c r="O282" i="80"/>
  <c r="A283" i="80"/>
  <c r="N283" i="80"/>
  <c r="O283" i="80"/>
  <c r="A284" i="80"/>
  <c r="N284" i="80"/>
  <c r="O284" i="80"/>
  <c r="A285" i="80"/>
  <c r="N285" i="80"/>
  <c r="O285" i="80"/>
  <c r="A286" i="80"/>
  <c r="N286" i="80"/>
  <c r="O286" i="80"/>
  <c r="A287" i="80"/>
  <c r="N287" i="80"/>
  <c r="O287" i="80"/>
  <c r="A288" i="80"/>
  <c r="N288" i="80"/>
  <c r="O288" i="80"/>
  <c r="A289" i="80"/>
  <c r="N289" i="80"/>
  <c r="O289" i="80"/>
  <c r="A290" i="80"/>
  <c r="N290" i="80"/>
  <c r="O290" i="80"/>
  <c r="A291" i="80"/>
  <c r="N291" i="80"/>
  <c r="O291" i="80"/>
  <c r="A292" i="80"/>
  <c r="N292" i="80"/>
  <c r="O292" i="80"/>
  <c r="A293" i="80"/>
  <c r="N293" i="80"/>
  <c r="O293" i="80"/>
  <c r="A294" i="80"/>
  <c r="N294" i="80"/>
  <c r="O294" i="80"/>
  <c r="A295" i="80"/>
  <c r="N295" i="80"/>
  <c r="O295" i="80"/>
  <c r="A296" i="80"/>
  <c r="N296" i="80"/>
  <c r="O296" i="80"/>
  <c r="A297" i="80"/>
  <c r="N297" i="80"/>
  <c r="O297" i="80"/>
  <c r="A298" i="80"/>
  <c r="N298" i="80"/>
  <c r="O298" i="80"/>
  <c r="E299" i="80"/>
  <c r="N299" i="80"/>
  <c r="A300" i="80"/>
  <c r="N300" i="80"/>
  <c r="O300" i="80"/>
  <c r="A301" i="80"/>
  <c r="N301" i="80"/>
  <c r="O301" i="80"/>
  <c r="A302" i="80"/>
  <c r="N302" i="80"/>
  <c r="O302" i="80"/>
  <c r="A303" i="80"/>
  <c r="N303" i="80"/>
  <c r="O303" i="80"/>
  <c r="A304" i="80"/>
  <c r="N304" i="80"/>
  <c r="O304" i="80"/>
  <c r="A305" i="80"/>
  <c r="N305" i="80"/>
  <c r="O305" i="80"/>
  <c r="A306" i="80"/>
  <c r="N306" i="80"/>
  <c r="O306" i="80"/>
  <c r="A307" i="80"/>
  <c r="N307" i="80"/>
  <c r="O307" i="80"/>
  <c r="A308" i="80"/>
  <c r="N308" i="80"/>
  <c r="O308" i="80"/>
  <c r="A309" i="80"/>
  <c r="N309" i="80"/>
  <c r="O309" i="80"/>
  <c r="A310" i="80"/>
  <c r="N310" i="80"/>
  <c r="O310" i="80"/>
  <c r="A311" i="80"/>
  <c r="N311" i="80"/>
  <c r="O311" i="80"/>
  <c r="A312" i="80"/>
  <c r="N312" i="80"/>
  <c r="O312" i="80"/>
  <c r="A313" i="80"/>
  <c r="N313" i="80"/>
  <c r="O313" i="80"/>
  <c r="A314" i="80"/>
  <c r="N314" i="80"/>
  <c r="O314" i="80"/>
  <c r="A315" i="80"/>
  <c r="N315" i="80"/>
  <c r="O315" i="80"/>
  <c r="A316" i="80"/>
  <c r="N316" i="80"/>
  <c r="O316" i="80"/>
  <c r="A317" i="80"/>
  <c r="N317" i="80"/>
  <c r="O317" i="80"/>
  <c r="A318" i="80"/>
  <c r="N318" i="80"/>
  <c r="O318" i="80"/>
  <c r="A319" i="80"/>
  <c r="N319" i="80"/>
  <c r="O319" i="80"/>
  <c r="E320" i="80"/>
  <c r="N320" i="80"/>
  <c r="A321" i="80"/>
  <c r="N321" i="80"/>
  <c r="O321" i="80"/>
  <c r="A322" i="80"/>
  <c r="N322" i="80"/>
  <c r="O322" i="80"/>
  <c r="A323" i="80"/>
  <c r="N323" i="80"/>
  <c r="O323" i="80"/>
  <c r="A324" i="80"/>
  <c r="N324" i="80"/>
  <c r="O324" i="80"/>
  <c r="A325" i="80"/>
  <c r="N325" i="80"/>
  <c r="O325" i="80"/>
  <c r="A326" i="80"/>
  <c r="N326" i="80"/>
  <c r="O326" i="80"/>
  <c r="A327" i="80"/>
  <c r="N327" i="80"/>
  <c r="O327" i="80"/>
  <c r="A328" i="80"/>
  <c r="N328" i="80"/>
  <c r="O328" i="80"/>
  <c r="A329" i="80"/>
  <c r="N329" i="80"/>
  <c r="O329" i="80"/>
  <c r="A330" i="80"/>
  <c r="N330" i="80"/>
  <c r="O330" i="80"/>
  <c r="A331" i="80"/>
  <c r="N331" i="80"/>
  <c r="O331" i="80"/>
  <c r="A332" i="80"/>
  <c r="N332" i="80"/>
  <c r="O332" i="80"/>
  <c r="A333" i="80"/>
  <c r="N333" i="80"/>
  <c r="O333" i="80"/>
  <c r="A334" i="80"/>
  <c r="N334" i="80"/>
  <c r="O334" i="80"/>
  <c r="A335" i="80"/>
  <c r="N335" i="80"/>
  <c r="O335" i="80"/>
  <c r="A336" i="80"/>
  <c r="N336" i="80"/>
  <c r="O336" i="80"/>
  <c r="A337" i="80"/>
  <c r="N337" i="80"/>
  <c r="O337" i="80"/>
  <c r="A338" i="80"/>
  <c r="N338" i="80"/>
  <c r="O338" i="80"/>
  <c r="A339" i="80"/>
  <c r="N339" i="80"/>
  <c r="O339" i="80"/>
  <c r="A340" i="80"/>
  <c r="N340" i="80"/>
  <c r="O340" i="80"/>
  <c r="E341" i="80"/>
  <c r="N341" i="80"/>
  <c r="A342" i="80"/>
  <c r="N342" i="80"/>
  <c r="O342" i="80"/>
  <c r="A343" i="80"/>
  <c r="N343" i="80"/>
  <c r="O343" i="80"/>
  <c r="A344" i="80"/>
  <c r="N344" i="80"/>
  <c r="O344" i="80"/>
  <c r="A345" i="80"/>
  <c r="N345" i="80"/>
  <c r="O345" i="80"/>
  <c r="A346" i="80"/>
  <c r="N346" i="80"/>
  <c r="O346" i="80"/>
  <c r="A347" i="80"/>
  <c r="N347" i="80"/>
  <c r="O347" i="80"/>
  <c r="A348" i="80"/>
  <c r="N348" i="80"/>
  <c r="O348" i="80"/>
  <c r="A349" i="80"/>
  <c r="N349" i="80"/>
  <c r="O349" i="80"/>
  <c r="A350" i="80"/>
  <c r="N350" i="80"/>
  <c r="O350" i="80"/>
  <c r="A351" i="80"/>
  <c r="N351" i="80"/>
  <c r="O351" i="80"/>
  <c r="A352" i="80"/>
  <c r="N352" i="80"/>
  <c r="O352" i="80"/>
  <c r="A353" i="80"/>
  <c r="N353" i="80"/>
  <c r="O353" i="80"/>
  <c r="A354" i="80"/>
  <c r="N354" i="80"/>
  <c r="O354" i="80"/>
  <c r="A355" i="80"/>
  <c r="N355" i="80"/>
  <c r="O355" i="80"/>
  <c r="A356" i="80"/>
  <c r="N356" i="80"/>
  <c r="O356" i="80"/>
  <c r="A357" i="80"/>
  <c r="N357" i="80"/>
  <c r="O357" i="80"/>
  <c r="A358" i="80"/>
  <c r="N358" i="80"/>
  <c r="O358" i="80"/>
  <c r="A359" i="80"/>
  <c r="N359" i="80"/>
  <c r="O359" i="80"/>
  <c r="A360" i="80"/>
  <c r="N360" i="80"/>
  <c r="O360" i="80"/>
  <c r="A361" i="80"/>
  <c r="N361" i="80"/>
  <c r="O361" i="80"/>
  <c r="E362" i="80"/>
  <c r="N362" i="80"/>
  <c r="A363" i="80"/>
  <c r="N363" i="80"/>
  <c r="O363" i="80"/>
  <c r="A364" i="80"/>
  <c r="N364" i="80"/>
  <c r="O364" i="80"/>
  <c r="A365" i="80"/>
  <c r="N365" i="80"/>
  <c r="O365" i="80"/>
  <c r="A366" i="80"/>
  <c r="N366" i="80"/>
  <c r="O366" i="80"/>
  <c r="A367" i="80"/>
  <c r="N367" i="80"/>
  <c r="O367" i="80"/>
  <c r="A368" i="80"/>
  <c r="N368" i="80"/>
  <c r="O368" i="80"/>
  <c r="A369" i="80"/>
  <c r="N369" i="80"/>
  <c r="O369" i="80"/>
  <c r="A370" i="80"/>
  <c r="N370" i="80"/>
  <c r="O370" i="80"/>
  <c r="A371" i="80"/>
  <c r="N371" i="80"/>
  <c r="O371" i="80"/>
  <c r="A372" i="80"/>
  <c r="N372" i="80"/>
  <c r="O372" i="80"/>
  <c r="A373" i="80"/>
  <c r="N373" i="80"/>
  <c r="O373" i="80"/>
  <c r="A374" i="80"/>
  <c r="N374" i="80"/>
  <c r="O374" i="80"/>
  <c r="A375" i="80"/>
  <c r="N375" i="80"/>
  <c r="O375" i="80"/>
  <c r="A376" i="80"/>
  <c r="N376" i="80"/>
  <c r="O376" i="80"/>
  <c r="A377" i="80"/>
  <c r="N377" i="80"/>
  <c r="O377" i="80"/>
  <c r="A378" i="80"/>
  <c r="N378" i="80"/>
  <c r="O378" i="80"/>
  <c r="A379" i="80"/>
  <c r="N379" i="80"/>
  <c r="O379" i="80"/>
  <c r="A380" i="80"/>
  <c r="N380" i="80"/>
  <c r="O380" i="80"/>
  <c r="A381" i="80"/>
  <c r="N381" i="80"/>
  <c r="O381" i="80"/>
  <c r="A382" i="80"/>
  <c r="N382" i="80"/>
  <c r="O382" i="80"/>
  <c r="E383" i="80"/>
  <c r="N383" i="80"/>
  <c r="A384" i="80"/>
  <c r="N384" i="80"/>
  <c r="O384" i="80"/>
  <c r="A385" i="80"/>
  <c r="N385" i="80"/>
  <c r="O385" i="80"/>
  <c r="A386" i="80"/>
  <c r="N386" i="80"/>
  <c r="O386" i="80"/>
  <c r="A387" i="80"/>
  <c r="N387" i="80"/>
  <c r="O387" i="80"/>
  <c r="A388" i="80"/>
  <c r="N388" i="80"/>
  <c r="O388" i="80"/>
  <c r="A389" i="80"/>
  <c r="N389" i="80"/>
  <c r="O389" i="80"/>
  <c r="A390" i="80"/>
  <c r="N390" i="80"/>
  <c r="O390" i="80"/>
  <c r="A391" i="80"/>
  <c r="N391" i="80"/>
  <c r="O391" i="80"/>
  <c r="A392" i="80"/>
  <c r="N392" i="80"/>
  <c r="O392" i="80"/>
  <c r="A393" i="80"/>
  <c r="N393" i="80"/>
  <c r="O393" i="80"/>
  <c r="A394" i="80"/>
  <c r="N394" i="80"/>
  <c r="O394" i="80"/>
  <c r="A395" i="80"/>
  <c r="N395" i="80"/>
  <c r="O395" i="80"/>
  <c r="A396" i="80"/>
  <c r="N396" i="80"/>
  <c r="O396" i="80"/>
  <c r="A397" i="80"/>
  <c r="N397" i="80"/>
  <c r="O397" i="80"/>
  <c r="A398" i="80"/>
  <c r="N398" i="80"/>
  <c r="O398" i="80"/>
  <c r="A399" i="80"/>
  <c r="N399" i="80"/>
  <c r="O399" i="80"/>
  <c r="A400" i="80"/>
  <c r="N400" i="80"/>
  <c r="O400" i="80"/>
  <c r="A401" i="80"/>
  <c r="N401" i="80"/>
  <c r="O401" i="80"/>
  <c r="A402" i="80"/>
  <c r="N402" i="80"/>
  <c r="O402" i="80"/>
  <c r="A403" i="80"/>
  <c r="N403" i="80"/>
  <c r="O403" i="80"/>
  <c r="E404" i="80"/>
  <c r="N404" i="80"/>
  <c r="A405" i="80"/>
  <c r="N405" i="80"/>
  <c r="O405" i="80"/>
  <c r="A406" i="80"/>
  <c r="N406" i="80"/>
  <c r="O406" i="80"/>
  <c r="A407" i="80"/>
  <c r="N407" i="80"/>
  <c r="O407" i="80"/>
  <c r="A408" i="80"/>
  <c r="N408" i="80"/>
  <c r="O408" i="80"/>
  <c r="A409" i="80"/>
  <c r="N409" i="80"/>
  <c r="O409" i="80"/>
  <c r="A410" i="80"/>
  <c r="N410" i="80"/>
  <c r="O410" i="80"/>
  <c r="A411" i="80"/>
  <c r="N411" i="80"/>
  <c r="O411" i="80"/>
  <c r="A412" i="80"/>
  <c r="N412" i="80"/>
  <c r="O412" i="80"/>
  <c r="A413" i="80"/>
  <c r="N413" i="80"/>
  <c r="O413" i="80"/>
  <c r="A414" i="80"/>
  <c r="N414" i="80"/>
  <c r="O414" i="80"/>
  <c r="A415" i="80"/>
  <c r="N415" i="80"/>
  <c r="O415" i="80"/>
  <c r="A416" i="80"/>
  <c r="N416" i="80"/>
  <c r="O416" i="80"/>
  <c r="A417" i="80"/>
  <c r="N417" i="80"/>
  <c r="O417" i="80"/>
  <c r="A418" i="80"/>
  <c r="N418" i="80"/>
  <c r="O418" i="80"/>
  <c r="A419" i="80"/>
  <c r="N419" i="80"/>
  <c r="O419" i="80"/>
  <c r="A420" i="80"/>
  <c r="N420" i="80"/>
  <c r="O420" i="80"/>
  <c r="A421" i="80"/>
  <c r="N421" i="80"/>
  <c r="O421" i="80"/>
  <c r="A422" i="80"/>
  <c r="N422" i="80"/>
  <c r="O422" i="80"/>
  <c r="A423" i="80"/>
  <c r="N423" i="80"/>
  <c r="O423" i="80"/>
  <c r="A424" i="80"/>
  <c r="N424" i="80"/>
  <c r="O424" i="80"/>
  <c r="E425" i="80"/>
  <c r="N425" i="80"/>
  <c r="A426" i="80"/>
  <c r="N426" i="80"/>
  <c r="O426" i="80"/>
  <c r="A427" i="80"/>
  <c r="N427" i="80"/>
  <c r="O427" i="80"/>
  <c r="A428" i="80"/>
  <c r="N428" i="80"/>
  <c r="O428" i="80"/>
  <c r="A429" i="80"/>
  <c r="N429" i="80"/>
  <c r="O429" i="80"/>
  <c r="A430" i="80"/>
  <c r="N430" i="80"/>
  <c r="O430" i="80"/>
  <c r="A431" i="80"/>
  <c r="N431" i="80"/>
  <c r="O431" i="80"/>
  <c r="A432" i="80"/>
  <c r="N432" i="80"/>
  <c r="O432" i="80"/>
  <c r="A433" i="80"/>
  <c r="N433" i="80"/>
  <c r="O433" i="80"/>
  <c r="A434" i="80"/>
  <c r="N434" i="80"/>
  <c r="O434" i="80"/>
  <c r="A435" i="80"/>
  <c r="N435" i="80"/>
  <c r="O435" i="80"/>
  <c r="A436" i="80"/>
  <c r="N436" i="80"/>
  <c r="O436" i="80"/>
  <c r="A437" i="80"/>
  <c r="N437" i="80"/>
  <c r="O437" i="80"/>
  <c r="A438" i="80"/>
  <c r="N438" i="80"/>
  <c r="O438" i="80"/>
  <c r="A439" i="80"/>
  <c r="N439" i="80"/>
  <c r="O439" i="80"/>
  <c r="A440" i="80"/>
  <c r="N440" i="80"/>
  <c r="O440" i="80"/>
  <c r="A441" i="80"/>
  <c r="N441" i="80"/>
  <c r="O441" i="80"/>
  <c r="A442" i="80"/>
  <c r="N442" i="80"/>
  <c r="O442" i="80"/>
  <c r="A443" i="80"/>
  <c r="N443" i="80"/>
  <c r="O443" i="80"/>
  <c r="A444" i="80"/>
  <c r="N444" i="80"/>
  <c r="O444" i="80"/>
  <c r="A445" i="80"/>
  <c r="N445" i="80"/>
  <c r="O445" i="80"/>
  <c r="E446" i="80"/>
  <c r="N446" i="80"/>
  <c r="A447" i="80"/>
  <c r="N447" i="80"/>
  <c r="O447" i="80"/>
  <c r="A448" i="80"/>
  <c r="N448" i="80"/>
  <c r="O448" i="80"/>
  <c r="A449" i="80"/>
  <c r="N449" i="80"/>
  <c r="O449" i="80"/>
  <c r="A450" i="80"/>
  <c r="N450" i="80"/>
  <c r="O450" i="80"/>
  <c r="A451" i="80"/>
  <c r="N451" i="80"/>
  <c r="O451" i="80"/>
  <c r="A452" i="80"/>
  <c r="N452" i="80"/>
  <c r="O452" i="80"/>
  <c r="A453" i="80"/>
  <c r="N453" i="80"/>
  <c r="O453" i="80"/>
  <c r="A454" i="80"/>
  <c r="N454" i="80"/>
  <c r="O454" i="80"/>
  <c r="A455" i="80"/>
  <c r="N455" i="80"/>
  <c r="O455" i="80"/>
  <c r="A456" i="80"/>
  <c r="N456" i="80"/>
  <c r="O456" i="80"/>
  <c r="A457" i="80"/>
  <c r="N457" i="80"/>
  <c r="O457" i="80"/>
  <c r="A458" i="80"/>
  <c r="N458" i="80"/>
  <c r="O458" i="80"/>
  <c r="A459" i="80"/>
  <c r="N459" i="80"/>
  <c r="O459" i="80"/>
  <c r="A460" i="80"/>
  <c r="N460" i="80"/>
  <c r="O460" i="80"/>
  <c r="A461" i="80"/>
  <c r="N461" i="80"/>
  <c r="O461" i="80"/>
  <c r="A462" i="80"/>
  <c r="N462" i="80"/>
  <c r="O462" i="80"/>
  <c r="A463" i="80"/>
  <c r="N463" i="80"/>
  <c r="O463" i="80"/>
  <c r="A464" i="80"/>
  <c r="N464" i="80"/>
  <c r="O464" i="80"/>
  <c r="A465" i="80"/>
  <c r="N465" i="80"/>
  <c r="O465" i="80"/>
  <c r="A466" i="80"/>
  <c r="N466" i="80"/>
  <c r="O466" i="80"/>
  <c r="E467" i="80"/>
  <c r="N467" i="80"/>
  <c r="A468" i="80"/>
  <c r="N468" i="80"/>
  <c r="O468" i="80"/>
  <c r="A469" i="80"/>
  <c r="N469" i="80"/>
  <c r="O469" i="80"/>
  <c r="A470" i="80"/>
  <c r="N470" i="80"/>
  <c r="O470" i="80"/>
  <c r="A471" i="80"/>
  <c r="N471" i="80"/>
  <c r="O471" i="80"/>
  <c r="A472" i="80"/>
  <c r="N472" i="80"/>
  <c r="O472" i="80"/>
  <c r="A473" i="80"/>
  <c r="N473" i="80"/>
  <c r="O473" i="80"/>
  <c r="A474" i="80"/>
  <c r="N474" i="80"/>
  <c r="O474" i="80"/>
  <c r="A475" i="80"/>
  <c r="N475" i="80"/>
  <c r="O475" i="80"/>
  <c r="A476" i="80"/>
  <c r="N476" i="80"/>
  <c r="O476" i="80"/>
  <c r="A477" i="80"/>
  <c r="N477" i="80"/>
  <c r="O477" i="80"/>
  <c r="A478" i="80"/>
  <c r="N478" i="80"/>
  <c r="O478" i="80"/>
  <c r="A479" i="80"/>
  <c r="N479" i="80"/>
  <c r="O479" i="80"/>
  <c r="A480" i="80"/>
  <c r="N480" i="80"/>
  <c r="O480" i="80"/>
  <c r="A481" i="80"/>
  <c r="N481" i="80"/>
  <c r="O481" i="80"/>
  <c r="A482" i="80"/>
  <c r="N482" i="80"/>
  <c r="O482" i="80"/>
  <c r="A483" i="80"/>
  <c r="N483" i="80"/>
  <c r="O483" i="80"/>
  <c r="A484" i="80"/>
  <c r="N484" i="80"/>
  <c r="O484" i="80"/>
  <c r="A485" i="80"/>
  <c r="N485" i="80"/>
  <c r="O485" i="80"/>
  <c r="A486" i="80"/>
  <c r="N486" i="80"/>
  <c r="O486" i="80"/>
  <c r="A487" i="80"/>
  <c r="N487" i="80"/>
  <c r="O487" i="80"/>
  <c r="E488" i="80"/>
  <c r="N488" i="80"/>
  <c r="A489" i="80"/>
  <c r="N489" i="80"/>
  <c r="O489" i="80"/>
  <c r="A490" i="80"/>
  <c r="N490" i="80"/>
  <c r="O490" i="80"/>
  <c r="A491" i="80"/>
  <c r="N491" i="80"/>
  <c r="O491" i="80"/>
  <c r="A492" i="80"/>
  <c r="N492" i="80"/>
  <c r="O492" i="80"/>
  <c r="A493" i="80"/>
  <c r="N493" i="80"/>
  <c r="O493" i="80"/>
  <c r="A494" i="80"/>
  <c r="N494" i="80"/>
  <c r="O494" i="80"/>
  <c r="A495" i="80"/>
  <c r="N495" i="80"/>
  <c r="O495" i="80"/>
  <c r="A496" i="80"/>
  <c r="N496" i="80"/>
  <c r="O496" i="80"/>
  <c r="A497" i="80"/>
  <c r="N497" i="80"/>
  <c r="O497" i="80"/>
  <c r="A498" i="80"/>
  <c r="N498" i="80"/>
  <c r="O498" i="80"/>
  <c r="A499" i="80"/>
  <c r="N499" i="80"/>
  <c r="O499" i="80"/>
  <c r="A500" i="80"/>
  <c r="N500" i="80"/>
  <c r="O500" i="80"/>
  <c r="A501" i="80"/>
  <c r="N501" i="80"/>
  <c r="O501" i="80"/>
  <c r="A502" i="80"/>
  <c r="N502" i="80"/>
  <c r="O502" i="80"/>
  <c r="A503" i="80"/>
  <c r="N503" i="80"/>
  <c r="O503" i="80"/>
  <c r="A504" i="80"/>
  <c r="N504" i="80"/>
  <c r="O504" i="80"/>
  <c r="A505" i="80"/>
  <c r="N505" i="80"/>
  <c r="O505" i="80"/>
  <c r="A506" i="80"/>
  <c r="N506" i="80"/>
  <c r="O506" i="80"/>
  <c r="A507" i="80"/>
  <c r="N507" i="80"/>
  <c r="O507" i="80"/>
  <c r="A508" i="80"/>
  <c r="N508" i="80"/>
  <c r="O508" i="80"/>
  <c r="E509" i="80"/>
  <c r="N509" i="80"/>
  <c r="A510" i="80"/>
  <c r="N510" i="80"/>
  <c r="O510" i="80"/>
  <c r="A511" i="80"/>
  <c r="N511" i="80"/>
  <c r="O511" i="80"/>
  <c r="A512" i="80"/>
  <c r="N512" i="80"/>
  <c r="O512" i="80"/>
  <c r="A513" i="80"/>
  <c r="N513" i="80"/>
  <c r="O513" i="80"/>
  <c r="A514" i="80"/>
  <c r="N514" i="80"/>
  <c r="O514" i="80"/>
  <c r="A515" i="80"/>
  <c r="N515" i="80"/>
  <c r="O515" i="80"/>
  <c r="A516" i="80"/>
  <c r="N516" i="80"/>
  <c r="O516" i="80"/>
  <c r="A517" i="80"/>
  <c r="N517" i="80"/>
  <c r="O517" i="80"/>
  <c r="A518" i="80"/>
  <c r="N518" i="80"/>
  <c r="O518" i="80"/>
  <c r="A519" i="80"/>
  <c r="N519" i="80"/>
  <c r="O519" i="80"/>
  <c r="A520" i="80"/>
  <c r="N520" i="80"/>
  <c r="O520" i="80"/>
  <c r="A521" i="80"/>
  <c r="N521" i="80"/>
  <c r="O521" i="80"/>
  <c r="A522" i="80"/>
  <c r="N522" i="80"/>
  <c r="O522" i="80"/>
  <c r="A523" i="80"/>
  <c r="N523" i="80"/>
  <c r="O523" i="80"/>
  <c r="A524" i="80"/>
  <c r="N524" i="80"/>
  <c r="O524" i="80"/>
  <c r="A525" i="80"/>
  <c r="N525" i="80"/>
  <c r="O525" i="80"/>
  <c r="A526" i="80"/>
  <c r="N526" i="80"/>
  <c r="O526" i="80"/>
  <c r="A527" i="80"/>
  <c r="N527" i="80"/>
  <c r="O527" i="80"/>
  <c r="A528" i="80"/>
  <c r="N528" i="80"/>
  <c r="O528" i="80"/>
  <c r="A529" i="80"/>
  <c r="N529" i="80"/>
  <c r="O529" i="80"/>
  <c r="E530" i="80"/>
  <c r="N530" i="80"/>
  <c r="A6" i="81"/>
  <c r="N6" i="81"/>
  <c r="O6" i="81"/>
  <c r="A7" i="81"/>
  <c r="N7" i="81"/>
  <c r="O7" i="81"/>
  <c r="A8" i="81"/>
  <c r="N8" i="81"/>
  <c r="O8" i="81"/>
  <c r="A9" i="81"/>
  <c r="N9" i="81"/>
  <c r="O9" i="81"/>
  <c r="A10" i="81"/>
  <c r="N10" i="81"/>
  <c r="O10" i="81"/>
  <c r="A11" i="81"/>
  <c r="N11" i="81"/>
  <c r="O11" i="81"/>
  <c r="A12" i="81"/>
  <c r="N12" i="81"/>
  <c r="O12" i="81"/>
  <c r="A13" i="81"/>
  <c r="N13" i="81"/>
  <c r="O13" i="81"/>
  <c r="A14" i="81"/>
  <c r="N14" i="81"/>
  <c r="O14" i="81"/>
  <c r="A15" i="81"/>
  <c r="N15" i="81"/>
  <c r="O15" i="81"/>
  <c r="A16" i="81"/>
  <c r="N16" i="81"/>
  <c r="O16" i="81"/>
  <c r="A17" i="81"/>
  <c r="N17" i="81"/>
  <c r="O17" i="81"/>
  <c r="A18" i="81"/>
  <c r="N18" i="81"/>
  <c r="O18" i="81"/>
  <c r="A19" i="81"/>
  <c r="N19" i="81"/>
  <c r="O19" i="81"/>
  <c r="A20" i="81"/>
  <c r="N20" i="81"/>
  <c r="O20" i="81"/>
  <c r="A21" i="81"/>
  <c r="N21" i="81"/>
  <c r="O21" i="81"/>
  <c r="A22" i="81"/>
  <c r="N22" i="81"/>
  <c r="O22" i="81"/>
  <c r="A23" i="81"/>
  <c r="N23" i="81"/>
  <c r="O23" i="81"/>
  <c r="A24" i="81"/>
  <c r="N24" i="81"/>
  <c r="O24" i="81"/>
  <c r="A25" i="81"/>
  <c r="N25" i="81"/>
  <c r="O25" i="81"/>
  <c r="E26" i="81"/>
  <c r="N26" i="81"/>
  <c r="A27" i="81"/>
  <c r="N27" i="81"/>
  <c r="O27" i="81"/>
  <c r="A28" i="81"/>
  <c r="N28" i="81"/>
  <c r="O28" i="81"/>
  <c r="A29" i="81"/>
  <c r="N29" i="81"/>
  <c r="O29" i="81"/>
  <c r="A30" i="81"/>
  <c r="N30" i="81"/>
  <c r="O30" i="81"/>
  <c r="A31" i="81"/>
  <c r="N31" i="81"/>
  <c r="O31" i="81"/>
  <c r="A32" i="81"/>
  <c r="N32" i="81"/>
  <c r="O32" i="81"/>
  <c r="A33" i="81"/>
  <c r="N33" i="81"/>
  <c r="O33" i="81"/>
  <c r="A34" i="81"/>
  <c r="N34" i="81"/>
  <c r="O34" i="81"/>
  <c r="A35" i="81"/>
  <c r="N35" i="81"/>
  <c r="O35" i="81"/>
  <c r="A36" i="81"/>
  <c r="N36" i="81"/>
  <c r="O36" i="81"/>
  <c r="A37" i="81"/>
  <c r="N37" i="81"/>
  <c r="O37" i="81"/>
  <c r="A38" i="81"/>
  <c r="N38" i="81"/>
  <c r="O38" i="81"/>
  <c r="A39" i="81"/>
  <c r="N39" i="81"/>
  <c r="O39" i="81"/>
  <c r="A40" i="81"/>
  <c r="N40" i="81"/>
  <c r="O40" i="81"/>
  <c r="A41" i="81"/>
  <c r="N41" i="81"/>
  <c r="O41" i="81"/>
  <c r="A42" i="81"/>
  <c r="N42" i="81"/>
  <c r="O42" i="81"/>
  <c r="A43" i="81"/>
  <c r="N43" i="81"/>
  <c r="O43" i="81"/>
  <c r="A44" i="81"/>
  <c r="N44" i="81"/>
  <c r="O44" i="81"/>
  <c r="A45" i="81"/>
  <c r="N45" i="81"/>
  <c r="O45" i="81"/>
  <c r="A46" i="81"/>
  <c r="N46" i="81"/>
  <c r="O46" i="81"/>
  <c r="E47" i="81"/>
  <c r="N47" i="81"/>
  <c r="A48" i="81"/>
  <c r="N48" i="81"/>
  <c r="O48" i="81"/>
  <c r="A49" i="81"/>
  <c r="N49" i="81"/>
  <c r="O49" i="81"/>
  <c r="A50" i="81"/>
  <c r="N50" i="81"/>
  <c r="O50" i="81"/>
  <c r="A51" i="81"/>
  <c r="N51" i="81"/>
  <c r="O51" i="81"/>
  <c r="A52" i="81"/>
  <c r="N52" i="81"/>
  <c r="O52" i="81"/>
  <c r="A53" i="81"/>
  <c r="N53" i="81"/>
  <c r="O53" i="81"/>
  <c r="A54" i="81"/>
  <c r="N54" i="81"/>
  <c r="O54" i="81"/>
  <c r="A55" i="81"/>
  <c r="N55" i="81"/>
  <c r="O55" i="81"/>
  <c r="A56" i="81"/>
  <c r="N56" i="81"/>
  <c r="O56" i="81"/>
  <c r="A57" i="81"/>
  <c r="N57" i="81"/>
  <c r="O57" i="81"/>
  <c r="A58" i="81"/>
  <c r="N58" i="81"/>
  <c r="O58" i="81"/>
  <c r="A59" i="81"/>
  <c r="N59" i="81"/>
  <c r="O59" i="81"/>
  <c r="A60" i="81"/>
  <c r="N60" i="81"/>
  <c r="O60" i="81"/>
  <c r="A61" i="81"/>
  <c r="N61" i="81"/>
  <c r="O61" i="81"/>
  <c r="A62" i="81"/>
  <c r="N62" i="81"/>
  <c r="O62" i="81"/>
  <c r="A63" i="81"/>
  <c r="N63" i="81"/>
  <c r="O63" i="81"/>
  <c r="A64" i="81"/>
  <c r="N64" i="81"/>
  <c r="O64" i="81"/>
  <c r="A65" i="81"/>
  <c r="N65" i="81"/>
  <c r="O65" i="81"/>
  <c r="A66" i="81"/>
  <c r="N66" i="81"/>
  <c r="O66" i="81"/>
  <c r="A67" i="81"/>
  <c r="N67" i="81"/>
  <c r="O67" i="81"/>
  <c r="E68" i="81"/>
  <c r="N68" i="81"/>
  <c r="A69" i="81"/>
  <c r="N69" i="81"/>
  <c r="O69" i="81"/>
  <c r="A70" i="81"/>
  <c r="N70" i="81"/>
  <c r="O70" i="81"/>
  <c r="A71" i="81"/>
  <c r="N71" i="81"/>
  <c r="O71" i="81"/>
  <c r="A72" i="81"/>
  <c r="N72" i="81"/>
  <c r="O72" i="81"/>
  <c r="A73" i="81"/>
  <c r="N73" i="81"/>
  <c r="O73" i="81"/>
  <c r="A74" i="81"/>
  <c r="N74" i="81"/>
  <c r="O74" i="81"/>
  <c r="A75" i="81"/>
  <c r="N75" i="81"/>
  <c r="O75" i="81"/>
  <c r="A76" i="81"/>
  <c r="N76" i="81"/>
  <c r="O76" i="81"/>
  <c r="A77" i="81"/>
  <c r="N77" i="81"/>
  <c r="O77" i="81"/>
  <c r="A78" i="81"/>
  <c r="N78" i="81"/>
  <c r="O78" i="81"/>
  <c r="A79" i="81"/>
  <c r="N79" i="81"/>
  <c r="O79" i="81"/>
  <c r="A80" i="81"/>
  <c r="N80" i="81"/>
  <c r="O80" i="81"/>
  <c r="A81" i="81"/>
  <c r="N81" i="81"/>
  <c r="O81" i="81"/>
  <c r="A82" i="81"/>
  <c r="N82" i="81"/>
  <c r="O82" i="81"/>
  <c r="A83" i="81"/>
  <c r="N83" i="81"/>
  <c r="O83" i="81"/>
  <c r="A84" i="81"/>
  <c r="N84" i="81"/>
  <c r="O84" i="81"/>
  <c r="A85" i="81"/>
  <c r="N85" i="81"/>
  <c r="O85" i="81"/>
  <c r="A86" i="81"/>
  <c r="N86" i="81"/>
  <c r="O86" i="81"/>
  <c r="A87" i="81"/>
  <c r="N87" i="81"/>
  <c r="O87" i="81"/>
  <c r="A88" i="81"/>
  <c r="N88" i="81"/>
  <c r="O88" i="81"/>
  <c r="E89" i="81"/>
  <c r="N89" i="81"/>
  <c r="A90" i="81"/>
  <c r="N90" i="81"/>
  <c r="O90" i="81"/>
  <c r="A91" i="81"/>
  <c r="N91" i="81"/>
  <c r="O91" i="81"/>
  <c r="A92" i="81"/>
  <c r="N92" i="81"/>
  <c r="O92" i="81"/>
  <c r="A93" i="81"/>
  <c r="N93" i="81"/>
  <c r="O93" i="81"/>
  <c r="A94" i="81"/>
  <c r="N94" i="81"/>
  <c r="O94" i="81"/>
  <c r="A95" i="81"/>
  <c r="N95" i="81"/>
  <c r="O95" i="81"/>
  <c r="A96" i="81"/>
  <c r="N96" i="81"/>
  <c r="O96" i="81"/>
  <c r="A97" i="81"/>
  <c r="N97" i="81"/>
  <c r="O97" i="81"/>
  <c r="A98" i="81"/>
  <c r="N98" i="81"/>
  <c r="O98" i="81"/>
  <c r="A99" i="81"/>
  <c r="N99" i="81"/>
  <c r="O99" i="81"/>
  <c r="A100" i="81"/>
  <c r="N100" i="81"/>
  <c r="O100" i="81"/>
  <c r="A101" i="81"/>
  <c r="N101" i="81"/>
  <c r="O101" i="81"/>
  <c r="A102" i="81"/>
  <c r="N102" i="81"/>
  <c r="O102" i="81"/>
  <c r="A103" i="81"/>
  <c r="N103" i="81"/>
  <c r="O103" i="81"/>
  <c r="A104" i="81"/>
  <c r="N104" i="81"/>
  <c r="O104" i="81"/>
  <c r="A105" i="81"/>
  <c r="N105" i="81"/>
  <c r="O105" i="81"/>
  <c r="A106" i="81"/>
  <c r="N106" i="81"/>
  <c r="O106" i="81"/>
  <c r="A107" i="81"/>
  <c r="N107" i="81"/>
  <c r="O107" i="81"/>
  <c r="A108" i="81"/>
  <c r="N108" i="81"/>
  <c r="O108" i="81"/>
  <c r="A109" i="81"/>
  <c r="N109" i="81"/>
  <c r="O109" i="81"/>
  <c r="E110" i="81"/>
  <c r="N110" i="81"/>
  <c r="A111" i="81"/>
  <c r="N111" i="81"/>
  <c r="O111" i="81"/>
  <c r="A112" i="81"/>
  <c r="N112" i="81"/>
  <c r="O112" i="81"/>
  <c r="A113" i="81"/>
  <c r="N113" i="81"/>
  <c r="O113" i="81"/>
  <c r="A114" i="81"/>
  <c r="N114" i="81"/>
  <c r="O114" i="81"/>
  <c r="A115" i="81"/>
  <c r="N115" i="81"/>
  <c r="O115" i="81"/>
  <c r="A116" i="81"/>
  <c r="N116" i="81"/>
  <c r="O116" i="81"/>
  <c r="A117" i="81"/>
  <c r="N117" i="81"/>
  <c r="O117" i="81"/>
  <c r="A118" i="81"/>
  <c r="N118" i="81"/>
  <c r="O118" i="81"/>
  <c r="A119" i="81"/>
  <c r="N119" i="81"/>
  <c r="O119" i="81"/>
  <c r="A120" i="81"/>
  <c r="N120" i="81"/>
  <c r="O120" i="81"/>
  <c r="A121" i="81"/>
  <c r="N121" i="81"/>
  <c r="O121" i="81"/>
  <c r="A122" i="81"/>
  <c r="N122" i="81"/>
  <c r="O122" i="81"/>
  <c r="A123" i="81"/>
  <c r="N123" i="81"/>
  <c r="O123" i="81"/>
  <c r="A124" i="81"/>
  <c r="N124" i="81"/>
  <c r="O124" i="81"/>
  <c r="A125" i="81"/>
  <c r="N125" i="81"/>
  <c r="O125" i="81"/>
  <c r="A126" i="81"/>
  <c r="N126" i="81"/>
  <c r="O126" i="81"/>
  <c r="A127" i="81"/>
  <c r="N127" i="81"/>
  <c r="O127" i="81"/>
  <c r="A128" i="81"/>
  <c r="N128" i="81"/>
  <c r="O128" i="81"/>
  <c r="A129" i="81"/>
  <c r="N129" i="81"/>
  <c r="O129" i="81"/>
  <c r="A130" i="81"/>
  <c r="N130" i="81"/>
  <c r="O130" i="81"/>
  <c r="E131" i="81"/>
  <c r="N131" i="81"/>
  <c r="A132" i="81"/>
  <c r="N132" i="81"/>
  <c r="O132" i="81"/>
  <c r="A133" i="81"/>
  <c r="N133" i="81"/>
  <c r="O133" i="81"/>
  <c r="A134" i="81"/>
  <c r="N134" i="81"/>
  <c r="O134" i="81"/>
  <c r="A135" i="81"/>
  <c r="N135" i="81"/>
  <c r="O135" i="81"/>
  <c r="A136" i="81"/>
  <c r="N136" i="81"/>
  <c r="O136" i="81"/>
  <c r="A137" i="81"/>
  <c r="N137" i="81"/>
  <c r="O137" i="81"/>
  <c r="A138" i="81"/>
  <c r="N138" i="81"/>
  <c r="O138" i="81"/>
  <c r="A139" i="81"/>
  <c r="N139" i="81"/>
  <c r="O139" i="81"/>
  <c r="A140" i="81"/>
  <c r="N140" i="81"/>
  <c r="O140" i="81"/>
  <c r="A141" i="81"/>
  <c r="N141" i="81"/>
  <c r="O141" i="81"/>
  <c r="A142" i="81"/>
  <c r="N142" i="81"/>
  <c r="O142" i="81"/>
  <c r="A143" i="81"/>
  <c r="N143" i="81"/>
  <c r="O143" i="81"/>
  <c r="A144" i="81"/>
  <c r="N144" i="81"/>
  <c r="O144" i="81"/>
  <c r="A145" i="81"/>
  <c r="N145" i="81"/>
  <c r="O145" i="81"/>
  <c r="A146" i="81"/>
  <c r="N146" i="81"/>
  <c r="O146" i="81"/>
  <c r="A147" i="81"/>
  <c r="N147" i="81"/>
  <c r="O147" i="81"/>
  <c r="A148" i="81"/>
  <c r="N148" i="81"/>
  <c r="O148" i="81"/>
  <c r="A149" i="81"/>
  <c r="N149" i="81"/>
  <c r="O149" i="81"/>
  <c r="A150" i="81"/>
  <c r="N150" i="81"/>
  <c r="O150" i="81"/>
  <c r="A151" i="81"/>
  <c r="N151" i="81"/>
  <c r="O151" i="81"/>
  <c r="E152" i="81"/>
  <c r="N152" i="81"/>
  <c r="A153" i="81"/>
  <c r="N153" i="81"/>
  <c r="O153" i="81"/>
  <c r="A154" i="81"/>
  <c r="N154" i="81"/>
  <c r="O154" i="81"/>
  <c r="A155" i="81"/>
  <c r="N155" i="81"/>
  <c r="O155" i="81"/>
  <c r="A156" i="81"/>
  <c r="N156" i="81"/>
  <c r="O156" i="81"/>
  <c r="A157" i="81"/>
  <c r="N157" i="81"/>
  <c r="O157" i="81"/>
  <c r="A158" i="81"/>
  <c r="N158" i="81"/>
  <c r="O158" i="81"/>
  <c r="A159" i="81"/>
  <c r="N159" i="81"/>
  <c r="O159" i="81"/>
  <c r="A160" i="81"/>
  <c r="N160" i="81"/>
  <c r="O160" i="81"/>
  <c r="A161" i="81"/>
  <c r="N161" i="81"/>
  <c r="O161" i="81"/>
  <c r="A162" i="81"/>
  <c r="N162" i="81"/>
  <c r="O162" i="81"/>
  <c r="A163" i="81"/>
  <c r="N163" i="81"/>
  <c r="O163" i="81"/>
  <c r="A164" i="81"/>
  <c r="N164" i="81"/>
  <c r="O164" i="81"/>
  <c r="A165" i="81"/>
  <c r="N165" i="81"/>
  <c r="O165" i="81"/>
  <c r="A166" i="81"/>
  <c r="N166" i="81"/>
  <c r="O166" i="81"/>
  <c r="A167" i="81"/>
  <c r="N167" i="81"/>
  <c r="O167" i="81"/>
  <c r="A168" i="81"/>
  <c r="N168" i="81"/>
  <c r="O168" i="81"/>
  <c r="A169" i="81"/>
  <c r="N169" i="81"/>
  <c r="O169" i="81"/>
  <c r="A170" i="81"/>
  <c r="N170" i="81"/>
  <c r="O170" i="81"/>
  <c r="A171" i="81"/>
  <c r="N171" i="81"/>
  <c r="O171" i="81"/>
  <c r="A172" i="81"/>
  <c r="N172" i="81"/>
  <c r="O172" i="81"/>
  <c r="E173" i="81"/>
  <c r="N173" i="81"/>
  <c r="A174" i="81"/>
  <c r="N174" i="81"/>
  <c r="O174" i="81"/>
  <c r="A175" i="81"/>
  <c r="N175" i="81"/>
  <c r="O175" i="81"/>
  <c r="A176" i="81"/>
  <c r="N176" i="81"/>
  <c r="O176" i="81"/>
  <c r="A177" i="81"/>
  <c r="N177" i="81"/>
  <c r="O177" i="81"/>
  <c r="A178" i="81"/>
  <c r="N178" i="81"/>
  <c r="O178" i="81"/>
  <c r="A179" i="81"/>
  <c r="N179" i="81"/>
  <c r="O179" i="81"/>
  <c r="A180" i="81"/>
  <c r="N180" i="81"/>
  <c r="O180" i="81"/>
  <c r="A181" i="81"/>
  <c r="N181" i="81"/>
  <c r="O181" i="81"/>
  <c r="A182" i="81"/>
  <c r="N182" i="81"/>
  <c r="O182" i="81"/>
  <c r="A183" i="81"/>
  <c r="N183" i="81"/>
  <c r="O183" i="81"/>
  <c r="A184" i="81"/>
  <c r="N184" i="81"/>
  <c r="O184" i="81"/>
  <c r="A185" i="81"/>
  <c r="N185" i="81"/>
  <c r="O185" i="81"/>
  <c r="A186" i="81"/>
  <c r="N186" i="81"/>
  <c r="O186" i="81"/>
  <c r="A187" i="81"/>
  <c r="N187" i="81"/>
  <c r="O187" i="81"/>
  <c r="A188" i="81"/>
  <c r="N188" i="81"/>
  <c r="O188" i="81"/>
  <c r="A189" i="81"/>
  <c r="N189" i="81"/>
  <c r="O189" i="81"/>
  <c r="A190" i="81"/>
  <c r="N190" i="81"/>
  <c r="O190" i="81"/>
  <c r="A191" i="81"/>
  <c r="N191" i="81"/>
  <c r="O191" i="81"/>
  <c r="A192" i="81"/>
  <c r="N192" i="81"/>
  <c r="O192" i="81"/>
  <c r="A193" i="81"/>
  <c r="N193" i="81"/>
  <c r="O193" i="81"/>
  <c r="E194" i="81"/>
  <c r="N194" i="81"/>
  <c r="A195" i="81"/>
  <c r="N195" i="81"/>
  <c r="O195" i="81"/>
  <c r="A196" i="81"/>
  <c r="N196" i="81"/>
  <c r="O196" i="81"/>
  <c r="A197" i="81"/>
  <c r="N197" i="81"/>
  <c r="O197" i="81"/>
  <c r="A198" i="81"/>
  <c r="N198" i="81"/>
  <c r="O198" i="81"/>
  <c r="A199" i="81"/>
  <c r="N199" i="81"/>
  <c r="O199" i="81"/>
  <c r="A200" i="81"/>
  <c r="N200" i="81"/>
  <c r="O200" i="81"/>
  <c r="A201" i="81"/>
  <c r="N201" i="81"/>
  <c r="O201" i="81"/>
  <c r="A202" i="81"/>
  <c r="N202" i="81"/>
  <c r="O202" i="81"/>
  <c r="A203" i="81"/>
  <c r="N203" i="81"/>
  <c r="O203" i="81"/>
  <c r="A204" i="81"/>
  <c r="N204" i="81"/>
  <c r="O204" i="81"/>
  <c r="A205" i="81"/>
  <c r="N205" i="81"/>
  <c r="O205" i="81"/>
  <c r="A206" i="81"/>
  <c r="N206" i="81"/>
  <c r="O206" i="81"/>
  <c r="A207" i="81"/>
  <c r="N207" i="81"/>
  <c r="O207" i="81"/>
  <c r="A208" i="81"/>
  <c r="N208" i="81"/>
  <c r="O208" i="81"/>
  <c r="A209" i="81"/>
  <c r="N209" i="81"/>
  <c r="O209" i="81"/>
  <c r="A210" i="81"/>
  <c r="N210" i="81"/>
  <c r="O210" i="81"/>
  <c r="A211" i="81"/>
  <c r="N211" i="81"/>
  <c r="O211" i="81"/>
  <c r="A212" i="81"/>
  <c r="N212" i="81"/>
  <c r="O212" i="81"/>
  <c r="A213" i="81"/>
  <c r="N213" i="81"/>
  <c r="O213" i="81"/>
  <c r="A214" i="81"/>
  <c r="N214" i="81"/>
  <c r="O214" i="81"/>
  <c r="E215" i="81"/>
  <c r="N215" i="81"/>
  <c r="A216" i="81"/>
  <c r="N216" i="81"/>
  <c r="O216" i="81"/>
  <c r="A217" i="81"/>
  <c r="N217" i="81"/>
  <c r="O217" i="81"/>
  <c r="A218" i="81"/>
  <c r="N218" i="81"/>
  <c r="O218" i="81"/>
  <c r="A219" i="81"/>
  <c r="N219" i="81"/>
  <c r="O219" i="81"/>
  <c r="A220" i="81"/>
  <c r="N220" i="81"/>
  <c r="O220" i="81"/>
  <c r="A221" i="81"/>
  <c r="N221" i="81"/>
  <c r="O221" i="81"/>
  <c r="A222" i="81"/>
  <c r="N222" i="81"/>
  <c r="O222" i="81"/>
  <c r="A223" i="81"/>
  <c r="N223" i="81"/>
  <c r="O223" i="81"/>
  <c r="A224" i="81"/>
  <c r="N224" i="81"/>
  <c r="O224" i="81"/>
  <c r="A225" i="81"/>
  <c r="N225" i="81"/>
  <c r="O225" i="81"/>
  <c r="A226" i="81"/>
  <c r="N226" i="81"/>
  <c r="O226" i="81"/>
  <c r="A227" i="81"/>
  <c r="N227" i="81"/>
  <c r="O227" i="81"/>
  <c r="A228" i="81"/>
  <c r="N228" i="81"/>
  <c r="O228" i="81"/>
  <c r="A229" i="81"/>
  <c r="N229" i="81"/>
  <c r="O229" i="81"/>
  <c r="A230" i="81"/>
  <c r="N230" i="81"/>
  <c r="O230" i="81"/>
  <c r="A231" i="81"/>
  <c r="N231" i="81"/>
  <c r="O231" i="81"/>
  <c r="A232" i="81"/>
  <c r="N232" i="81"/>
  <c r="O232" i="81"/>
  <c r="A233" i="81"/>
  <c r="N233" i="81"/>
  <c r="O233" i="81"/>
  <c r="A234" i="81"/>
  <c r="N234" i="81"/>
  <c r="O234" i="81"/>
  <c r="A235" i="81"/>
  <c r="N235" i="81"/>
  <c r="O235" i="81"/>
  <c r="E236" i="81"/>
  <c r="N236" i="81"/>
  <c r="A237" i="81"/>
  <c r="N237" i="81"/>
  <c r="O237" i="81"/>
  <c r="A238" i="81"/>
  <c r="N238" i="81"/>
  <c r="O238" i="81"/>
  <c r="A239" i="81"/>
  <c r="N239" i="81"/>
  <c r="O239" i="81"/>
  <c r="A240" i="81"/>
  <c r="N240" i="81"/>
  <c r="O240" i="81"/>
  <c r="A241" i="81"/>
  <c r="N241" i="81"/>
  <c r="O241" i="81"/>
  <c r="A242" i="81"/>
  <c r="N242" i="81"/>
  <c r="O242" i="81"/>
  <c r="A243" i="81"/>
  <c r="N243" i="81"/>
  <c r="O243" i="81"/>
  <c r="A244" i="81"/>
  <c r="N244" i="81"/>
  <c r="O244" i="81"/>
  <c r="A245" i="81"/>
  <c r="N245" i="81"/>
  <c r="O245" i="81"/>
  <c r="A246" i="81"/>
  <c r="N246" i="81"/>
  <c r="O246" i="81"/>
  <c r="A247" i="81"/>
  <c r="N247" i="81"/>
  <c r="O247" i="81"/>
  <c r="A248" i="81"/>
  <c r="N248" i="81"/>
  <c r="O248" i="81"/>
  <c r="A249" i="81"/>
  <c r="N249" i="81"/>
  <c r="O249" i="81"/>
  <c r="A250" i="81"/>
  <c r="N250" i="81"/>
  <c r="O250" i="81"/>
  <c r="A251" i="81"/>
  <c r="N251" i="81"/>
  <c r="O251" i="81"/>
  <c r="A252" i="81"/>
  <c r="N252" i="81"/>
  <c r="O252" i="81"/>
  <c r="A253" i="81"/>
  <c r="N253" i="81"/>
  <c r="O253" i="81"/>
  <c r="A254" i="81"/>
  <c r="N254" i="81"/>
  <c r="O254" i="81"/>
  <c r="A255" i="81"/>
  <c r="N255" i="81"/>
  <c r="O255" i="81"/>
  <c r="A256" i="81"/>
  <c r="N256" i="81"/>
  <c r="O256" i="81"/>
  <c r="E257" i="81"/>
  <c r="N257" i="81"/>
  <c r="A258" i="81"/>
  <c r="N258" i="81"/>
  <c r="O258" i="81"/>
  <c r="A259" i="81"/>
  <c r="N259" i="81"/>
  <c r="O259" i="81"/>
  <c r="A260" i="81"/>
  <c r="N260" i="81"/>
  <c r="O260" i="81"/>
  <c r="A261" i="81"/>
  <c r="N261" i="81"/>
  <c r="O261" i="81"/>
  <c r="A262" i="81"/>
  <c r="N262" i="81"/>
  <c r="O262" i="81"/>
  <c r="A263" i="81"/>
  <c r="N263" i="81"/>
  <c r="O263" i="81"/>
  <c r="A264" i="81"/>
  <c r="N264" i="81"/>
  <c r="O264" i="81"/>
  <c r="A265" i="81"/>
  <c r="N265" i="81"/>
  <c r="O265" i="81"/>
  <c r="A266" i="81"/>
  <c r="N266" i="81"/>
  <c r="O266" i="81"/>
  <c r="A267" i="81"/>
  <c r="N267" i="81"/>
  <c r="O267" i="81"/>
  <c r="A268" i="81"/>
  <c r="N268" i="81"/>
  <c r="O268" i="81"/>
  <c r="A269" i="81"/>
  <c r="N269" i="81"/>
  <c r="O269" i="81"/>
  <c r="A270" i="81"/>
  <c r="N270" i="81"/>
  <c r="O270" i="81"/>
  <c r="A271" i="81"/>
  <c r="N271" i="81"/>
  <c r="O271" i="81"/>
  <c r="A272" i="81"/>
  <c r="N272" i="81"/>
  <c r="O272" i="81"/>
  <c r="A273" i="81"/>
  <c r="N273" i="81"/>
  <c r="O273" i="81"/>
  <c r="A274" i="81"/>
  <c r="N274" i="81"/>
  <c r="O274" i="81"/>
  <c r="A275" i="81"/>
  <c r="N275" i="81"/>
  <c r="O275" i="81"/>
  <c r="A276" i="81"/>
  <c r="N276" i="81"/>
  <c r="O276" i="81"/>
  <c r="A277" i="81"/>
  <c r="N277" i="81"/>
  <c r="O277" i="81"/>
  <c r="E278" i="81"/>
  <c r="N278" i="81"/>
  <c r="A279" i="81"/>
  <c r="N279" i="81"/>
  <c r="O279" i="81"/>
  <c r="A280" i="81"/>
  <c r="N280" i="81"/>
  <c r="O280" i="81"/>
  <c r="A281" i="81"/>
  <c r="N281" i="81"/>
  <c r="O281" i="81"/>
  <c r="A282" i="81"/>
  <c r="N282" i="81"/>
  <c r="O282" i="81"/>
  <c r="A283" i="81"/>
  <c r="N283" i="81"/>
  <c r="O283" i="81"/>
  <c r="A284" i="81"/>
  <c r="N284" i="81"/>
  <c r="O284" i="81"/>
  <c r="A285" i="81"/>
  <c r="N285" i="81"/>
  <c r="O285" i="81"/>
  <c r="A286" i="81"/>
  <c r="N286" i="81"/>
  <c r="O286" i="81"/>
  <c r="A287" i="81"/>
  <c r="N287" i="81"/>
  <c r="O287" i="81"/>
  <c r="A288" i="81"/>
  <c r="N288" i="81"/>
  <c r="O288" i="81"/>
  <c r="A289" i="81"/>
  <c r="N289" i="81"/>
  <c r="O289" i="81"/>
  <c r="A290" i="81"/>
  <c r="N290" i="81"/>
  <c r="O290" i="81"/>
  <c r="A291" i="81"/>
  <c r="N291" i="81"/>
  <c r="O291" i="81"/>
  <c r="A292" i="81"/>
  <c r="N292" i="81"/>
  <c r="O292" i="81"/>
  <c r="A293" i="81"/>
  <c r="N293" i="81"/>
  <c r="O293" i="81"/>
  <c r="A294" i="81"/>
  <c r="N294" i="81"/>
  <c r="O294" i="81"/>
  <c r="A295" i="81"/>
  <c r="N295" i="81"/>
  <c r="O295" i="81"/>
  <c r="A296" i="81"/>
  <c r="N296" i="81"/>
  <c r="O296" i="81"/>
  <c r="A297" i="81"/>
  <c r="N297" i="81"/>
  <c r="O297" i="81"/>
  <c r="A298" i="81"/>
  <c r="N298" i="81"/>
  <c r="O298" i="81"/>
  <c r="E299" i="81"/>
  <c r="N299" i="81"/>
  <c r="A300" i="81"/>
  <c r="N300" i="81"/>
  <c r="O300" i="81"/>
  <c r="A301" i="81"/>
  <c r="N301" i="81"/>
  <c r="O301" i="81"/>
  <c r="A302" i="81"/>
  <c r="N302" i="81"/>
  <c r="O302" i="81"/>
  <c r="A303" i="81"/>
  <c r="N303" i="81"/>
  <c r="O303" i="81"/>
  <c r="A304" i="81"/>
  <c r="N304" i="81"/>
  <c r="O304" i="81"/>
  <c r="A305" i="81"/>
  <c r="N305" i="81"/>
  <c r="O305" i="81"/>
  <c r="A306" i="81"/>
  <c r="N306" i="81"/>
  <c r="O306" i="81"/>
  <c r="A307" i="81"/>
  <c r="N307" i="81"/>
  <c r="O307" i="81"/>
  <c r="A308" i="81"/>
  <c r="N308" i="81"/>
  <c r="O308" i="81"/>
  <c r="A309" i="81"/>
  <c r="N309" i="81"/>
  <c r="O309" i="81"/>
  <c r="A310" i="81"/>
  <c r="N310" i="81"/>
  <c r="O310" i="81"/>
  <c r="A311" i="81"/>
  <c r="N311" i="81"/>
  <c r="O311" i="81"/>
  <c r="A312" i="81"/>
  <c r="N312" i="81"/>
  <c r="O312" i="81"/>
  <c r="A313" i="81"/>
  <c r="N313" i="81"/>
  <c r="O313" i="81"/>
  <c r="A314" i="81"/>
  <c r="N314" i="81"/>
  <c r="O314" i="81"/>
  <c r="A315" i="81"/>
  <c r="N315" i="81"/>
  <c r="O315" i="81"/>
  <c r="A316" i="81"/>
  <c r="N316" i="81"/>
  <c r="O316" i="81"/>
  <c r="A317" i="81"/>
  <c r="N317" i="81"/>
  <c r="O317" i="81"/>
  <c r="A318" i="81"/>
  <c r="N318" i="81"/>
  <c r="O318" i="81"/>
  <c r="A319" i="81"/>
  <c r="N319" i="81"/>
  <c r="O319" i="81"/>
  <c r="E320" i="81"/>
  <c r="N320" i="81"/>
  <c r="A321" i="81"/>
  <c r="N321" i="81"/>
  <c r="O321" i="81"/>
  <c r="A322" i="81"/>
  <c r="N322" i="81"/>
  <c r="O322" i="81"/>
  <c r="A323" i="81"/>
  <c r="N323" i="81"/>
  <c r="O323" i="81"/>
  <c r="A324" i="81"/>
  <c r="N324" i="81"/>
  <c r="O324" i="81"/>
  <c r="A325" i="81"/>
  <c r="N325" i="81"/>
  <c r="O325" i="81"/>
  <c r="A326" i="81"/>
  <c r="N326" i="81"/>
  <c r="O326" i="81"/>
  <c r="A327" i="81"/>
  <c r="N327" i="81"/>
  <c r="O327" i="81"/>
  <c r="A328" i="81"/>
  <c r="N328" i="81"/>
  <c r="O328" i="81"/>
  <c r="A329" i="81"/>
  <c r="N329" i="81"/>
  <c r="O329" i="81"/>
  <c r="A330" i="81"/>
  <c r="N330" i="81"/>
  <c r="O330" i="81"/>
  <c r="A331" i="81"/>
  <c r="N331" i="81"/>
  <c r="O331" i="81"/>
  <c r="A332" i="81"/>
  <c r="N332" i="81"/>
  <c r="O332" i="81"/>
  <c r="A333" i="81"/>
  <c r="N333" i="81"/>
  <c r="O333" i="81"/>
  <c r="A334" i="81"/>
  <c r="N334" i="81"/>
  <c r="O334" i="81"/>
  <c r="A335" i="81"/>
  <c r="N335" i="81"/>
  <c r="O335" i="81"/>
  <c r="A336" i="81"/>
  <c r="N336" i="81"/>
  <c r="O336" i="81"/>
  <c r="A337" i="81"/>
  <c r="N337" i="81"/>
  <c r="O337" i="81"/>
  <c r="A338" i="81"/>
  <c r="N338" i="81"/>
  <c r="O338" i="81"/>
  <c r="A339" i="81"/>
  <c r="N339" i="81"/>
  <c r="O339" i="81"/>
  <c r="A340" i="81"/>
  <c r="N340" i="81"/>
  <c r="O340" i="81"/>
  <c r="E341" i="81"/>
  <c r="N341" i="81"/>
  <c r="A342" i="81"/>
  <c r="N342" i="81"/>
  <c r="O342" i="81"/>
  <c r="A343" i="81"/>
  <c r="N343" i="81"/>
  <c r="O343" i="81"/>
  <c r="A344" i="81"/>
  <c r="N344" i="81"/>
  <c r="O344" i="81"/>
  <c r="A345" i="81"/>
  <c r="N345" i="81"/>
  <c r="O345" i="81"/>
  <c r="A346" i="81"/>
  <c r="N346" i="81"/>
  <c r="O346" i="81"/>
  <c r="A347" i="81"/>
  <c r="N347" i="81"/>
  <c r="O347" i="81"/>
  <c r="A348" i="81"/>
  <c r="N348" i="81"/>
  <c r="O348" i="81"/>
  <c r="A349" i="81"/>
  <c r="N349" i="81"/>
  <c r="O349" i="81"/>
  <c r="A350" i="81"/>
  <c r="N350" i="81"/>
  <c r="O350" i="81"/>
  <c r="A351" i="81"/>
  <c r="N351" i="81"/>
  <c r="O351" i="81"/>
  <c r="A352" i="81"/>
  <c r="N352" i="81"/>
  <c r="O352" i="81"/>
  <c r="A353" i="81"/>
  <c r="N353" i="81"/>
  <c r="O353" i="81"/>
  <c r="A354" i="81"/>
  <c r="N354" i="81"/>
  <c r="O354" i="81"/>
  <c r="A355" i="81"/>
  <c r="N355" i="81"/>
  <c r="O355" i="81"/>
  <c r="A356" i="81"/>
  <c r="N356" i="81"/>
  <c r="O356" i="81"/>
  <c r="A357" i="81"/>
  <c r="N357" i="81"/>
  <c r="O357" i="81"/>
  <c r="A358" i="81"/>
  <c r="N358" i="81"/>
  <c r="O358" i="81"/>
  <c r="A359" i="81"/>
  <c r="N359" i="81"/>
  <c r="O359" i="81"/>
  <c r="A360" i="81"/>
  <c r="N360" i="81"/>
  <c r="O360" i="81"/>
  <c r="A361" i="81"/>
  <c r="N361" i="81"/>
  <c r="O361" i="81"/>
  <c r="E362" i="81"/>
  <c r="N362" i="81"/>
  <c r="A363" i="81"/>
  <c r="N363" i="81"/>
  <c r="O363" i="81"/>
  <c r="A364" i="81"/>
  <c r="N364" i="81"/>
  <c r="O364" i="81"/>
  <c r="A365" i="81"/>
  <c r="N365" i="81"/>
  <c r="O365" i="81"/>
  <c r="A366" i="81"/>
  <c r="N366" i="81"/>
  <c r="O366" i="81"/>
  <c r="A367" i="81"/>
  <c r="N367" i="81"/>
  <c r="O367" i="81"/>
  <c r="A368" i="81"/>
  <c r="N368" i="81"/>
  <c r="O368" i="81"/>
  <c r="A369" i="81"/>
  <c r="N369" i="81"/>
  <c r="O369" i="81"/>
  <c r="A370" i="81"/>
  <c r="N370" i="81"/>
  <c r="O370" i="81"/>
  <c r="A371" i="81"/>
  <c r="N371" i="81"/>
  <c r="O371" i="81"/>
  <c r="A372" i="81"/>
  <c r="N372" i="81"/>
  <c r="O372" i="81"/>
  <c r="A373" i="81"/>
  <c r="N373" i="81"/>
  <c r="O373" i="81"/>
  <c r="A374" i="81"/>
  <c r="N374" i="81"/>
  <c r="O374" i="81"/>
  <c r="A375" i="81"/>
  <c r="N375" i="81"/>
  <c r="O375" i="81"/>
  <c r="A376" i="81"/>
  <c r="N376" i="81"/>
  <c r="O376" i="81"/>
  <c r="A377" i="81"/>
  <c r="N377" i="81"/>
  <c r="O377" i="81"/>
  <c r="A378" i="81"/>
  <c r="N378" i="81"/>
  <c r="O378" i="81"/>
  <c r="A379" i="81"/>
  <c r="N379" i="81"/>
  <c r="O379" i="81"/>
  <c r="A380" i="81"/>
  <c r="N380" i="81"/>
  <c r="O380" i="81"/>
  <c r="A381" i="81"/>
  <c r="N381" i="81"/>
  <c r="O381" i="81"/>
  <c r="A382" i="81"/>
  <c r="N382" i="81"/>
  <c r="O382" i="81"/>
  <c r="E383" i="81"/>
  <c r="N383" i="81"/>
  <c r="A384" i="81"/>
  <c r="N384" i="81"/>
  <c r="O384" i="81"/>
  <c r="A385" i="81"/>
  <c r="N385" i="81"/>
  <c r="O385" i="81"/>
  <c r="A386" i="81"/>
  <c r="N386" i="81"/>
  <c r="O386" i="81"/>
  <c r="A387" i="81"/>
  <c r="N387" i="81"/>
  <c r="O387" i="81"/>
  <c r="A388" i="81"/>
  <c r="N388" i="81"/>
  <c r="O388" i="81"/>
  <c r="A389" i="81"/>
  <c r="N389" i="81"/>
  <c r="O389" i="81"/>
  <c r="A390" i="81"/>
  <c r="N390" i="81"/>
  <c r="O390" i="81"/>
  <c r="A391" i="81"/>
  <c r="N391" i="81"/>
  <c r="O391" i="81"/>
  <c r="A392" i="81"/>
  <c r="N392" i="81"/>
  <c r="O392" i="81"/>
  <c r="A393" i="81"/>
  <c r="N393" i="81"/>
  <c r="O393" i="81"/>
  <c r="A394" i="81"/>
  <c r="N394" i="81"/>
  <c r="O394" i="81"/>
  <c r="A395" i="81"/>
  <c r="N395" i="81"/>
  <c r="O395" i="81"/>
  <c r="A396" i="81"/>
  <c r="N396" i="81"/>
  <c r="O396" i="81"/>
  <c r="A397" i="81"/>
  <c r="N397" i="81"/>
  <c r="O397" i="81"/>
  <c r="A398" i="81"/>
  <c r="N398" i="81"/>
  <c r="O398" i="81"/>
  <c r="A399" i="81"/>
  <c r="N399" i="81"/>
  <c r="O399" i="81"/>
  <c r="A400" i="81"/>
  <c r="N400" i="81"/>
  <c r="O400" i="81"/>
  <c r="A401" i="81"/>
  <c r="N401" i="81"/>
  <c r="O401" i="81"/>
  <c r="A402" i="81"/>
  <c r="N402" i="81"/>
  <c r="O402" i="81"/>
  <c r="A403" i="81"/>
  <c r="N403" i="81"/>
  <c r="O403" i="81"/>
  <c r="E404" i="81"/>
  <c r="N404" i="81"/>
  <c r="A405" i="81"/>
  <c r="N405" i="81"/>
  <c r="O405" i="81"/>
  <c r="A406" i="81"/>
  <c r="N406" i="81"/>
  <c r="O406" i="81"/>
  <c r="A407" i="81"/>
  <c r="N407" i="81"/>
  <c r="O407" i="81"/>
  <c r="A408" i="81"/>
  <c r="N408" i="81"/>
  <c r="O408" i="81"/>
  <c r="A409" i="81"/>
  <c r="N409" i="81"/>
  <c r="O409" i="81"/>
  <c r="A410" i="81"/>
  <c r="N410" i="81"/>
  <c r="O410" i="81"/>
  <c r="A411" i="81"/>
  <c r="N411" i="81"/>
  <c r="O411" i="81"/>
  <c r="A412" i="81"/>
  <c r="N412" i="81"/>
  <c r="O412" i="81"/>
  <c r="A413" i="81"/>
  <c r="N413" i="81"/>
  <c r="O413" i="81"/>
  <c r="A414" i="81"/>
  <c r="N414" i="81"/>
  <c r="O414" i="81"/>
  <c r="A415" i="81"/>
  <c r="N415" i="81"/>
  <c r="O415" i="81"/>
  <c r="A416" i="81"/>
  <c r="N416" i="81"/>
  <c r="O416" i="81"/>
  <c r="A417" i="81"/>
  <c r="N417" i="81"/>
  <c r="O417" i="81"/>
  <c r="A418" i="81"/>
  <c r="N418" i="81"/>
  <c r="O418" i="81"/>
  <c r="A419" i="81"/>
  <c r="N419" i="81"/>
  <c r="O419" i="81"/>
  <c r="A420" i="81"/>
  <c r="N420" i="81"/>
  <c r="O420" i="81"/>
  <c r="A421" i="81"/>
  <c r="N421" i="81"/>
  <c r="O421" i="81"/>
  <c r="A422" i="81"/>
  <c r="N422" i="81"/>
  <c r="O422" i="81"/>
  <c r="A423" i="81"/>
  <c r="N423" i="81"/>
  <c r="O423" i="81"/>
  <c r="A424" i="81"/>
  <c r="N424" i="81"/>
  <c r="O424" i="81"/>
  <c r="E425" i="81"/>
  <c r="N425" i="81"/>
  <c r="A426" i="81"/>
  <c r="N426" i="81"/>
  <c r="O426" i="81"/>
  <c r="A427" i="81"/>
  <c r="N427" i="81"/>
  <c r="O427" i="81"/>
  <c r="A428" i="81"/>
  <c r="N428" i="81"/>
  <c r="O428" i="81"/>
  <c r="A429" i="81"/>
  <c r="N429" i="81"/>
  <c r="O429" i="81"/>
  <c r="A430" i="81"/>
  <c r="N430" i="81"/>
  <c r="O430" i="81"/>
  <c r="A431" i="81"/>
  <c r="N431" i="81"/>
  <c r="O431" i="81"/>
  <c r="A432" i="81"/>
  <c r="N432" i="81"/>
  <c r="O432" i="81"/>
  <c r="A433" i="81"/>
  <c r="N433" i="81"/>
  <c r="O433" i="81"/>
  <c r="A434" i="81"/>
  <c r="N434" i="81"/>
  <c r="O434" i="81"/>
  <c r="A435" i="81"/>
  <c r="N435" i="81"/>
  <c r="O435" i="81"/>
  <c r="A436" i="81"/>
  <c r="N436" i="81"/>
  <c r="O436" i="81"/>
  <c r="A437" i="81"/>
  <c r="N437" i="81"/>
  <c r="O437" i="81"/>
  <c r="A438" i="81"/>
  <c r="N438" i="81"/>
  <c r="O438" i="81"/>
  <c r="A439" i="81"/>
  <c r="N439" i="81"/>
  <c r="O439" i="81"/>
  <c r="A440" i="81"/>
  <c r="N440" i="81"/>
  <c r="O440" i="81"/>
  <c r="A441" i="81"/>
  <c r="N441" i="81"/>
  <c r="O441" i="81"/>
  <c r="A442" i="81"/>
  <c r="N442" i="81"/>
  <c r="O442" i="81"/>
  <c r="A443" i="81"/>
  <c r="N443" i="81"/>
  <c r="O443" i="81"/>
  <c r="A444" i="81"/>
  <c r="N444" i="81"/>
  <c r="O444" i="81"/>
  <c r="A445" i="81"/>
  <c r="N445" i="81"/>
  <c r="O445" i="81"/>
  <c r="E446" i="81"/>
  <c r="N446" i="81"/>
  <c r="A447" i="81"/>
  <c r="N447" i="81"/>
  <c r="O447" i="81"/>
  <c r="A448" i="81"/>
  <c r="N448" i="81"/>
  <c r="O448" i="81"/>
  <c r="A449" i="81"/>
  <c r="N449" i="81"/>
  <c r="O449" i="81"/>
  <c r="A450" i="81"/>
  <c r="N450" i="81"/>
  <c r="O450" i="81"/>
  <c r="A451" i="81"/>
  <c r="N451" i="81"/>
  <c r="O451" i="81"/>
  <c r="A452" i="81"/>
  <c r="N452" i="81"/>
  <c r="O452" i="81"/>
  <c r="A453" i="81"/>
  <c r="N453" i="81"/>
  <c r="O453" i="81"/>
  <c r="A454" i="81"/>
  <c r="N454" i="81"/>
  <c r="O454" i="81"/>
  <c r="A455" i="81"/>
  <c r="N455" i="81"/>
  <c r="O455" i="81"/>
  <c r="A456" i="81"/>
  <c r="N456" i="81"/>
  <c r="O456" i="81"/>
  <c r="A457" i="81"/>
  <c r="N457" i="81"/>
  <c r="O457" i="81"/>
  <c r="A458" i="81"/>
  <c r="N458" i="81"/>
  <c r="O458" i="81"/>
  <c r="A459" i="81"/>
  <c r="N459" i="81"/>
  <c r="O459" i="81"/>
  <c r="A460" i="81"/>
  <c r="N460" i="81"/>
  <c r="O460" i="81"/>
  <c r="A461" i="81"/>
  <c r="N461" i="81"/>
  <c r="O461" i="81"/>
  <c r="A462" i="81"/>
  <c r="N462" i="81"/>
  <c r="O462" i="81"/>
  <c r="A463" i="81"/>
  <c r="N463" i="81"/>
  <c r="O463" i="81"/>
  <c r="A464" i="81"/>
  <c r="N464" i="81"/>
  <c r="O464" i="81"/>
  <c r="A465" i="81"/>
  <c r="N465" i="81"/>
  <c r="O465" i="81"/>
  <c r="A466" i="81"/>
  <c r="N466" i="81"/>
  <c r="O466" i="81"/>
  <c r="E467" i="81"/>
  <c r="N467" i="81"/>
  <c r="A468" i="81"/>
  <c r="N468" i="81"/>
  <c r="O468" i="81"/>
  <c r="A469" i="81"/>
  <c r="N469" i="81"/>
  <c r="O469" i="81"/>
  <c r="A470" i="81"/>
  <c r="N470" i="81"/>
  <c r="O470" i="81"/>
  <c r="A471" i="81"/>
  <c r="N471" i="81"/>
  <c r="O471" i="81"/>
  <c r="A472" i="81"/>
  <c r="N472" i="81"/>
  <c r="O472" i="81"/>
  <c r="A473" i="81"/>
  <c r="N473" i="81"/>
  <c r="O473" i="81"/>
  <c r="A474" i="81"/>
  <c r="N474" i="81"/>
  <c r="O474" i="81"/>
  <c r="A475" i="81"/>
  <c r="N475" i="81"/>
  <c r="O475" i="81"/>
  <c r="A476" i="81"/>
  <c r="N476" i="81"/>
  <c r="O476" i="81"/>
  <c r="A477" i="81"/>
  <c r="N477" i="81"/>
  <c r="O477" i="81"/>
  <c r="A478" i="81"/>
  <c r="N478" i="81"/>
  <c r="O478" i="81"/>
  <c r="A479" i="81"/>
  <c r="N479" i="81"/>
  <c r="O479" i="81"/>
  <c r="A480" i="81"/>
  <c r="N480" i="81"/>
  <c r="O480" i="81"/>
  <c r="A481" i="81"/>
  <c r="N481" i="81"/>
  <c r="O481" i="81"/>
  <c r="A482" i="81"/>
  <c r="N482" i="81"/>
  <c r="O482" i="81"/>
  <c r="A483" i="81"/>
  <c r="N483" i="81"/>
  <c r="O483" i="81"/>
  <c r="A484" i="81"/>
  <c r="N484" i="81"/>
  <c r="O484" i="81"/>
  <c r="A485" i="81"/>
  <c r="N485" i="81"/>
  <c r="O485" i="81"/>
  <c r="A486" i="81"/>
  <c r="N486" i="81"/>
  <c r="O486" i="81"/>
  <c r="A487" i="81"/>
  <c r="N487" i="81"/>
  <c r="O487" i="81"/>
  <c r="E488" i="81"/>
  <c r="N488" i="81"/>
  <c r="A489" i="81"/>
  <c r="N489" i="81"/>
  <c r="O489" i="81"/>
  <c r="A490" i="81"/>
  <c r="N490" i="81"/>
  <c r="O490" i="81"/>
  <c r="A491" i="81"/>
  <c r="N491" i="81"/>
  <c r="O491" i="81"/>
  <c r="A492" i="81"/>
  <c r="N492" i="81"/>
  <c r="O492" i="81"/>
  <c r="A493" i="81"/>
  <c r="N493" i="81"/>
  <c r="O493" i="81"/>
  <c r="A494" i="81"/>
  <c r="N494" i="81"/>
  <c r="O494" i="81"/>
  <c r="A495" i="81"/>
  <c r="N495" i="81"/>
  <c r="O495" i="81"/>
  <c r="A496" i="81"/>
  <c r="N496" i="81"/>
  <c r="O496" i="81"/>
  <c r="A497" i="81"/>
  <c r="N497" i="81"/>
  <c r="O497" i="81"/>
  <c r="A498" i="81"/>
  <c r="N498" i="81"/>
  <c r="O498" i="81"/>
  <c r="A499" i="81"/>
  <c r="N499" i="81"/>
  <c r="O499" i="81"/>
  <c r="A500" i="81"/>
  <c r="N500" i="81"/>
  <c r="O500" i="81"/>
  <c r="A501" i="81"/>
  <c r="N501" i="81"/>
  <c r="O501" i="81"/>
  <c r="A502" i="81"/>
  <c r="N502" i="81"/>
  <c r="O502" i="81"/>
  <c r="A503" i="81"/>
  <c r="N503" i="81"/>
  <c r="O503" i="81"/>
  <c r="A504" i="81"/>
  <c r="N504" i="81"/>
  <c r="O504" i="81"/>
  <c r="A505" i="81"/>
  <c r="N505" i="81"/>
  <c r="O505" i="81"/>
  <c r="A506" i="81"/>
  <c r="N506" i="81"/>
  <c r="O506" i="81"/>
  <c r="A507" i="81"/>
  <c r="N507" i="81"/>
  <c r="O507" i="81"/>
  <c r="A508" i="81"/>
  <c r="N508" i="81"/>
  <c r="O508" i="81"/>
  <c r="E509" i="81"/>
  <c r="N509" i="81"/>
  <c r="A510" i="81"/>
  <c r="N510" i="81"/>
  <c r="O510" i="81"/>
  <c r="A511" i="81"/>
  <c r="N511" i="81"/>
  <c r="O511" i="81"/>
  <c r="A512" i="81"/>
  <c r="N512" i="81"/>
  <c r="O512" i="81"/>
  <c r="A513" i="81"/>
  <c r="N513" i="81"/>
  <c r="O513" i="81"/>
  <c r="A514" i="81"/>
  <c r="N514" i="81"/>
  <c r="O514" i="81"/>
  <c r="A515" i="81"/>
  <c r="N515" i="81"/>
  <c r="O515" i="81"/>
  <c r="A516" i="81"/>
  <c r="N516" i="81"/>
  <c r="O516" i="81"/>
  <c r="A517" i="81"/>
  <c r="N517" i="81"/>
  <c r="O517" i="81"/>
  <c r="A518" i="81"/>
  <c r="N518" i="81"/>
  <c r="O518" i="81"/>
  <c r="A519" i="81"/>
  <c r="N519" i="81"/>
  <c r="O519" i="81"/>
  <c r="A520" i="81"/>
  <c r="N520" i="81"/>
  <c r="O520" i="81"/>
  <c r="A521" i="81"/>
  <c r="N521" i="81"/>
  <c r="O521" i="81"/>
  <c r="A522" i="81"/>
  <c r="N522" i="81"/>
  <c r="O522" i="81"/>
  <c r="A523" i="81"/>
  <c r="N523" i="81"/>
  <c r="O523" i="81"/>
  <c r="A524" i="81"/>
  <c r="N524" i="81"/>
  <c r="O524" i="81"/>
  <c r="A525" i="81"/>
  <c r="N525" i="81"/>
  <c r="O525" i="81"/>
  <c r="A526" i="81"/>
  <c r="N526" i="81"/>
  <c r="O526" i="81"/>
  <c r="A527" i="81"/>
  <c r="N527" i="81"/>
  <c r="O527" i="81"/>
  <c r="A528" i="81"/>
  <c r="N528" i="81"/>
  <c r="O528" i="81"/>
  <c r="A529" i="81"/>
  <c r="N529" i="81"/>
  <c r="O529" i="81"/>
  <c r="E530" i="81"/>
  <c r="N530" i="81"/>
  <c r="A6" i="82"/>
  <c r="N6" i="82"/>
  <c r="O6" i="82"/>
  <c r="A7" i="82"/>
  <c r="N7" i="82"/>
  <c r="O7" i="82"/>
  <c r="A8" i="82"/>
  <c r="N8" i="82"/>
  <c r="O8" i="82"/>
  <c r="A9" i="82"/>
  <c r="N9" i="82"/>
  <c r="O9" i="82"/>
  <c r="A10" i="82"/>
  <c r="N10" i="82"/>
  <c r="O10" i="82"/>
  <c r="A11" i="82"/>
  <c r="N11" i="82"/>
  <c r="O11" i="82"/>
  <c r="A12" i="82"/>
  <c r="N12" i="82"/>
  <c r="O12" i="82"/>
  <c r="A13" i="82"/>
  <c r="N13" i="82"/>
  <c r="O13" i="82"/>
  <c r="A14" i="82"/>
  <c r="N14" i="82"/>
  <c r="O14" i="82"/>
  <c r="A15" i="82"/>
  <c r="N15" i="82"/>
  <c r="O15" i="82"/>
  <c r="A16" i="82"/>
  <c r="N16" i="82"/>
  <c r="O16" i="82"/>
  <c r="A17" i="82"/>
  <c r="N17" i="82"/>
  <c r="O17" i="82"/>
  <c r="A18" i="82"/>
  <c r="N18" i="82"/>
  <c r="O18" i="82"/>
  <c r="A19" i="82"/>
  <c r="N19" i="82"/>
  <c r="O19" i="82"/>
  <c r="A20" i="82"/>
  <c r="N20" i="82"/>
  <c r="O20" i="82"/>
  <c r="A21" i="82"/>
  <c r="N21" i="82"/>
  <c r="O21" i="82"/>
  <c r="A22" i="82"/>
  <c r="N22" i="82"/>
  <c r="O22" i="82"/>
  <c r="A23" i="82"/>
  <c r="N23" i="82"/>
  <c r="O23" i="82"/>
  <c r="A24" i="82"/>
  <c r="N24" i="82"/>
  <c r="O24" i="82"/>
  <c r="A25" i="82"/>
  <c r="N25" i="82"/>
  <c r="O25" i="82"/>
  <c r="E26" i="82"/>
  <c r="N26" i="82"/>
  <c r="A27" i="82"/>
  <c r="N27" i="82"/>
  <c r="O27" i="82"/>
  <c r="A28" i="82"/>
  <c r="N28" i="82"/>
  <c r="O28" i="82"/>
  <c r="A29" i="82"/>
  <c r="N29" i="82"/>
  <c r="O29" i="82"/>
  <c r="A30" i="82"/>
  <c r="N30" i="82"/>
  <c r="O30" i="82"/>
  <c r="A31" i="82"/>
  <c r="N31" i="82"/>
  <c r="O31" i="82"/>
  <c r="A32" i="82"/>
  <c r="N32" i="82"/>
  <c r="O32" i="82"/>
  <c r="A33" i="82"/>
  <c r="N33" i="82"/>
  <c r="O33" i="82"/>
  <c r="A34" i="82"/>
  <c r="N34" i="82"/>
  <c r="O34" i="82"/>
  <c r="A35" i="82"/>
  <c r="N35" i="82"/>
  <c r="O35" i="82"/>
  <c r="A36" i="82"/>
  <c r="N36" i="82"/>
  <c r="O36" i="82"/>
  <c r="A37" i="82"/>
  <c r="N37" i="82"/>
  <c r="O37" i="82"/>
  <c r="A38" i="82"/>
  <c r="N38" i="82"/>
  <c r="O38" i="82"/>
  <c r="A39" i="82"/>
  <c r="N39" i="82"/>
  <c r="O39" i="82"/>
  <c r="A40" i="82"/>
  <c r="N40" i="82"/>
  <c r="O40" i="82"/>
  <c r="A41" i="82"/>
  <c r="N41" i="82"/>
  <c r="O41" i="82"/>
  <c r="A42" i="82"/>
  <c r="N42" i="82"/>
  <c r="O42" i="82"/>
  <c r="A43" i="82"/>
  <c r="N43" i="82"/>
  <c r="O43" i="82"/>
  <c r="A44" i="82"/>
  <c r="N44" i="82"/>
  <c r="O44" i="82"/>
  <c r="A45" i="82"/>
  <c r="N45" i="82"/>
  <c r="O45" i="82"/>
  <c r="A46" i="82"/>
  <c r="N46" i="82"/>
  <c r="O46" i="82"/>
  <c r="E47" i="82"/>
  <c r="N47" i="82"/>
  <c r="A48" i="82"/>
  <c r="N48" i="82"/>
  <c r="O48" i="82"/>
  <c r="A49" i="82"/>
  <c r="N49" i="82"/>
  <c r="O49" i="82"/>
  <c r="A50" i="82"/>
  <c r="N50" i="82"/>
  <c r="O50" i="82"/>
  <c r="A51" i="82"/>
  <c r="N51" i="82"/>
  <c r="O51" i="82"/>
  <c r="A52" i="82"/>
  <c r="N52" i="82"/>
  <c r="O52" i="82"/>
  <c r="A53" i="82"/>
  <c r="N53" i="82"/>
  <c r="O53" i="82"/>
  <c r="A54" i="82"/>
  <c r="N54" i="82"/>
  <c r="O54" i="82"/>
  <c r="A55" i="82"/>
  <c r="N55" i="82"/>
  <c r="O55" i="82"/>
  <c r="A56" i="82"/>
  <c r="N56" i="82"/>
  <c r="O56" i="82"/>
  <c r="A57" i="82"/>
  <c r="N57" i="82"/>
  <c r="O57" i="82"/>
  <c r="A58" i="82"/>
  <c r="N58" i="82"/>
  <c r="O58" i="82"/>
  <c r="A59" i="82"/>
  <c r="N59" i="82"/>
  <c r="O59" i="82"/>
  <c r="A60" i="82"/>
  <c r="N60" i="82"/>
  <c r="O60" i="82"/>
  <c r="A61" i="82"/>
  <c r="N61" i="82"/>
  <c r="O61" i="82"/>
  <c r="A62" i="82"/>
  <c r="N62" i="82"/>
  <c r="O62" i="82"/>
  <c r="A63" i="82"/>
  <c r="N63" i="82"/>
  <c r="O63" i="82"/>
  <c r="A64" i="82"/>
  <c r="N64" i="82"/>
  <c r="O64" i="82"/>
  <c r="A65" i="82"/>
  <c r="N65" i="82"/>
  <c r="O65" i="82"/>
  <c r="A66" i="82"/>
  <c r="N66" i="82"/>
  <c r="O66" i="82"/>
  <c r="A67" i="82"/>
  <c r="N67" i="82"/>
  <c r="O67" i="82"/>
  <c r="E68" i="82"/>
  <c r="N68" i="82"/>
  <c r="A69" i="82"/>
  <c r="N69" i="82"/>
  <c r="O69" i="82"/>
  <c r="A70" i="82"/>
  <c r="N70" i="82"/>
  <c r="O70" i="82"/>
  <c r="A71" i="82"/>
  <c r="N71" i="82"/>
  <c r="O71" i="82"/>
  <c r="A72" i="82"/>
  <c r="N72" i="82"/>
  <c r="O72" i="82"/>
  <c r="A73" i="82"/>
  <c r="N73" i="82"/>
  <c r="O73" i="82"/>
  <c r="A74" i="82"/>
  <c r="N74" i="82"/>
  <c r="O74" i="82"/>
  <c r="A75" i="82"/>
  <c r="N75" i="82"/>
  <c r="O75" i="82"/>
  <c r="A76" i="82"/>
  <c r="N76" i="82"/>
  <c r="O76" i="82"/>
  <c r="A77" i="82"/>
  <c r="N77" i="82"/>
  <c r="O77" i="82"/>
  <c r="A78" i="82"/>
  <c r="N78" i="82"/>
  <c r="O78" i="82"/>
  <c r="A79" i="82"/>
  <c r="N79" i="82"/>
  <c r="O79" i="82"/>
  <c r="A80" i="82"/>
  <c r="N80" i="82"/>
  <c r="O80" i="82"/>
  <c r="A81" i="82"/>
  <c r="N81" i="82"/>
  <c r="O81" i="82"/>
  <c r="A82" i="82"/>
  <c r="N82" i="82"/>
  <c r="O82" i="82"/>
  <c r="A83" i="82"/>
  <c r="N83" i="82"/>
  <c r="O83" i="82"/>
  <c r="A84" i="82"/>
  <c r="N84" i="82"/>
  <c r="O84" i="82"/>
  <c r="A85" i="82"/>
  <c r="N85" i="82"/>
  <c r="O85" i="82"/>
  <c r="A86" i="82"/>
  <c r="N86" i="82"/>
  <c r="O86" i="82"/>
  <c r="A87" i="82"/>
  <c r="N87" i="82"/>
  <c r="O87" i="82"/>
  <c r="A88" i="82"/>
  <c r="N88" i="82"/>
  <c r="O88" i="82"/>
  <c r="E89" i="82"/>
  <c r="N89" i="82"/>
  <c r="A90" i="82"/>
  <c r="N90" i="82"/>
  <c r="O90" i="82"/>
  <c r="A91" i="82"/>
  <c r="N91" i="82"/>
  <c r="O91" i="82"/>
  <c r="A92" i="82"/>
  <c r="N92" i="82"/>
  <c r="O92" i="82"/>
  <c r="A93" i="82"/>
  <c r="N93" i="82"/>
  <c r="O93" i="82"/>
  <c r="A94" i="82"/>
  <c r="N94" i="82"/>
  <c r="O94" i="82"/>
  <c r="A95" i="82"/>
  <c r="N95" i="82"/>
  <c r="O95" i="82"/>
  <c r="A96" i="82"/>
  <c r="N96" i="82"/>
  <c r="O96" i="82"/>
  <c r="A97" i="82"/>
  <c r="N97" i="82"/>
  <c r="O97" i="82"/>
  <c r="A98" i="82"/>
  <c r="N98" i="82"/>
  <c r="O98" i="82"/>
  <c r="A99" i="82"/>
  <c r="N99" i="82"/>
  <c r="O99" i="82"/>
  <c r="A100" i="82"/>
  <c r="N100" i="82"/>
  <c r="O100" i="82"/>
  <c r="A101" i="82"/>
  <c r="N101" i="82"/>
  <c r="O101" i="82"/>
  <c r="A102" i="82"/>
  <c r="N102" i="82"/>
  <c r="O102" i="82"/>
  <c r="A103" i="82"/>
  <c r="N103" i="82"/>
  <c r="O103" i="82"/>
  <c r="A104" i="82"/>
  <c r="N104" i="82"/>
  <c r="O104" i="82"/>
  <c r="A105" i="82"/>
  <c r="N105" i="82"/>
  <c r="O105" i="82"/>
  <c r="A106" i="82"/>
  <c r="N106" i="82"/>
  <c r="O106" i="82"/>
  <c r="A107" i="82"/>
  <c r="N107" i="82"/>
  <c r="O107" i="82"/>
  <c r="A108" i="82"/>
  <c r="N108" i="82"/>
  <c r="O108" i="82"/>
  <c r="A109" i="82"/>
  <c r="N109" i="82"/>
  <c r="O109" i="82"/>
  <c r="E110" i="82"/>
  <c r="N110" i="82"/>
  <c r="A111" i="82"/>
  <c r="N111" i="82"/>
  <c r="O111" i="82"/>
  <c r="A112" i="82"/>
  <c r="N112" i="82"/>
  <c r="O112" i="82"/>
  <c r="A113" i="82"/>
  <c r="N113" i="82"/>
  <c r="O113" i="82"/>
  <c r="A114" i="82"/>
  <c r="N114" i="82"/>
  <c r="O114" i="82"/>
  <c r="A115" i="82"/>
  <c r="N115" i="82"/>
  <c r="O115" i="82"/>
  <c r="A116" i="82"/>
  <c r="N116" i="82"/>
  <c r="O116" i="82"/>
  <c r="A117" i="82"/>
  <c r="N117" i="82"/>
  <c r="O117" i="82"/>
  <c r="A118" i="82"/>
  <c r="N118" i="82"/>
  <c r="O118" i="82"/>
  <c r="A119" i="82"/>
  <c r="N119" i="82"/>
  <c r="O119" i="82"/>
  <c r="A120" i="82"/>
  <c r="N120" i="82"/>
  <c r="O120" i="82"/>
  <c r="A121" i="82"/>
  <c r="N121" i="82"/>
  <c r="O121" i="82"/>
  <c r="A122" i="82"/>
  <c r="N122" i="82"/>
  <c r="O122" i="82"/>
  <c r="A123" i="82"/>
  <c r="N123" i="82"/>
  <c r="O123" i="82"/>
  <c r="A124" i="82"/>
  <c r="N124" i="82"/>
  <c r="O124" i="82"/>
  <c r="A125" i="82"/>
  <c r="N125" i="82"/>
  <c r="O125" i="82"/>
  <c r="A126" i="82"/>
  <c r="N126" i="82"/>
  <c r="O126" i="82"/>
  <c r="A127" i="82"/>
  <c r="N127" i="82"/>
  <c r="O127" i="82"/>
  <c r="A128" i="82"/>
  <c r="N128" i="82"/>
  <c r="O128" i="82"/>
  <c r="A129" i="82"/>
  <c r="N129" i="82"/>
  <c r="O129" i="82"/>
  <c r="A130" i="82"/>
  <c r="N130" i="82"/>
  <c r="O130" i="82"/>
  <c r="E131" i="82"/>
  <c r="N131" i="82"/>
  <c r="A132" i="82"/>
  <c r="N132" i="82"/>
  <c r="O132" i="82"/>
  <c r="A133" i="82"/>
  <c r="N133" i="82"/>
  <c r="O133" i="82"/>
  <c r="A134" i="82"/>
  <c r="N134" i="82"/>
  <c r="O134" i="82"/>
  <c r="A135" i="82"/>
  <c r="N135" i="82"/>
  <c r="O135" i="82"/>
  <c r="A136" i="82"/>
  <c r="N136" i="82"/>
  <c r="O136" i="82"/>
  <c r="A137" i="82"/>
  <c r="N137" i="82"/>
  <c r="O137" i="82"/>
  <c r="A138" i="82"/>
  <c r="N138" i="82"/>
  <c r="O138" i="82"/>
  <c r="A139" i="82"/>
  <c r="N139" i="82"/>
  <c r="O139" i="82"/>
  <c r="A140" i="82"/>
  <c r="N140" i="82"/>
  <c r="O140" i="82"/>
  <c r="A141" i="82"/>
  <c r="N141" i="82"/>
  <c r="O141" i="82"/>
  <c r="A142" i="82"/>
  <c r="N142" i="82"/>
  <c r="O142" i="82"/>
  <c r="A143" i="82"/>
  <c r="N143" i="82"/>
  <c r="O143" i="82"/>
  <c r="A144" i="82"/>
  <c r="N144" i="82"/>
  <c r="O144" i="82"/>
  <c r="A145" i="82"/>
  <c r="N145" i="82"/>
  <c r="O145" i="82"/>
  <c r="A146" i="82"/>
  <c r="N146" i="82"/>
  <c r="O146" i="82"/>
  <c r="A147" i="82"/>
  <c r="N147" i="82"/>
  <c r="O147" i="82"/>
  <c r="A148" i="82"/>
  <c r="N148" i="82"/>
  <c r="O148" i="82"/>
  <c r="A149" i="82"/>
  <c r="N149" i="82"/>
  <c r="O149" i="82"/>
  <c r="A150" i="82"/>
  <c r="N150" i="82"/>
  <c r="O150" i="82"/>
  <c r="A151" i="82"/>
  <c r="N151" i="82"/>
  <c r="O151" i="82"/>
  <c r="E152" i="82"/>
  <c r="N152" i="82"/>
  <c r="A153" i="82"/>
  <c r="N153" i="82"/>
  <c r="O153" i="82"/>
  <c r="A154" i="82"/>
  <c r="N154" i="82"/>
  <c r="O154" i="82"/>
  <c r="A155" i="82"/>
  <c r="N155" i="82"/>
  <c r="O155" i="82"/>
  <c r="A156" i="82"/>
  <c r="N156" i="82"/>
  <c r="O156" i="82"/>
  <c r="A157" i="82"/>
  <c r="N157" i="82"/>
  <c r="O157" i="82"/>
  <c r="A158" i="82"/>
  <c r="N158" i="82"/>
  <c r="O158" i="82"/>
  <c r="A159" i="82"/>
  <c r="N159" i="82"/>
  <c r="O159" i="82"/>
  <c r="A160" i="82"/>
  <c r="N160" i="82"/>
  <c r="O160" i="82"/>
  <c r="A161" i="82"/>
  <c r="N161" i="82"/>
  <c r="O161" i="82"/>
  <c r="A162" i="82"/>
  <c r="N162" i="82"/>
  <c r="O162" i="82"/>
  <c r="A163" i="82"/>
  <c r="N163" i="82"/>
  <c r="O163" i="82"/>
  <c r="A164" i="82"/>
  <c r="N164" i="82"/>
  <c r="O164" i="82"/>
  <c r="A165" i="82"/>
  <c r="N165" i="82"/>
  <c r="O165" i="82"/>
  <c r="A166" i="82"/>
  <c r="N166" i="82"/>
  <c r="O166" i="82"/>
  <c r="A167" i="82"/>
  <c r="N167" i="82"/>
  <c r="O167" i="82"/>
  <c r="A168" i="82"/>
  <c r="N168" i="82"/>
  <c r="O168" i="82"/>
  <c r="A169" i="82"/>
  <c r="N169" i="82"/>
  <c r="O169" i="82"/>
  <c r="A170" i="82"/>
  <c r="N170" i="82"/>
  <c r="O170" i="82"/>
  <c r="A171" i="82"/>
  <c r="N171" i="82"/>
  <c r="O171" i="82"/>
  <c r="A172" i="82"/>
  <c r="N172" i="82"/>
  <c r="O172" i="82"/>
  <c r="E173" i="82"/>
  <c r="N173" i="82"/>
  <c r="A174" i="82"/>
  <c r="N174" i="82"/>
  <c r="O174" i="82"/>
  <c r="A175" i="82"/>
  <c r="N175" i="82"/>
  <c r="O175" i="82"/>
  <c r="A176" i="82"/>
  <c r="N176" i="82"/>
  <c r="O176" i="82"/>
  <c r="A177" i="82"/>
  <c r="N177" i="82"/>
  <c r="O177" i="82"/>
  <c r="A178" i="82"/>
  <c r="N178" i="82"/>
  <c r="O178" i="82"/>
  <c r="A179" i="82"/>
  <c r="N179" i="82"/>
  <c r="O179" i="82"/>
  <c r="A180" i="82"/>
  <c r="N180" i="82"/>
  <c r="O180" i="82"/>
  <c r="A181" i="82"/>
  <c r="N181" i="82"/>
  <c r="O181" i="82"/>
  <c r="A182" i="82"/>
  <c r="N182" i="82"/>
  <c r="O182" i="82"/>
  <c r="A183" i="82"/>
  <c r="N183" i="82"/>
  <c r="O183" i="82"/>
  <c r="A184" i="82"/>
  <c r="N184" i="82"/>
  <c r="O184" i="82"/>
  <c r="A185" i="82"/>
  <c r="N185" i="82"/>
  <c r="O185" i="82"/>
  <c r="A186" i="82"/>
  <c r="N186" i="82"/>
  <c r="O186" i="82"/>
  <c r="A187" i="82"/>
  <c r="N187" i="82"/>
  <c r="O187" i="82"/>
  <c r="A188" i="82"/>
  <c r="N188" i="82"/>
  <c r="O188" i="82"/>
  <c r="A189" i="82"/>
  <c r="N189" i="82"/>
  <c r="O189" i="82"/>
  <c r="A190" i="82"/>
  <c r="N190" i="82"/>
  <c r="O190" i="82"/>
  <c r="A191" i="82"/>
  <c r="N191" i="82"/>
  <c r="O191" i="82"/>
  <c r="A192" i="82"/>
  <c r="N192" i="82"/>
  <c r="O192" i="82"/>
  <c r="A193" i="82"/>
  <c r="N193" i="82"/>
  <c r="O193" i="82"/>
  <c r="E194" i="82"/>
  <c r="N194" i="82"/>
  <c r="A195" i="82"/>
  <c r="N195" i="82"/>
  <c r="O195" i="82"/>
  <c r="A196" i="82"/>
  <c r="N196" i="82"/>
  <c r="O196" i="82"/>
  <c r="A197" i="82"/>
  <c r="N197" i="82"/>
  <c r="O197" i="82"/>
  <c r="A198" i="82"/>
  <c r="N198" i="82"/>
  <c r="O198" i="82"/>
  <c r="A199" i="82"/>
  <c r="N199" i="82"/>
  <c r="O199" i="82"/>
  <c r="A200" i="82"/>
  <c r="N200" i="82"/>
  <c r="O200" i="82"/>
  <c r="A201" i="82"/>
  <c r="N201" i="82"/>
  <c r="O201" i="82"/>
  <c r="A202" i="82"/>
  <c r="N202" i="82"/>
  <c r="O202" i="82"/>
  <c r="A203" i="82"/>
  <c r="N203" i="82"/>
  <c r="O203" i="82"/>
  <c r="A204" i="82"/>
  <c r="N204" i="82"/>
  <c r="O204" i="82"/>
  <c r="A205" i="82"/>
  <c r="N205" i="82"/>
  <c r="O205" i="82"/>
  <c r="A206" i="82"/>
  <c r="N206" i="82"/>
  <c r="O206" i="82"/>
  <c r="A207" i="82"/>
  <c r="N207" i="82"/>
  <c r="O207" i="82"/>
  <c r="A208" i="82"/>
  <c r="N208" i="82"/>
  <c r="O208" i="82"/>
  <c r="A209" i="82"/>
  <c r="N209" i="82"/>
  <c r="O209" i="82"/>
  <c r="A210" i="82"/>
  <c r="N210" i="82"/>
  <c r="O210" i="82"/>
  <c r="A211" i="82"/>
  <c r="N211" i="82"/>
  <c r="O211" i="82"/>
  <c r="A212" i="82"/>
  <c r="N212" i="82"/>
  <c r="O212" i="82"/>
  <c r="A213" i="82"/>
  <c r="N213" i="82"/>
  <c r="O213" i="82"/>
  <c r="A214" i="82"/>
  <c r="N214" i="82"/>
  <c r="O214" i="82"/>
  <c r="E215" i="82"/>
  <c r="N215" i="82"/>
  <c r="A216" i="82"/>
  <c r="N216" i="82"/>
  <c r="O216" i="82"/>
  <c r="A217" i="82"/>
  <c r="N217" i="82"/>
  <c r="O217" i="82"/>
  <c r="A218" i="82"/>
  <c r="N218" i="82"/>
  <c r="O218" i="82"/>
  <c r="A219" i="82"/>
  <c r="N219" i="82"/>
  <c r="O219" i="82"/>
  <c r="A220" i="82"/>
  <c r="N220" i="82"/>
  <c r="O220" i="82"/>
  <c r="A221" i="82"/>
  <c r="N221" i="82"/>
  <c r="O221" i="82"/>
  <c r="A222" i="82"/>
  <c r="N222" i="82"/>
  <c r="O222" i="82"/>
  <c r="A223" i="82"/>
  <c r="N223" i="82"/>
  <c r="O223" i="82"/>
  <c r="A224" i="82"/>
  <c r="N224" i="82"/>
  <c r="O224" i="82"/>
  <c r="A225" i="82"/>
  <c r="N225" i="82"/>
  <c r="O225" i="82"/>
  <c r="A226" i="82"/>
  <c r="N226" i="82"/>
  <c r="O226" i="82"/>
  <c r="A227" i="82"/>
  <c r="N227" i="82"/>
  <c r="O227" i="82"/>
  <c r="A228" i="82"/>
  <c r="N228" i="82"/>
  <c r="O228" i="82"/>
  <c r="A229" i="82"/>
  <c r="N229" i="82"/>
  <c r="O229" i="82"/>
  <c r="A230" i="82"/>
  <c r="N230" i="82"/>
  <c r="O230" i="82"/>
  <c r="A231" i="82"/>
  <c r="N231" i="82"/>
  <c r="O231" i="82"/>
  <c r="A232" i="82"/>
  <c r="N232" i="82"/>
  <c r="O232" i="82"/>
  <c r="A233" i="82"/>
  <c r="N233" i="82"/>
  <c r="O233" i="82"/>
  <c r="A234" i="82"/>
  <c r="N234" i="82"/>
  <c r="O234" i="82"/>
  <c r="A235" i="82"/>
  <c r="N235" i="82"/>
  <c r="O235" i="82"/>
  <c r="E236" i="82"/>
  <c r="N236" i="82"/>
  <c r="A237" i="82"/>
  <c r="N237" i="82"/>
  <c r="O237" i="82"/>
  <c r="A238" i="82"/>
  <c r="N238" i="82"/>
  <c r="O238" i="82"/>
  <c r="A239" i="82"/>
  <c r="N239" i="82"/>
  <c r="O239" i="82"/>
  <c r="A240" i="82"/>
  <c r="N240" i="82"/>
  <c r="O240" i="82"/>
  <c r="A241" i="82"/>
  <c r="N241" i="82"/>
  <c r="O241" i="82"/>
  <c r="A242" i="82"/>
  <c r="N242" i="82"/>
  <c r="O242" i="82"/>
  <c r="A243" i="82"/>
  <c r="N243" i="82"/>
  <c r="O243" i="82"/>
  <c r="A244" i="82"/>
  <c r="N244" i="82"/>
  <c r="O244" i="82"/>
  <c r="A245" i="82"/>
  <c r="N245" i="82"/>
  <c r="O245" i="82"/>
  <c r="A246" i="82"/>
  <c r="N246" i="82"/>
  <c r="O246" i="82"/>
  <c r="A247" i="82"/>
  <c r="N247" i="82"/>
  <c r="O247" i="82"/>
  <c r="A248" i="82"/>
  <c r="N248" i="82"/>
  <c r="O248" i="82"/>
  <c r="A249" i="82"/>
  <c r="N249" i="82"/>
  <c r="O249" i="82"/>
  <c r="A250" i="82"/>
  <c r="N250" i="82"/>
  <c r="O250" i="82"/>
  <c r="A251" i="82"/>
  <c r="N251" i="82"/>
  <c r="O251" i="82"/>
  <c r="A252" i="82"/>
  <c r="N252" i="82"/>
  <c r="O252" i="82"/>
  <c r="A253" i="82"/>
  <c r="N253" i="82"/>
  <c r="O253" i="82"/>
  <c r="A254" i="82"/>
  <c r="N254" i="82"/>
  <c r="O254" i="82"/>
  <c r="A255" i="82"/>
  <c r="N255" i="82"/>
  <c r="O255" i="82"/>
  <c r="A256" i="82"/>
  <c r="N256" i="82"/>
  <c r="O256" i="82"/>
  <c r="E257" i="82"/>
  <c r="N257" i="82"/>
  <c r="A258" i="82"/>
  <c r="N258" i="82"/>
  <c r="O258" i="82"/>
  <c r="A259" i="82"/>
  <c r="N259" i="82"/>
  <c r="O259" i="82"/>
  <c r="A260" i="82"/>
  <c r="N260" i="82"/>
  <c r="O260" i="82"/>
  <c r="A261" i="82"/>
  <c r="N261" i="82"/>
  <c r="O261" i="82"/>
  <c r="A262" i="82"/>
  <c r="N262" i="82"/>
  <c r="O262" i="82"/>
  <c r="A263" i="82"/>
  <c r="N263" i="82"/>
  <c r="O263" i="82"/>
  <c r="A264" i="82"/>
  <c r="N264" i="82"/>
  <c r="O264" i="82"/>
  <c r="A265" i="82"/>
  <c r="N265" i="82"/>
  <c r="O265" i="82"/>
  <c r="A266" i="82"/>
  <c r="N266" i="82"/>
  <c r="O266" i="82"/>
  <c r="A267" i="82"/>
  <c r="N267" i="82"/>
  <c r="O267" i="82"/>
  <c r="A268" i="82"/>
  <c r="N268" i="82"/>
  <c r="O268" i="82"/>
  <c r="A269" i="82"/>
  <c r="N269" i="82"/>
  <c r="O269" i="82"/>
  <c r="A270" i="82"/>
  <c r="N270" i="82"/>
  <c r="O270" i="82"/>
  <c r="A271" i="82"/>
  <c r="N271" i="82"/>
  <c r="O271" i="82"/>
  <c r="A272" i="82"/>
  <c r="N272" i="82"/>
  <c r="O272" i="82"/>
  <c r="A273" i="82"/>
  <c r="N273" i="82"/>
  <c r="O273" i="82"/>
  <c r="A274" i="82"/>
  <c r="N274" i="82"/>
  <c r="O274" i="82"/>
  <c r="A275" i="82"/>
  <c r="N275" i="82"/>
  <c r="O275" i="82"/>
  <c r="A276" i="82"/>
  <c r="N276" i="82"/>
  <c r="O276" i="82"/>
  <c r="A277" i="82"/>
  <c r="N277" i="82"/>
  <c r="O277" i="82"/>
  <c r="E278" i="82"/>
  <c r="N278" i="82"/>
  <c r="A279" i="82"/>
  <c r="N279" i="82"/>
  <c r="O279" i="82"/>
  <c r="A280" i="82"/>
  <c r="N280" i="82"/>
  <c r="O280" i="82"/>
  <c r="A281" i="82"/>
  <c r="N281" i="82"/>
  <c r="O281" i="82"/>
  <c r="A282" i="82"/>
  <c r="N282" i="82"/>
  <c r="O282" i="82"/>
  <c r="A283" i="82"/>
  <c r="N283" i="82"/>
  <c r="O283" i="82"/>
  <c r="A284" i="82"/>
  <c r="N284" i="82"/>
  <c r="O284" i="82"/>
  <c r="A285" i="82"/>
  <c r="N285" i="82"/>
  <c r="O285" i="82"/>
  <c r="A286" i="82"/>
  <c r="N286" i="82"/>
  <c r="O286" i="82"/>
  <c r="A287" i="82"/>
  <c r="N287" i="82"/>
  <c r="O287" i="82"/>
  <c r="A288" i="82"/>
  <c r="N288" i="82"/>
  <c r="O288" i="82"/>
  <c r="A289" i="82"/>
  <c r="N289" i="82"/>
  <c r="O289" i="82"/>
  <c r="A290" i="82"/>
  <c r="N290" i="82"/>
  <c r="O290" i="82"/>
  <c r="A291" i="82"/>
  <c r="N291" i="82"/>
  <c r="O291" i="82"/>
  <c r="A292" i="82"/>
  <c r="N292" i="82"/>
  <c r="O292" i="82"/>
  <c r="A293" i="82"/>
  <c r="N293" i="82"/>
  <c r="O293" i="82"/>
  <c r="A294" i="82"/>
  <c r="N294" i="82"/>
  <c r="O294" i="82"/>
  <c r="A295" i="82"/>
  <c r="N295" i="82"/>
  <c r="O295" i="82"/>
  <c r="A296" i="82"/>
  <c r="N296" i="82"/>
  <c r="O296" i="82"/>
  <c r="A297" i="82"/>
  <c r="N297" i="82"/>
  <c r="O297" i="82"/>
  <c r="A298" i="82"/>
  <c r="N298" i="82"/>
  <c r="O298" i="82"/>
  <c r="E299" i="82"/>
  <c r="N299" i="82"/>
  <c r="A300" i="82"/>
  <c r="N300" i="82"/>
  <c r="O300" i="82"/>
  <c r="A301" i="82"/>
  <c r="N301" i="82"/>
  <c r="O301" i="82"/>
  <c r="A302" i="82"/>
  <c r="N302" i="82"/>
  <c r="O302" i="82"/>
  <c r="A303" i="82"/>
  <c r="N303" i="82"/>
  <c r="O303" i="82"/>
  <c r="A304" i="82"/>
  <c r="N304" i="82"/>
  <c r="O304" i="82"/>
  <c r="A305" i="82"/>
  <c r="N305" i="82"/>
  <c r="O305" i="82"/>
  <c r="A306" i="82"/>
  <c r="N306" i="82"/>
  <c r="O306" i="82"/>
  <c r="A307" i="82"/>
  <c r="N307" i="82"/>
  <c r="O307" i="82"/>
  <c r="A308" i="82"/>
  <c r="N308" i="82"/>
  <c r="O308" i="82"/>
  <c r="A309" i="82"/>
  <c r="N309" i="82"/>
  <c r="O309" i="82"/>
  <c r="A310" i="82"/>
  <c r="N310" i="82"/>
  <c r="O310" i="82"/>
  <c r="A311" i="82"/>
  <c r="N311" i="82"/>
  <c r="O311" i="82"/>
  <c r="A312" i="82"/>
  <c r="N312" i="82"/>
  <c r="O312" i="82"/>
  <c r="A313" i="82"/>
  <c r="N313" i="82"/>
  <c r="O313" i="82"/>
  <c r="A314" i="82"/>
  <c r="N314" i="82"/>
  <c r="O314" i="82"/>
  <c r="A315" i="82"/>
  <c r="N315" i="82"/>
  <c r="O315" i="82"/>
  <c r="A316" i="82"/>
  <c r="N316" i="82"/>
  <c r="O316" i="82"/>
  <c r="A317" i="82"/>
  <c r="N317" i="82"/>
  <c r="O317" i="82"/>
  <c r="A318" i="82"/>
  <c r="N318" i="82"/>
  <c r="O318" i="82"/>
  <c r="A319" i="82"/>
  <c r="N319" i="82"/>
  <c r="O319" i="82"/>
  <c r="E320" i="82"/>
  <c r="N320" i="82"/>
  <c r="A321" i="82"/>
  <c r="N321" i="82"/>
  <c r="O321" i="82"/>
  <c r="A322" i="82"/>
  <c r="N322" i="82"/>
  <c r="O322" i="82"/>
  <c r="A323" i="82"/>
  <c r="N323" i="82"/>
  <c r="O323" i="82"/>
  <c r="A324" i="82"/>
  <c r="N324" i="82"/>
  <c r="O324" i="82"/>
  <c r="A325" i="82"/>
  <c r="N325" i="82"/>
  <c r="O325" i="82"/>
  <c r="A326" i="82"/>
  <c r="N326" i="82"/>
  <c r="O326" i="82"/>
  <c r="A327" i="82"/>
  <c r="N327" i="82"/>
  <c r="O327" i="82"/>
  <c r="A328" i="82"/>
  <c r="N328" i="82"/>
  <c r="O328" i="82"/>
  <c r="A329" i="82"/>
  <c r="N329" i="82"/>
  <c r="O329" i="82"/>
  <c r="A330" i="82"/>
  <c r="N330" i="82"/>
  <c r="O330" i="82"/>
  <c r="A331" i="82"/>
  <c r="N331" i="82"/>
  <c r="O331" i="82"/>
  <c r="A332" i="82"/>
  <c r="N332" i="82"/>
  <c r="O332" i="82"/>
  <c r="A333" i="82"/>
  <c r="N333" i="82"/>
  <c r="O333" i="82"/>
  <c r="A334" i="82"/>
  <c r="N334" i="82"/>
  <c r="O334" i="82"/>
  <c r="A335" i="82"/>
  <c r="N335" i="82"/>
  <c r="O335" i="82"/>
  <c r="A336" i="82"/>
  <c r="N336" i="82"/>
  <c r="O336" i="82"/>
  <c r="A337" i="82"/>
  <c r="N337" i="82"/>
  <c r="O337" i="82"/>
  <c r="A338" i="82"/>
  <c r="N338" i="82"/>
  <c r="O338" i="82"/>
  <c r="A339" i="82"/>
  <c r="N339" i="82"/>
  <c r="O339" i="82"/>
  <c r="A340" i="82"/>
  <c r="N340" i="82"/>
  <c r="O340" i="82"/>
  <c r="E341" i="82"/>
  <c r="N341" i="82"/>
  <c r="A342" i="82"/>
  <c r="N342" i="82"/>
  <c r="O342" i="82"/>
  <c r="A343" i="82"/>
  <c r="N343" i="82"/>
  <c r="O343" i="82"/>
  <c r="A344" i="82"/>
  <c r="N344" i="82"/>
  <c r="O344" i="82"/>
  <c r="A345" i="82"/>
  <c r="N345" i="82"/>
  <c r="O345" i="82"/>
  <c r="A346" i="82"/>
  <c r="N346" i="82"/>
  <c r="O346" i="82"/>
  <c r="A347" i="82"/>
  <c r="N347" i="82"/>
  <c r="O347" i="82"/>
  <c r="A348" i="82"/>
  <c r="N348" i="82"/>
  <c r="O348" i="82"/>
  <c r="A349" i="82"/>
  <c r="N349" i="82"/>
  <c r="O349" i="82"/>
  <c r="A350" i="82"/>
  <c r="N350" i="82"/>
  <c r="O350" i="82"/>
  <c r="A351" i="82"/>
  <c r="N351" i="82"/>
  <c r="O351" i="82"/>
  <c r="A352" i="82"/>
  <c r="N352" i="82"/>
  <c r="O352" i="82"/>
  <c r="A353" i="82"/>
  <c r="N353" i="82"/>
  <c r="O353" i="82"/>
  <c r="A354" i="82"/>
  <c r="N354" i="82"/>
  <c r="O354" i="82"/>
  <c r="A355" i="82"/>
  <c r="N355" i="82"/>
  <c r="O355" i="82"/>
  <c r="A356" i="82"/>
  <c r="N356" i="82"/>
  <c r="O356" i="82"/>
  <c r="A357" i="82"/>
  <c r="N357" i="82"/>
  <c r="O357" i="82"/>
  <c r="A358" i="82"/>
  <c r="N358" i="82"/>
  <c r="O358" i="82"/>
  <c r="A359" i="82"/>
  <c r="N359" i="82"/>
  <c r="O359" i="82"/>
  <c r="A360" i="82"/>
  <c r="N360" i="82"/>
  <c r="O360" i="82"/>
  <c r="A361" i="82"/>
  <c r="N361" i="82"/>
  <c r="O361" i="82"/>
  <c r="E362" i="82"/>
  <c r="N362" i="82"/>
  <c r="A363" i="82"/>
  <c r="N363" i="82"/>
  <c r="O363" i="82"/>
  <c r="A364" i="82"/>
  <c r="N364" i="82"/>
  <c r="O364" i="82"/>
  <c r="A365" i="82"/>
  <c r="N365" i="82"/>
  <c r="O365" i="82"/>
  <c r="A366" i="82"/>
  <c r="N366" i="82"/>
  <c r="O366" i="82"/>
  <c r="A367" i="82"/>
  <c r="N367" i="82"/>
  <c r="O367" i="82"/>
  <c r="A368" i="82"/>
  <c r="N368" i="82"/>
  <c r="O368" i="82"/>
  <c r="A369" i="82"/>
  <c r="N369" i="82"/>
  <c r="O369" i="82"/>
  <c r="A370" i="82"/>
  <c r="N370" i="82"/>
  <c r="O370" i="82"/>
  <c r="A371" i="82"/>
  <c r="N371" i="82"/>
  <c r="O371" i="82"/>
  <c r="A372" i="82"/>
  <c r="N372" i="82"/>
  <c r="O372" i="82"/>
  <c r="A373" i="82"/>
  <c r="N373" i="82"/>
  <c r="O373" i="82"/>
  <c r="A374" i="82"/>
  <c r="N374" i="82"/>
  <c r="O374" i="82"/>
  <c r="A375" i="82"/>
  <c r="N375" i="82"/>
  <c r="O375" i="82"/>
  <c r="A376" i="82"/>
  <c r="N376" i="82"/>
  <c r="O376" i="82"/>
  <c r="A377" i="82"/>
  <c r="N377" i="82"/>
  <c r="O377" i="82"/>
  <c r="A378" i="82"/>
  <c r="N378" i="82"/>
  <c r="O378" i="82"/>
  <c r="A379" i="82"/>
  <c r="N379" i="82"/>
  <c r="O379" i="82"/>
  <c r="A380" i="82"/>
  <c r="N380" i="82"/>
  <c r="O380" i="82"/>
  <c r="A381" i="82"/>
  <c r="N381" i="82"/>
  <c r="O381" i="82"/>
  <c r="A382" i="82"/>
  <c r="N382" i="82"/>
  <c r="O382" i="82"/>
  <c r="E383" i="82"/>
  <c r="N383" i="82"/>
  <c r="A384" i="82"/>
  <c r="N384" i="82"/>
  <c r="O384" i="82"/>
  <c r="A385" i="82"/>
  <c r="N385" i="82"/>
  <c r="O385" i="82"/>
  <c r="A386" i="82"/>
  <c r="N386" i="82"/>
  <c r="O386" i="82"/>
  <c r="A387" i="82"/>
  <c r="N387" i="82"/>
  <c r="O387" i="82"/>
  <c r="A388" i="82"/>
  <c r="N388" i="82"/>
  <c r="O388" i="82"/>
  <c r="A389" i="82"/>
  <c r="N389" i="82"/>
  <c r="O389" i="82"/>
  <c r="A390" i="82"/>
  <c r="N390" i="82"/>
  <c r="O390" i="82"/>
  <c r="A391" i="82"/>
  <c r="N391" i="82"/>
  <c r="O391" i="82"/>
  <c r="A392" i="82"/>
  <c r="N392" i="82"/>
  <c r="O392" i="82"/>
  <c r="A393" i="82"/>
  <c r="N393" i="82"/>
  <c r="O393" i="82"/>
  <c r="A394" i="82"/>
  <c r="N394" i="82"/>
  <c r="O394" i="82"/>
  <c r="A395" i="82"/>
  <c r="N395" i="82"/>
  <c r="O395" i="82"/>
  <c r="A396" i="82"/>
  <c r="N396" i="82"/>
  <c r="O396" i="82"/>
  <c r="A397" i="82"/>
  <c r="N397" i="82"/>
  <c r="O397" i="82"/>
  <c r="A398" i="82"/>
  <c r="N398" i="82"/>
  <c r="O398" i="82"/>
  <c r="A399" i="82"/>
  <c r="N399" i="82"/>
  <c r="O399" i="82"/>
  <c r="A400" i="82"/>
  <c r="N400" i="82"/>
  <c r="O400" i="82"/>
  <c r="A401" i="82"/>
  <c r="N401" i="82"/>
  <c r="O401" i="82"/>
  <c r="A402" i="82"/>
  <c r="N402" i="82"/>
  <c r="O402" i="82"/>
  <c r="A403" i="82"/>
  <c r="N403" i="82"/>
  <c r="O403" i="82"/>
  <c r="E404" i="82"/>
  <c r="N404" i="82"/>
  <c r="A405" i="82"/>
  <c r="N405" i="82"/>
  <c r="O405" i="82"/>
  <c r="A406" i="82"/>
  <c r="N406" i="82"/>
  <c r="O406" i="82"/>
  <c r="A407" i="82"/>
  <c r="N407" i="82"/>
  <c r="O407" i="82"/>
  <c r="A408" i="82"/>
  <c r="N408" i="82"/>
  <c r="O408" i="82"/>
  <c r="A409" i="82"/>
  <c r="N409" i="82"/>
  <c r="O409" i="82"/>
  <c r="A410" i="82"/>
  <c r="N410" i="82"/>
  <c r="O410" i="82"/>
  <c r="A411" i="82"/>
  <c r="N411" i="82"/>
  <c r="O411" i="82"/>
  <c r="A412" i="82"/>
  <c r="N412" i="82"/>
  <c r="O412" i="82"/>
  <c r="A413" i="82"/>
  <c r="N413" i="82"/>
  <c r="O413" i="82"/>
  <c r="A414" i="82"/>
  <c r="N414" i="82"/>
  <c r="O414" i="82"/>
  <c r="A415" i="82"/>
  <c r="N415" i="82"/>
  <c r="O415" i="82"/>
  <c r="A416" i="82"/>
  <c r="N416" i="82"/>
  <c r="O416" i="82"/>
  <c r="A417" i="82"/>
  <c r="N417" i="82"/>
  <c r="O417" i="82"/>
  <c r="A418" i="82"/>
  <c r="N418" i="82"/>
  <c r="O418" i="82"/>
  <c r="A419" i="82"/>
  <c r="N419" i="82"/>
  <c r="O419" i="82"/>
  <c r="A420" i="82"/>
  <c r="N420" i="82"/>
  <c r="O420" i="82"/>
  <c r="A421" i="82"/>
  <c r="N421" i="82"/>
  <c r="O421" i="82"/>
  <c r="A422" i="82"/>
  <c r="N422" i="82"/>
  <c r="O422" i="82"/>
  <c r="A423" i="82"/>
  <c r="N423" i="82"/>
  <c r="O423" i="82"/>
  <c r="A424" i="82"/>
  <c r="N424" i="82"/>
  <c r="O424" i="82"/>
  <c r="E425" i="82"/>
  <c r="N425" i="82"/>
  <c r="A426" i="82"/>
  <c r="N426" i="82"/>
  <c r="O426" i="82"/>
  <c r="A427" i="82"/>
  <c r="N427" i="82"/>
  <c r="O427" i="82"/>
  <c r="A428" i="82"/>
  <c r="N428" i="82"/>
  <c r="O428" i="82"/>
  <c r="A429" i="82"/>
  <c r="N429" i="82"/>
  <c r="O429" i="82"/>
  <c r="A430" i="82"/>
  <c r="N430" i="82"/>
  <c r="O430" i="82"/>
  <c r="A431" i="82"/>
  <c r="N431" i="82"/>
  <c r="O431" i="82"/>
  <c r="A432" i="82"/>
  <c r="N432" i="82"/>
  <c r="O432" i="82"/>
  <c r="A433" i="82"/>
  <c r="N433" i="82"/>
  <c r="O433" i="82"/>
  <c r="A434" i="82"/>
  <c r="N434" i="82"/>
  <c r="O434" i="82"/>
  <c r="A435" i="82"/>
  <c r="N435" i="82"/>
  <c r="O435" i="82"/>
  <c r="A436" i="82"/>
  <c r="N436" i="82"/>
  <c r="O436" i="82"/>
  <c r="A437" i="82"/>
  <c r="N437" i="82"/>
  <c r="O437" i="82"/>
  <c r="A438" i="82"/>
  <c r="N438" i="82"/>
  <c r="O438" i="82"/>
  <c r="A439" i="82"/>
  <c r="N439" i="82"/>
  <c r="O439" i="82"/>
  <c r="A440" i="82"/>
  <c r="N440" i="82"/>
  <c r="O440" i="82"/>
  <c r="A441" i="82"/>
  <c r="N441" i="82"/>
  <c r="O441" i="82"/>
  <c r="A442" i="82"/>
  <c r="N442" i="82"/>
  <c r="O442" i="82"/>
  <c r="A443" i="82"/>
  <c r="N443" i="82"/>
  <c r="O443" i="82"/>
  <c r="A444" i="82"/>
  <c r="N444" i="82"/>
  <c r="O444" i="82"/>
  <c r="A445" i="82"/>
  <c r="N445" i="82"/>
  <c r="O445" i="82"/>
  <c r="E446" i="82"/>
  <c r="N446" i="82"/>
  <c r="A447" i="82"/>
  <c r="N447" i="82"/>
  <c r="O447" i="82"/>
  <c r="A448" i="82"/>
  <c r="N448" i="82"/>
  <c r="O448" i="82"/>
  <c r="A449" i="82"/>
  <c r="N449" i="82"/>
  <c r="O449" i="82"/>
  <c r="A450" i="82"/>
  <c r="N450" i="82"/>
  <c r="O450" i="82"/>
  <c r="A451" i="82"/>
  <c r="N451" i="82"/>
  <c r="O451" i="82"/>
  <c r="A452" i="82"/>
  <c r="N452" i="82"/>
  <c r="O452" i="82"/>
  <c r="A453" i="82"/>
  <c r="N453" i="82"/>
  <c r="O453" i="82"/>
  <c r="A454" i="82"/>
  <c r="N454" i="82"/>
  <c r="O454" i="82"/>
  <c r="A455" i="82"/>
  <c r="N455" i="82"/>
  <c r="O455" i="82"/>
  <c r="A456" i="82"/>
  <c r="N456" i="82"/>
  <c r="O456" i="82"/>
  <c r="A457" i="82"/>
  <c r="N457" i="82"/>
  <c r="O457" i="82"/>
  <c r="A458" i="82"/>
  <c r="N458" i="82"/>
  <c r="O458" i="82"/>
  <c r="A459" i="82"/>
  <c r="N459" i="82"/>
  <c r="O459" i="82"/>
  <c r="A460" i="82"/>
  <c r="N460" i="82"/>
  <c r="O460" i="82"/>
  <c r="A461" i="82"/>
  <c r="N461" i="82"/>
  <c r="O461" i="82"/>
  <c r="A462" i="82"/>
  <c r="N462" i="82"/>
  <c r="O462" i="82"/>
  <c r="A463" i="82"/>
  <c r="N463" i="82"/>
  <c r="O463" i="82"/>
  <c r="A464" i="82"/>
  <c r="N464" i="82"/>
  <c r="O464" i="82"/>
  <c r="A465" i="82"/>
  <c r="N465" i="82"/>
  <c r="O465" i="82"/>
  <c r="A466" i="82"/>
  <c r="N466" i="82"/>
  <c r="O466" i="82"/>
  <c r="E467" i="82"/>
  <c r="N467" i="82"/>
  <c r="A468" i="82"/>
  <c r="N468" i="82"/>
  <c r="O468" i="82"/>
  <c r="A469" i="82"/>
  <c r="N469" i="82"/>
  <c r="O469" i="82"/>
  <c r="A470" i="82"/>
  <c r="N470" i="82"/>
  <c r="O470" i="82"/>
  <c r="A471" i="82"/>
  <c r="N471" i="82"/>
  <c r="O471" i="82"/>
  <c r="A472" i="82"/>
  <c r="N472" i="82"/>
  <c r="O472" i="82"/>
  <c r="A473" i="82"/>
  <c r="N473" i="82"/>
  <c r="O473" i="82"/>
  <c r="A474" i="82"/>
  <c r="N474" i="82"/>
  <c r="O474" i="82"/>
  <c r="A475" i="82"/>
  <c r="N475" i="82"/>
  <c r="O475" i="82"/>
  <c r="A476" i="82"/>
  <c r="N476" i="82"/>
  <c r="O476" i="82"/>
  <c r="A477" i="82"/>
  <c r="N477" i="82"/>
  <c r="O477" i="82"/>
  <c r="A478" i="82"/>
  <c r="N478" i="82"/>
  <c r="O478" i="82"/>
  <c r="A479" i="82"/>
  <c r="N479" i="82"/>
  <c r="O479" i="82"/>
  <c r="A480" i="82"/>
  <c r="N480" i="82"/>
  <c r="O480" i="82"/>
  <c r="A481" i="82"/>
  <c r="N481" i="82"/>
  <c r="O481" i="82"/>
  <c r="A482" i="82"/>
  <c r="N482" i="82"/>
  <c r="O482" i="82"/>
  <c r="A483" i="82"/>
  <c r="N483" i="82"/>
  <c r="O483" i="82"/>
  <c r="A484" i="82"/>
  <c r="N484" i="82"/>
  <c r="O484" i="82"/>
  <c r="A485" i="82"/>
  <c r="N485" i="82"/>
  <c r="O485" i="82"/>
  <c r="A486" i="82"/>
  <c r="N486" i="82"/>
  <c r="O486" i="82"/>
  <c r="A487" i="82"/>
  <c r="N487" i="82"/>
  <c r="O487" i="82"/>
  <c r="E488" i="82"/>
  <c r="N488" i="82"/>
  <c r="A489" i="82"/>
  <c r="N489" i="82"/>
  <c r="O489" i="82"/>
  <c r="A490" i="82"/>
  <c r="N490" i="82"/>
  <c r="O490" i="82"/>
  <c r="A491" i="82"/>
  <c r="N491" i="82"/>
  <c r="O491" i="82"/>
  <c r="A492" i="82"/>
  <c r="N492" i="82"/>
  <c r="O492" i="82"/>
  <c r="A493" i="82"/>
  <c r="N493" i="82"/>
  <c r="O493" i="82"/>
  <c r="A494" i="82"/>
  <c r="N494" i="82"/>
  <c r="O494" i="82"/>
  <c r="A495" i="82"/>
  <c r="N495" i="82"/>
  <c r="O495" i="82"/>
  <c r="A496" i="82"/>
  <c r="N496" i="82"/>
  <c r="O496" i="82"/>
  <c r="A497" i="82"/>
  <c r="N497" i="82"/>
  <c r="O497" i="82"/>
  <c r="A498" i="82"/>
  <c r="N498" i="82"/>
  <c r="O498" i="82"/>
  <c r="A499" i="82"/>
  <c r="N499" i="82"/>
  <c r="O499" i="82"/>
  <c r="A500" i="82"/>
  <c r="N500" i="82"/>
  <c r="O500" i="82"/>
  <c r="A501" i="82"/>
  <c r="N501" i="82"/>
  <c r="O501" i="82"/>
  <c r="A502" i="82"/>
  <c r="N502" i="82"/>
  <c r="O502" i="82"/>
  <c r="A503" i="82"/>
  <c r="N503" i="82"/>
  <c r="O503" i="82"/>
  <c r="A504" i="82"/>
  <c r="N504" i="82"/>
  <c r="O504" i="82"/>
  <c r="A505" i="82"/>
  <c r="N505" i="82"/>
  <c r="O505" i="82"/>
  <c r="A506" i="82"/>
  <c r="N506" i="82"/>
  <c r="O506" i="82"/>
  <c r="A507" i="82"/>
  <c r="N507" i="82"/>
  <c r="O507" i="82"/>
  <c r="A508" i="82"/>
  <c r="N508" i="82"/>
  <c r="O508" i="82"/>
  <c r="E509" i="82"/>
  <c r="N509" i="82"/>
  <c r="A510" i="82"/>
  <c r="N510" i="82"/>
  <c r="O510" i="82"/>
  <c r="A511" i="82"/>
  <c r="N511" i="82"/>
  <c r="O511" i="82"/>
  <c r="A512" i="82"/>
  <c r="N512" i="82"/>
  <c r="O512" i="82"/>
  <c r="A513" i="82"/>
  <c r="N513" i="82"/>
  <c r="O513" i="82"/>
  <c r="A514" i="82"/>
  <c r="N514" i="82"/>
  <c r="O514" i="82"/>
  <c r="A515" i="82"/>
  <c r="N515" i="82"/>
  <c r="O515" i="82"/>
  <c r="A516" i="82"/>
  <c r="N516" i="82"/>
  <c r="O516" i="82"/>
  <c r="A517" i="82"/>
  <c r="N517" i="82"/>
  <c r="O517" i="82"/>
  <c r="A518" i="82"/>
  <c r="N518" i="82"/>
  <c r="O518" i="82"/>
  <c r="A519" i="82"/>
  <c r="N519" i="82"/>
  <c r="O519" i="82"/>
  <c r="A520" i="82"/>
  <c r="N520" i="82"/>
  <c r="O520" i="82"/>
  <c r="A521" i="82"/>
  <c r="N521" i="82"/>
  <c r="O521" i="82"/>
  <c r="A522" i="82"/>
  <c r="N522" i="82"/>
  <c r="O522" i="82"/>
  <c r="A523" i="82"/>
  <c r="N523" i="82"/>
  <c r="O523" i="82"/>
  <c r="A524" i="82"/>
  <c r="N524" i="82"/>
  <c r="O524" i="82"/>
  <c r="A525" i="82"/>
  <c r="N525" i="82"/>
  <c r="O525" i="82"/>
  <c r="A526" i="82"/>
  <c r="N526" i="82"/>
  <c r="O526" i="82"/>
  <c r="A527" i="82"/>
  <c r="N527" i="82"/>
  <c r="O527" i="82"/>
  <c r="A528" i="82"/>
  <c r="N528" i="82"/>
  <c r="O528" i="82"/>
  <c r="A529" i="82"/>
  <c r="N529" i="82"/>
  <c r="O529" i="82"/>
  <c r="E530" i="82"/>
  <c r="N530" i="82"/>
  <c r="A6" i="83"/>
  <c r="N6" i="83"/>
  <c r="O6" i="83"/>
  <c r="A7" i="83"/>
  <c r="N7" i="83"/>
  <c r="O7" i="83"/>
  <c r="A8" i="83"/>
  <c r="N8" i="83"/>
  <c r="O8" i="83"/>
  <c r="A9" i="83"/>
  <c r="N9" i="83"/>
  <c r="O9" i="83"/>
  <c r="A10" i="83"/>
  <c r="N10" i="83"/>
  <c r="O10" i="83"/>
  <c r="A11" i="83"/>
  <c r="N11" i="83"/>
  <c r="O11" i="83"/>
  <c r="A12" i="83"/>
  <c r="N12" i="83"/>
  <c r="O12" i="83"/>
  <c r="A13" i="83"/>
  <c r="N13" i="83"/>
  <c r="O13" i="83"/>
  <c r="A14" i="83"/>
  <c r="N14" i="83"/>
  <c r="O14" i="83"/>
  <c r="A15" i="83"/>
  <c r="N15" i="83"/>
  <c r="O15" i="83"/>
  <c r="A16" i="83"/>
  <c r="N16" i="83"/>
  <c r="O16" i="83"/>
  <c r="A17" i="83"/>
  <c r="N17" i="83"/>
  <c r="O17" i="83"/>
  <c r="A18" i="83"/>
  <c r="N18" i="83"/>
  <c r="O18" i="83"/>
  <c r="A19" i="83"/>
  <c r="N19" i="83"/>
  <c r="O19" i="83"/>
  <c r="A20" i="83"/>
  <c r="N20" i="83"/>
  <c r="O20" i="83"/>
  <c r="A21" i="83"/>
  <c r="N21" i="83"/>
  <c r="O21" i="83"/>
  <c r="A22" i="83"/>
  <c r="N22" i="83"/>
  <c r="O22" i="83"/>
  <c r="A23" i="83"/>
  <c r="N23" i="83"/>
  <c r="O23" i="83"/>
  <c r="A24" i="83"/>
  <c r="N24" i="83"/>
  <c r="O24" i="83"/>
  <c r="A25" i="83"/>
  <c r="N25" i="83"/>
  <c r="O25" i="83"/>
  <c r="E26" i="83"/>
  <c r="N26" i="83"/>
  <c r="A27" i="83"/>
  <c r="N27" i="83"/>
  <c r="O27" i="83"/>
  <c r="A28" i="83"/>
  <c r="N28" i="83"/>
  <c r="O28" i="83"/>
  <c r="A29" i="83"/>
  <c r="N29" i="83"/>
  <c r="O29" i="83"/>
  <c r="A30" i="83"/>
  <c r="N30" i="83"/>
  <c r="O30" i="83"/>
  <c r="A31" i="83"/>
  <c r="N31" i="83"/>
  <c r="O31" i="83"/>
  <c r="A32" i="83"/>
  <c r="N32" i="83"/>
  <c r="O32" i="83"/>
  <c r="A33" i="83"/>
  <c r="N33" i="83"/>
  <c r="O33" i="83"/>
  <c r="A34" i="83"/>
  <c r="N34" i="83"/>
  <c r="O34" i="83"/>
  <c r="A35" i="83"/>
  <c r="N35" i="83"/>
  <c r="O35" i="83"/>
  <c r="A36" i="83"/>
  <c r="N36" i="83"/>
  <c r="O36" i="83"/>
  <c r="A37" i="83"/>
  <c r="N37" i="83"/>
  <c r="O37" i="83"/>
  <c r="A38" i="83"/>
  <c r="N38" i="83"/>
  <c r="O38" i="83"/>
  <c r="A39" i="83"/>
  <c r="N39" i="83"/>
  <c r="O39" i="83"/>
  <c r="A40" i="83"/>
  <c r="N40" i="83"/>
  <c r="O40" i="83"/>
  <c r="A41" i="83"/>
  <c r="N41" i="83"/>
  <c r="O41" i="83"/>
  <c r="A42" i="83"/>
  <c r="N42" i="83"/>
  <c r="O42" i="83"/>
  <c r="A43" i="83"/>
  <c r="N43" i="83"/>
  <c r="O43" i="83"/>
  <c r="A44" i="83"/>
  <c r="N44" i="83"/>
  <c r="O44" i="83"/>
  <c r="A45" i="83"/>
  <c r="N45" i="83"/>
  <c r="O45" i="83"/>
  <c r="A46" i="83"/>
  <c r="N46" i="83"/>
  <c r="O46" i="83"/>
  <c r="E47" i="83"/>
  <c r="N47" i="83"/>
  <c r="A48" i="83"/>
  <c r="N48" i="83"/>
  <c r="O48" i="83"/>
  <c r="A49" i="83"/>
  <c r="N49" i="83"/>
  <c r="O49" i="83"/>
  <c r="A50" i="83"/>
  <c r="N50" i="83"/>
  <c r="O50" i="83"/>
  <c r="A51" i="83"/>
  <c r="N51" i="83"/>
  <c r="O51" i="83"/>
  <c r="A52" i="83"/>
  <c r="N52" i="83"/>
  <c r="O52" i="83"/>
  <c r="A53" i="83"/>
  <c r="N53" i="83"/>
  <c r="O53" i="83"/>
  <c r="A54" i="83"/>
  <c r="N54" i="83"/>
  <c r="O54" i="83"/>
  <c r="A55" i="83"/>
  <c r="N55" i="83"/>
  <c r="O55" i="83"/>
  <c r="A56" i="83"/>
  <c r="N56" i="83"/>
  <c r="O56" i="83"/>
  <c r="A57" i="83"/>
  <c r="N57" i="83"/>
  <c r="O57" i="83"/>
  <c r="A58" i="83"/>
  <c r="N58" i="83"/>
  <c r="O58" i="83"/>
  <c r="A59" i="83"/>
  <c r="N59" i="83"/>
  <c r="O59" i="83"/>
  <c r="A60" i="83"/>
  <c r="N60" i="83"/>
  <c r="O60" i="83"/>
  <c r="A61" i="83"/>
  <c r="N61" i="83"/>
  <c r="O61" i="83"/>
  <c r="A62" i="83"/>
  <c r="N62" i="83"/>
  <c r="O62" i="83"/>
  <c r="A63" i="83"/>
  <c r="N63" i="83"/>
  <c r="O63" i="83"/>
  <c r="A64" i="83"/>
  <c r="N64" i="83"/>
  <c r="O64" i="83"/>
  <c r="A65" i="83"/>
  <c r="N65" i="83"/>
  <c r="O65" i="83"/>
  <c r="A66" i="83"/>
  <c r="N66" i="83"/>
  <c r="O66" i="83"/>
  <c r="A67" i="83"/>
  <c r="N67" i="83"/>
  <c r="O67" i="83"/>
  <c r="E68" i="83"/>
  <c r="N68" i="83"/>
  <c r="A69" i="83"/>
  <c r="N69" i="83"/>
  <c r="O69" i="83"/>
  <c r="A70" i="83"/>
  <c r="N70" i="83"/>
  <c r="O70" i="83"/>
  <c r="A71" i="83"/>
  <c r="N71" i="83"/>
  <c r="O71" i="83"/>
  <c r="A72" i="83"/>
  <c r="N72" i="83"/>
  <c r="O72" i="83"/>
  <c r="A73" i="83"/>
  <c r="N73" i="83"/>
  <c r="O73" i="83"/>
  <c r="A74" i="83"/>
  <c r="N74" i="83"/>
  <c r="O74" i="83"/>
  <c r="A75" i="83"/>
  <c r="N75" i="83"/>
  <c r="O75" i="83"/>
  <c r="A76" i="83"/>
  <c r="N76" i="83"/>
  <c r="O76" i="83"/>
  <c r="A77" i="83"/>
  <c r="N77" i="83"/>
  <c r="O77" i="83"/>
  <c r="A78" i="83"/>
  <c r="N78" i="83"/>
  <c r="O78" i="83"/>
  <c r="A79" i="83"/>
  <c r="N79" i="83"/>
  <c r="O79" i="83"/>
  <c r="A80" i="83"/>
  <c r="N80" i="83"/>
  <c r="O80" i="83"/>
  <c r="A81" i="83"/>
  <c r="N81" i="83"/>
  <c r="O81" i="83"/>
  <c r="A82" i="83"/>
  <c r="N82" i="83"/>
  <c r="O82" i="83"/>
  <c r="A83" i="83"/>
  <c r="N83" i="83"/>
  <c r="O83" i="83"/>
  <c r="A84" i="83"/>
  <c r="N84" i="83"/>
  <c r="O84" i="83"/>
  <c r="A85" i="83"/>
  <c r="N85" i="83"/>
  <c r="O85" i="83"/>
  <c r="A86" i="83"/>
  <c r="N86" i="83"/>
  <c r="O86" i="83"/>
  <c r="A87" i="83"/>
  <c r="N87" i="83"/>
  <c r="O87" i="83"/>
  <c r="A88" i="83"/>
  <c r="N88" i="83"/>
  <c r="O88" i="83"/>
  <c r="E89" i="83"/>
  <c r="N89" i="83"/>
  <c r="A90" i="83"/>
  <c r="N90" i="83"/>
  <c r="O90" i="83"/>
  <c r="A91" i="83"/>
  <c r="N91" i="83"/>
  <c r="O91" i="83"/>
  <c r="A92" i="83"/>
  <c r="N92" i="83"/>
  <c r="O92" i="83"/>
  <c r="A93" i="83"/>
  <c r="N93" i="83"/>
  <c r="O93" i="83"/>
  <c r="A94" i="83"/>
  <c r="N94" i="83"/>
  <c r="O94" i="83"/>
  <c r="A95" i="83"/>
  <c r="N95" i="83"/>
  <c r="O95" i="83"/>
  <c r="A96" i="83"/>
  <c r="N96" i="83"/>
  <c r="O96" i="83"/>
  <c r="A97" i="83"/>
  <c r="N97" i="83"/>
  <c r="O97" i="83"/>
  <c r="A98" i="83"/>
  <c r="N98" i="83"/>
  <c r="O98" i="83"/>
  <c r="A99" i="83"/>
  <c r="N99" i="83"/>
  <c r="O99" i="83"/>
  <c r="A100" i="83"/>
  <c r="N100" i="83"/>
  <c r="O100" i="83"/>
  <c r="A101" i="83"/>
  <c r="N101" i="83"/>
  <c r="O101" i="83"/>
  <c r="A102" i="83"/>
  <c r="N102" i="83"/>
  <c r="O102" i="83"/>
  <c r="A103" i="83"/>
  <c r="N103" i="83"/>
  <c r="O103" i="83"/>
  <c r="A104" i="83"/>
  <c r="N104" i="83"/>
  <c r="O104" i="83"/>
  <c r="A105" i="83"/>
  <c r="N105" i="83"/>
  <c r="O105" i="83"/>
  <c r="A106" i="83"/>
  <c r="N106" i="83"/>
  <c r="O106" i="83"/>
  <c r="A107" i="83"/>
  <c r="N107" i="83"/>
  <c r="O107" i="83"/>
  <c r="A108" i="83"/>
  <c r="N108" i="83"/>
  <c r="O108" i="83"/>
  <c r="A109" i="83"/>
  <c r="N109" i="83"/>
  <c r="O109" i="83"/>
  <c r="E110" i="83"/>
  <c r="N110" i="83"/>
  <c r="A111" i="83"/>
  <c r="N111" i="83"/>
  <c r="O111" i="83"/>
  <c r="A112" i="83"/>
  <c r="N112" i="83"/>
  <c r="O112" i="83"/>
  <c r="A113" i="83"/>
  <c r="N113" i="83"/>
  <c r="O113" i="83"/>
  <c r="A114" i="83"/>
  <c r="N114" i="83"/>
  <c r="O114" i="83"/>
  <c r="A115" i="83"/>
  <c r="N115" i="83"/>
  <c r="O115" i="83"/>
  <c r="A116" i="83"/>
  <c r="N116" i="83"/>
  <c r="O116" i="83"/>
  <c r="A117" i="83"/>
  <c r="N117" i="83"/>
  <c r="O117" i="83"/>
  <c r="A118" i="83"/>
  <c r="N118" i="83"/>
  <c r="O118" i="83"/>
  <c r="A119" i="83"/>
  <c r="N119" i="83"/>
  <c r="O119" i="83"/>
  <c r="A120" i="83"/>
  <c r="N120" i="83"/>
  <c r="O120" i="83"/>
  <c r="A121" i="83"/>
  <c r="N121" i="83"/>
  <c r="O121" i="83"/>
  <c r="A122" i="83"/>
  <c r="N122" i="83"/>
  <c r="O122" i="83"/>
  <c r="A123" i="83"/>
  <c r="N123" i="83"/>
  <c r="O123" i="83"/>
  <c r="A124" i="83"/>
  <c r="N124" i="83"/>
  <c r="O124" i="83"/>
  <c r="A125" i="83"/>
  <c r="N125" i="83"/>
  <c r="O125" i="83"/>
  <c r="A126" i="83"/>
  <c r="N126" i="83"/>
  <c r="O126" i="83"/>
  <c r="A127" i="83"/>
  <c r="N127" i="83"/>
  <c r="O127" i="83"/>
  <c r="A128" i="83"/>
  <c r="N128" i="83"/>
  <c r="O128" i="83"/>
  <c r="A129" i="83"/>
  <c r="N129" i="83"/>
  <c r="O129" i="83"/>
  <c r="A130" i="83"/>
  <c r="N130" i="83"/>
  <c r="O130" i="83"/>
  <c r="E131" i="83"/>
  <c r="N131" i="83"/>
  <c r="A132" i="83"/>
  <c r="N132" i="83"/>
  <c r="O132" i="83"/>
  <c r="A133" i="83"/>
  <c r="N133" i="83"/>
  <c r="O133" i="83"/>
  <c r="A134" i="83"/>
  <c r="N134" i="83"/>
  <c r="O134" i="83"/>
  <c r="A135" i="83"/>
  <c r="N135" i="83"/>
  <c r="O135" i="83"/>
  <c r="A136" i="83"/>
  <c r="N136" i="83"/>
  <c r="O136" i="83"/>
  <c r="A137" i="83"/>
  <c r="N137" i="83"/>
  <c r="O137" i="83"/>
  <c r="A138" i="83"/>
  <c r="N138" i="83"/>
  <c r="O138" i="83"/>
  <c r="A139" i="83"/>
  <c r="N139" i="83"/>
  <c r="O139" i="83"/>
  <c r="A140" i="83"/>
  <c r="N140" i="83"/>
  <c r="O140" i="83"/>
  <c r="A141" i="83"/>
  <c r="N141" i="83"/>
  <c r="O141" i="83"/>
  <c r="A142" i="83"/>
  <c r="N142" i="83"/>
  <c r="O142" i="83"/>
  <c r="A143" i="83"/>
  <c r="N143" i="83"/>
  <c r="O143" i="83"/>
  <c r="A144" i="83"/>
  <c r="N144" i="83"/>
  <c r="O144" i="83"/>
  <c r="A145" i="83"/>
  <c r="N145" i="83"/>
  <c r="O145" i="83"/>
  <c r="A146" i="83"/>
  <c r="N146" i="83"/>
  <c r="O146" i="83"/>
  <c r="A147" i="83"/>
  <c r="N147" i="83"/>
  <c r="O147" i="83"/>
  <c r="A148" i="83"/>
  <c r="N148" i="83"/>
  <c r="O148" i="83"/>
  <c r="A149" i="83"/>
  <c r="N149" i="83"/>
  <c r="O149" i="83"/>
  <c r="A150" i="83"/>
  <c r="N150" i="83"/>
  <c r="O150" i="83"/>
  <c r="A151" i="83"/>
  <c r="N151" i="83"/>
  <c r="O151" i="83"/>
  <c r="E152" i="83"/>
  <c r="N152" i="83"/>
  <c r="A153" i="83"/>
  <c r="N153" i="83"/>
  <c r="O153" i="83"/>
  <c r="A154" i="83"/>
  <c r="N154" i="83"/>
  <c r="O154" i="83"/>
  <c r="A155" i="83"/>
  <c r="N155" i="83"/>
  <c r="O155" i="83"/>
  <c r="A156" i="83"/>
  <c r="N156" i="83"/>
  <c r="O156" i="83"/>
  <c r="A157" i="83"/>
  <c r="N157" i="83"/>
  <c r="O157" i="83"/>
  <c r="A158" i="83"/>
  <c r="N158" i="83"/>
  <c r="O158" i="83"/>
  <c r="A159" i="83"/>
  <c r="N159" i="83"/>
  <c r="O159" i="83"/>
  <c r="A160" i="83"/>
  <c r="N160" i="83"/>
  <c r="O160" i="83"/>
  <c r="A161" i="83"/>
  <c r="N161" i="83"/>
  <c r="O161" i="83"/>
  <c r="A162" i="83"/>
  <c r="N162" i="83"/>
  <c r="O162" i="83"/>
  <c r="A163" i="83"/>
  <c r="N163" i="83"/>
  <c r="O163" i="83"/>
  <c r="A164" i="83"/>
  <c r="N164" i="83"/>
  <c r="O164" i="83"/>
  <c r="A165" i="83"/>
  <c r="N165" i="83"/>
  <c r="O165" i="83"/>
  <c r="A166" i="83"/>
  <c r="N166" i="83"/>
  <c r="O166" i="83"/>
  <c r="A167" i="83"/>
  <c r="N167" i="83"/>
  <c r="O167" i="83"/>
  <c r="A168" i="83"/>
  <c r="N168" i="83"/>
  <c r="O168" i="83"/>
  <c r="A169" i="83"/>
  <c r="N169" i="83"/>
  <c r="O169" i="83"/>
  <c r="A170" i="83"/>
  <c r="N170" i="83"/>
  <c r="O170" i="83"/>
  <c r="A171" i="83"/>
  <c r="N171" i="83"/>
  <c r="O171" i="83"/>
  <c r="A172" i="83"/>
  <c r="N172" i="83"/>
  <c r="O172" i="83"/>
  <c r="E173" i="83"/>
  <c r="N173" i="83"/>
  <c r="A174" i="83"/>
  <c r="N174" i="83"/>
  <c r="O174" i="83"/>
  <c r="A175" i="83"/>
  <c r="N175" i="83"/>
  <c r="O175" i="83"/>
  <c r="A176" i="83"/>
  <c r="N176" i="83"/>
  <c r="O176" i="83"/>
  <c r="A177" i="83"/>
  <c r="N177" i="83"/>
  <c r="O177" i="83"/>
  <c r="A178" i="83"/>
  <c r="N178" i="83"/>
  <c r="O178" i="83"/>
  <c r="A179" i="83"/>
  <c r="N179" i="83"/>
  <c r="O179" i="83"/>
  <c r="A180" i="83"/>
  <c r="N180" i="83"/>
  <c r="O180" i="83"/>
  <c r="A181" i="83"/>
  <c r="N181" i="83"/>
  <c r="O181" i="83"/>
  <c r="A182" i="83"/>
  <c r="N182" i="83"/>
  <c r="O182" i="83"/>
  <c r="A183" i="83"/>
  <c r="N183" i="83"/>
  <c r="O183" i="83"/>
  <c r="A184" i="83"/>
  <c r="N184" i="83"/>
  <c r="O184" i="83"/>
  <c r="A185" i="83"/>
  <c r="N185" i="83"/>
  <c r="O185" i="83"/>
  <c r="A186" i="83"/>
  <c r="N186" i="83"/>
  <c r="O186" i="83"/>
  <c r="A187" i="83"/>
  <c r="N187" i="83"/>
  <c r="O187" i="83"/>
  <c r="A188" i="83"/>
  <c r="N188" i="83"/>
  <c r="O188" i="83"/>
  <c r="A189" i="83"/>
  <c r="N189" i="83"/>
  <c r="O189" i="83"/>
  <c r="A190" i="83"/>
  <c r="N190" i="83"/>
  <c r="O190" i="83"/>
  <c r="A191" i="83"/>
  <c r="N191" i="83"/>
  <c r="O191" i="83"/>
  <c r="A192" i="83"/>
  <c r="N192" i="83"/>
  <c r="O192" i="83"/>
  <c r="A193" i="83"/>
  <c r="N193" i="83"/>
  <c r="O193" i="83"/>
  <c r="E194" i="83"/>
  <c r="N194" i="83"/>
  <c r="A195" i="83"/>
  <c r="N195" i="83"/>
  <c r="O195" i="83"/>
  <c r="A196" i="83"/>
  <c r="N196" i="83"/>
  <c r="O196" i="83"/>
  <c r="A197" i="83"/>
  <c r="N197" i="83"/>
  <c r="O197" i="83"/>
  <c r="A198" i="83"/>
  <c r="N198" i="83"/>
  <c r="O198" i="83"/>
  <c r="A199" i="83"/>
  <c r="N199" i="83"/>
  <c r="O199" i="83"/>
  <c r="A200" i="83"/>
  <c r="N200" i="83"/>
  <c r="O200" i="83"/>
  <c r="A201" i="83"/>
  <c r="N201" i="83"/>
  <c r="O201" i="83"/>
  <c r="A202" i="83"/>
  <c r="N202" i="83"/>
  <c r="O202" i="83"/>
  <c r="A203" i="83"/>
  <c r="N203" i="83"/>
  <c r="O203" i="83"/>
  <c r="A204" i="83"/>
  <c r="N204" i="83"/>
  <c r="O204" i="83"/>
  <c r="A205" i="83"/>
  <c r="N205" i="83"/>
  <c r="O205" i="83"/>
  <c r="A206" i="83"/>
  <c r="N206" i="83"/>
  <c r="O206" i="83"/>
  <c r="A207" i="83"/>
  <c r="N207" i="83"/>
  <c r="O207" i="83"/>
  <c r="A208" i="83"/>
  <c r="N208" i="83"/>
  <c r="O208" i="83"/>
  <c r="A209" i="83"/>
  <c r="N209" i="83"/>
  <c r="O209" i="83"/>
  <c r="A210" i="83"/>
  <c r="N210" i="83"/>
  <c r="O210" i="83"/>
  <c r="A211" i="83"/>
  <c r="N211" i="83"/>
  <c r="O211" i="83"/>
  <c r="A212" i="83"/>
  <c r="N212" i="83"/>
  <c r="O212" i="83"/>
  <c r="A213" i="83"/>
  <c r="N213" i="83"/>
  <c r="O213" i="83"/>
  <c r="A214" i="83"/>
  <c r="N214" i="83"/>
  <c r="O214" i="83"/>
  <c r="E215" i="83"/>
  <c r="N215" i="83"/>
  <c r="A216" i="83"/>
  <c r="N216" i="83"/>
  <c r="O216" i="83"/>
  <c r="A217" i="83"/>
  <c r="N217" i="83"/>
  <c r="O217" i="83"/>
  <c r="A218" i="83"/>
  <c r="N218" i="83"/>
  <c r="O218" i="83"/>
  <c r="A219" i="83"/>
  <c r="N219" i="83"/>
  <c r="O219" i="83"/>
  <c r="A220" i="83"/>
  <c r="N220" i="83"/>
  <c r="O220" i="83"/>
  <c r="A221" i="83"/>
  <c r="N221" i="83"/>
  <c r="O221" i="83"/>
  <c r="A222" i="83"/>
  <c r="N222" i="83"/>
  <c r="O222" i="83"/>
  <c r="A223" i="83"/>
  <c r="N223" i="83"/>
  <c r="O223" i="83"/>
  <c r="A224" i="83"/>
  <c r="N224" i="83"/>
  <c r="O224" i="83"/>
  <c r="A225" i="83"/>
  <c r="N225" i="83"/>
  <c r="O225" i="83"/>
  <c r="A226" i="83"/>
  <c r="N226" i="83"/>
  <c r="O226" i="83"/>
  <c r="A227" i="83"/>
  <c r="N227" i="83"/>
  <c r="O227" i="83"/>
  <c r="A228" i="83"/>
  <c r="N228" i="83"/>
  <c r="O228" i="83"/>
  <c r="A229" i="83"/>
  <c r="N229" i="83"/>
  <c r="O229" i="83"/>
  <c r="A230" i="83"/>
  <c r="N230" i="83"/>
  <c r="O230" i="83"/>
  <c r="A231" i="83"/>
  <c r="N231" i="83"/>
  <c r="O231" i="83"/>
  <c r="A232" i="83"/>
  <c r="N232" i="83"/>
  <c r="O232" i="83"/>
  <c r="A233" i="83"/>
  <c r="N233" i="83"/>
  <c r="O233" i="83"/>
  <c r="A234" i="83"/>
  <c r="N234" i="83"/>
  <c r="O234" i="83"/>
  <c r="A235" i="83"/>
  <c r="N235" i="83"/>
  <c r="O235" i="83"/>
  <c r="E236" i="83"/>
  <c r="N236" i="83"/>
  <c r="A237" i="83"/>
  <c r="N237" i="83"/>
  <c r="O237" i="83"/>
  <c r="A238" i="83"/>
  <c r="N238" i="83"/>
  <c r="O238" i="83"/>
  <c r="A239" i="83"/>
  <c r="N239" i="83"/>
  <c r="O239" i="83"/>
  <c r="A240" i="83"/>
  <c r="N240" i="83"/>
  <c r="O240" i="83"/>
  <c r="A241" i="83"/>
  <c r="N241" i="83"/>
  <c r="O241" i="83"/>
  <c r="A242" i="83"/>
  <c r="N242" i="83"/>
  <c r="O242" i="83"/>
  <c r="A243" i="83"/>
  <c r="N243" i="83"/>
  <c r="O243" i="83"/>
  <c r="A244" i="83"/>
  <c r="N244" i="83"/>
  <c r="O244" i="83"/>
  <c r="A245" i="83"/>
  <c r="N245" i="83"/>
  <c r="O245" i="83"/>
  <c r="A246" i="83"/>
  <c r="N246" i="83"/>
  <c r="O246" i="83"/>
  <c r="A247" i="83"/>
  <c r="N247" i="83"/>
  <c r="O247" i="83"/>
  <c r="A248" i="83"/>
  <c r="N248" i="83"/>
  <c r="O248" i="83"/>
  <c r="A249" i="83"/>
  <c r="N249" i="83"/>
  <c r="O249" i="83"/>
  <c r="A250" i="83"/>
  <c r="N250" i="83"/>
  <c r="O250" i="83"/>
  <c r="A251" i="83"/>
  <c r="N251" i="83"/>
  <c r="O251" i="83"/>
  <c r="A252" i="83"/>
  <c r="N252" i="83"/>
  <c r="O252" i="83"/>
  <c r="A253" i="83"/>
  <c r="N253" i="83"/>
  <c r="O253" i="83"/>
  <c r="A254" i="83"/>
  <c r="N254" i="83"/>
  <c r="O254" i="83"/>
  <c r="A255" i="83"/>
  <c r="N255" i="83"/>
  <c r="O255" i="83"/>
  <c r="A256" i="83"/>
  <c r="N256" i="83"/>
  <c r="O256" i="83"/>
  <c r="E257" i="83"/>
  <c r="N257" i="83"/>
  <c r="A258" i="83"/>
  <c r="N258" i="83"/>
  <c r="O258" i="83"/>
  <c r="A259" i="83"/>
  <c r="N259" i="83"/>
  <c r="O259" i="83"/>
  <c r="A260" i="83"/>
  <c r="N260" i="83"/>
  <c r="O260" i="83"/>
  <c r="A261" i="83"/>
  <c r="N261" i="83"/>
  <c r="O261" i="83"/>
  <c r="A262" i="83"/>
  <c r="N262" i="83"/>
  <c r="O262" i="83"/>
  <c r="A263" i="83"/>
  <c r="N263" i="83"/>
  <c r="O263" i="83"/>
  <c r="A264" i="83"/>
  <c r="N264" i="83"/>
  <c r="O264" i="83"/>
  <c r="A265" i="83"/>
  <c r="N265" i="83"/>
  <c r="O265" i="83"/>
  <c r="A266" i="83"/>
  <c r="N266" i="83"/>
  <c r="O266" i="83"/>
  <c r="A267" i="83"/>
  <c r="N267" i="83"/>
  <c r="O267" i="83"/>
  <c r="A268" i="83"/>
  <c r="N268" i="83"/>
  <c r="O268" i="83"/>
  <c r="A269" i="83"/>
  <c r="N269" i="83"/>
  <c r="O269" i="83"/>
  <c r="A270" i="83"/>
  <c r="N270" i="83"/>
  <c r="O270" i="83"/>
  <c r="A271" i="83"/>
  <c r="N271" i="83"/>
  <c r="O271" i="83"/>
  <c r="A272" i="83"/>
  <c r="N272" i="83"/>
  <c r="O272" i="83"/>
  <c r="A273" i="83"/>
  <c r="N273" i="83"/>
  <c r="O273" i="83"/>
  <c r="A274" i="83"/>
  <c r="N274" i="83"/>
  <c r="O274" i="83"/>
  <c r="A275" i="83"/>
  <c r="N275" i="83"/>
  <c r="O275" i="83"/>
  <c r="A276" i="83"/>
  <c r="N276" i="83"/>
  <c r="O276" i="83"/>
  <c r="A277" i="83"/>
  <c r="N277" i="83"/>
  <c r="O277" i="83"/>
  <c r="E278" i="83"/>
  <c r="N278" i="83"/>
  <c r="A279" i="83"/>
  <c r="N279" i="83"/>
  <c r="O279" i="83"/>
  <c r="A280" i="83"/>
  <c r="N280" i="83"/>
  <c r="O280" i="83"/>
  <c r="A281" i="83"/>
  <c r="N281" i="83"/>
  <c r="O281" i="83"/>
  <c r="A282" i="83"/>
  <c r="N282" i="83"/>
  <c r="O282" i="83"/>
  <c r="A283" i="83"/>
  <c r="N283" i="83"/>
  <c r="O283" i="83"/>
  <c r="A284" i="83"/>
  <c r="N284" i="83"/>
  <c r="O284" i="83"/>
  <c r="A285" i="83"/>
  <c r="N285" i="83"/>
  <c r="O285" i="83"/>
  <c r="A286" i="83"/>
  <c r="N286" i="83"/>
  <c r="O286" i="83"/>
  <c r="A287" i="83"/>
  <c r="N287" i="83"/>
  <c r="O287" i="83"/>
  <c r="A288" i="83"/>
  <c r="N288" i="83"/>
  <c r="O288" i="83"/>
  <c r="A289" i="83"/>
  <c r="N289" i="83"/>
  <c r="O289" i="83"/>
  <c r="A290" i="83"/>
  <c r="N290" i="83"/>
  <c r="O290" i="83"/>
  <c r="A291" i="83"/>
  <c r="N291" i="83"/>
  <c r="O291" i="83"/>
  <c r="A292" i="83"/>
  <c r="N292" i="83"/>
  <c r="O292" i="83"/>
  <c r="A293" i="83"/>
  <c r="N293" i="83"/>
  <c r="O293" i="83"/>
  <c r="A294" i="83"/>
  <c r="N294" i="83"/>
  <c r="O294" i="83"/>
  <c r="A295" i="83"/>
  <c r="N295" i="83"/>
  <c r="O295" i="83"/>
  <c r="A296" i="83"/>
  <c r="N296" i="83"/>
  <c r="O296" i="83"/>
  <c r="A297" i="83"/>
  <c r="N297" i="83"/>
  <c r="O297" i="83"/>
  <c r="A298" i="83"/>
  <c r="N298" i="83"/>
  <c r="O298" i="83"/>
  <c r="E299" i="83"/>
  <c r="N299" i="83"/>
  <c r="A300" i="83"/>
  <c r="N300" i="83"/>
  <c r="O300" i="83"/>
  <c r="A301" i="83"/>
  <c r="N301" i="83"/>
  <c r="O301" i="83"/>
  <c r="A302" i="83"/>
  <c r="N302" i="83"/>
  <c r="O302" i="83"/>
  <c r="A303" i="83"/>
  <c r="N303" i="83"/>
  <c r="O303" i="83"/>
  <c r="A304" i="83"/>
  <c r="N304" i="83"/>
  <c r="O304" i="83"/>
  <c r="A305" i="83"/>
  <c r="N305" i="83"/>
  <c r="O305" i="83"/>
  <c r="A306" i="83"/>
  <c r="N306" i="83"/>
  <c r="O306" i="83"/>
  <c r="A307" i="83"/>
  <c r="N307" i="83"/>
  <c r="O307" i="83"/>
  <c r="A308" i="83"/>
  <c r="N308" i="83"/>
  <c r="O308" i="83"/>
  <c r="A309" i="83"/>
  <c r="N309" i="83"/>
  <c r="O309" i="83"/>
  <c r="A310" i="83"/>
  <c r="N310" i="83"/>
  <c r="O310" i="83"/>
  <c r="A311" i="83"/>
  <c r="N311" i="83"/>
  <c r="O311" i="83"/>
  <c r="A312" i="83"/>
  <c r="N312" i="83"/>
  <c r="O312" i="83"/>
  <c r="A313" i="83"/>
  <c r="N313" i="83"/>
  <c r="O313" i="83"/>
  <c r="A314" i="83"/>
  <c r="N314" i="83"/>
  <c r="O314" i="83"/>
  <c r="A315" i="83"/>
  <c r="N315" i="83"/>
  <c r="O315" i="83"/>
  <c r="A316" i="83"/>
  <c r="N316" i="83"/>
  <c r="O316" i="83"/>
  <c r="A317" i="83"/>
  <c r="N317" i="83"/>
  <c r="O317" i="83"/>
  <c r="A318" i="83"/>
  <c r="N318" i="83"/>
  <c r="O318" i="83"/>
  <c r="A319" i="83"/>
  <c r="N319" i="83"/>
  <c r="O319" i="83"/>
  <c r="E320" i="83"/>
  <c r="N320" i="83"/>
  <c r="A321" i="83"/>
  <c r="N321" i="83"/>
  <c r="O321" i="83"/>
  <c r="A322" i="83"/>
  <c r="N322" i="83"/>
  <c r="O322" i="83"/>
  <c r="A323" i="83"/>
  <c r="N323" i="83"/>
  <c r="O323" i="83"/>
  <c r="A324" i="83"/>
  <c r="N324" i="83"/>
  <c r="O324" i="83"/>
  <c r="A325" i="83"/>
  <c r="N325" i="83"/>
  <c r="O325" i="83"/>
  <c r="A326" i="83"/>
  <c r="N326" i="83"/>
  <c r="O326" i="83"/>
  <c r="A327" i="83"/>
  <c r="N327" i="83"/>
  <c r="O327" i="83"/>
  <c r="A328" i="83"/>
  <c r="N328" i="83"/>
  <c r="O328" i="83"/>
  <c r="A329" i="83"/>
  <c r="N329" i="83"/>
  <c r="O329" i="83"/>
  <c r="A330" i="83"/>
  <c r="N330" i="83"/>
  <c r="O330" i="83"/>
  <c r="A331" i="83"/>
  <c r="N331" i="83"/>
  <c r="O331" i="83"/>
  <c r="A332" i="83"/>
  <c r="N332" i="83"/>
  <c r="O332" i="83"/>
  <c r="A333" i="83"/>
  <c r="N333" i="83"/>
  <c r="O333" i="83"/>
  <c r="A334" i="83"/>
  <c r="N334" i="83"/>
  <c r="O334" i="83"/>
  <c r="A335" i="83"/>
  <c r="N335" i="83"/>
  <c r="O335" i="83"/>
  <c r="A336" i="83"/>
  <c r="N336" i="83"/>
  <c r="O336" i="83"/>
  <c r="A337" i="83"/>
  <c r="N337" i="83"/>
  <c r="O337" i="83"/>
  <c r="A338" i="83"/>
  <c r="N338" i="83"/>
  <c r="O338" i="83"/>
  <c r="A339" i="83"/>
  <c r="N339" i="83"/>
  <c r="O339" i="83"/>
  <c r="A340" i="83"/>
  <c r="N340" i="83"/>
  <c r="O340" i="83"/>
  <c r="E341" i="83"/>
  <c r="N341" i="83"/>
  <c r="A342" i="83"/>
  <c r="N342" i="83"/>
  <c r="O342" i="83"/>
  <c r="A343" i="83"/>
  <c r="N343" i="83"/>
  <c r="O343" i="83"/>
  <c r="A344" i="83"/>
  <c r="N344" i="83"/>
  <c r="O344" i="83"/>
  <c r="A345" i="83"/>
  <c r="N345" i="83"/>
  <c r="O345" i="83"/>
  <c r="A346" i="83"/>
  <c r="N346" i="83"/>
  <c r="O346" i="83"/>
  <c r="A347" i="83"/>
  <c r="N347" i="83"/>
  <c r="O347" i="83"/>
  <c r="A348" i="83"/>
  <c r="N348" i="83"/>
  <c r="O348" i="83"/>
  <c r="A349" i="83"/>
  <c r="N349" i="83"/>
  <c r="O349" i="83"/>
  <c r="A350" i="83"/>
  <c r="N350" i="83"/>
  <c r="O350" i="83"/>
  <c r="A351" i="83"/>
  <c r="N351" i="83"/>
  <c r="O351" i="83"/>
  <c r="A352" i="83"/>
  <c r="N352" i="83"/>
  <c r="O352" i="83"/>
  <c r="A353" i="83"/>
  <c r="N353" i="83"/>
  <c r="O353" i="83"/>
  <c r="A354" i="83"/>
  <c r="N354" i="83"/>
  <c r="O354" i="83"/>
  <c r="A355" i="83"/>
  <c r="N355" i="83"/>
  <c r="O355" i="83"/>
  <c r="A356" i="83"/>
  <c r="N356" i="83"/>
  <c r="O356" i="83"/>
  <c r="A357" i="83"/>
  <c r="N357" i="83"/>
  <c r="O357" i="83"/>
  <c r="A358" i="83"/>
  <c r="N358" i="83"/>
  <c r="O358" i="83"/>
  <c r="A359" i="83"/>
  <c r="N359" i="83"/>
  <c r="O359" i="83"/>
  <c r="A360" i="83"/>
  <c r="N360" i="83"/>
  <c r="O360" i="83"/>
  <c r="A361" i="83"/>
  <c r="N361" i="83"/>
  <c r="O361" i="83"/>
  <c r="E362" i="83"/>
  <c r="N362" i="83"/>
  <c r="A363" i="83"/>
  <c r="N363" i="83"/>
  <c r="O363" i="83"/>
  <c r="A364" i="83"/>
  <c r="N364" i="83"/>
  <c r="O364" i="83"/>
  <c r="A365" i="83"/>
  <c r="N365" i="83"/>
  <c r="O365" i="83"/>
  <c r="A366" i="83"/>
  <c r="N366" i="83"/>
  <c r="O366" i="83"/>
  <c r="A367" i="83"/>
  <c r="N367" i="83"/>
  <c r="O367" i="83"/>
  <c r="A368" i="83"/>
  <c r="N368" i="83"/>
  <c r="O368" i="83"/>
  <c r="A369" i="83"/>
  <c r="N369" i="83"/>
  <c r="O369" i="83"/>
  <c r="A370" i="83"/>
  <c r="N370" i="83"/>
  <c r="O370" i="83"/>
  <c r="A371" i="83"/>
  <c r="N371" i="83"/>
  <c r="O371" i="83"/>
  <c r="A372" i="83"/>
  <c r="N372" i="83"/>
  <c r="O372" i="83"/>
  <c r="A373" i="83"/>
  <c r="N373" i="83"/>
  <c r="O373" i="83"/>
  <c r="A374" i="83"/>
  <c r="N374" i="83"/>
  <c r="O374" i="83"/>
  <c r="A375" i="83"/>
  <c r="N375" i="83"/>
  <c r="O375" i="83"/>
  <c r="A376" i="83"/>
  <c r="N376" i="83"/>
  <c r="O376" i="83"/>
  <c r="A377" i="83"/>
  <c r="N377" i="83"/>
  <c r="O377" i="83"/>
  <c r="A378" i="83"/>
  <c r="N378" i="83"/>
  <c r="O378" i="83"/>
  <c r="A379" i="83"/>
  <c r="N379" i="83"/>
  <c r="O379" i="83"/>
  <c r="A380" i="83"/>
  <c r="N380" i="83"/>
  <c r="O380" i="83"/>
  <c r="A381" i="83"/>
  <c r="N381" i="83"/>
  <c r="O381" i="83"/>
  <c r="A382" i="83"/>
  <c r="N382" i="83"/>
  <c r="O382" i="83"/>
  <c r="E383" i="83"/>
  <c r="N383" i="83"/>
  <c r="A384" i="83"/>
  <c r="N384" i="83"/>
  <c r="O384" i="83"/>
  <c r="A385" i="83"/>
  <c r="N385" i="83"/>
  <c r="O385" i="83"/>
  <c r="A386" i="83"/>
  <c r="N386" i="83"/>
  <c r="O386" i="83"/>
  <c r="A387" i="83"/>
  <c r="N387" i="83"/>
  <c r="O387" i="83"/>
  <c r="A388" i="83"/>
  <c r="N388" i="83"/>
  <c r="O388" i="83"/>
  <c r="A389" i="83"/>
  <c r="N389" i="83"/>
  <c r="O389" i="83"/>
  <c r="A390" i="83"/>
  <c r="N390" i="83"/>
  <c r="O390" i="83"/>
  <c r="A391" i="83"/>
  <c r="N391" i="83"/>
  <c r="O391" i="83"/>
  <c r="A392" i="83"/>
  <c r="N392" i="83"/>
  <c r="O392" i="83"/>
  <c r="A393" i="83"/>
  <c r="N393" i="83"/>
  <c r="O393" i="83"/>
  <c r="A394" i="83"/>
  <c r="N394" i="83"/>
  <c r="O394" i="83"/>
  <c r="A395" i="83"/>
  <c r="N395" i="83"/>
  <c r="O395" i="83"/>
  <c r="A396" i="83"/>
  <c r="N396" i="83"/>
  <c r="O396" i="83"/>
  <c r="A397" i="83"/>
  <c r="N397" i="83"/>
  <c r="O397" i="83"/>
  <c r="A398" i="83"/>
  <c r="N398" i="83"/>
  <c r="O398" i="83"/>
  <c r="A399" i="83"/>
  <c r="N399" i="83"/>
  <c r="O399" i="83"/>
  <c r="A400" i="83"/>
  <c r="N400" i="83"/>
  <c r="O400" i="83"/>
  <c r="A401" i="83"/>
  <c r="N401" i="83"/>
  <c r="O401" i="83"/>
  <c r="A402" i="83"/>
  <c r="N402" i="83"/>
  <c r="O402" i="83"/>
  <c r="A403" i="83"/>
  <c r="N403" i="83"/>
  <c r="O403" i="83"/>
  <c r="E404" i="83"/>
  <c r="N404" i="83"/>
  <c r="A405" i="83"/>
  <c r="N405" i="83"/>
  <c r="O405" i="83"/>
  <c r="A406" i="83"/>
  <c r="N406" i="83"/>
  <c r="O406" i="83"/>
  <c r="A407" i="83"/>
  <c r="N407" i="83"/>
  <c r="O407" i="83"/>
  <c r="A408" i="83"/>
  <c r="N408" i="83"/>
  <c r="O408" i="83"/>
  <c r="A409" i="83"/>
  <c r="N409" i="83"/>
  <c r="O409" i="83"/>
  <c r="A410" i="83"/>
  <c r="N410" i="83"/>
  <c r="O410" i="83"/>
  <c r="A411" i="83"/>
  <c r="N411" i="83"/>
  <c r="O411" i="83"/>
  <c r="A412" i="83"/>
  <c r="N412" i="83"/>
  <c r="O412" i="83"/>
  <c r="A413" i="83"/>
  <c r="N413" i="83"/>
  <c r="O413" i="83"/>
  <c r="A414" i="83"/>
  <c r="N414" i="83"/>
  <c r="O414" i="83"/>
  <c r="A415" i="83"/>
  <c r="N415" i="83"/>
  <c r="O415" i="83"/>
  <c r="A416" i="83"/>
  <c r="N416" i="83"/>
  <c r="O416" i="83"/>
  <c r="A417" i="83"/>
  <c r="N417" i="83"/>
  <c r="O417" i="83"/>
  <c r="A418" i="83"/>
  <c r="N418" i="83"/>
  <c r="O418" i="83"/>
  <c r="A419" i="83"/>
  <c r="N419" i="83"/>
  <c r="O419" i="83"/>
  <c r="A420" i="83"/>
  <c r="N420" i="83"/>
  <c r="O420" i="83"/>
  <c r="A421" i="83"/>
  <c r="N421" i="83"/>
  <c r="O421" i="83"/>
  <c r="A422" i="83"/>
  <c r="N422" i="83"/>
  <c r="O422" i="83"/>
  <c r="A423" i="83"/>
  <c r="N423" i="83"/>
  <c r="O423" i="83"/>
  <c r="A424" i="83"/>
  <c r="N424" i="83"/>
  <c r="O424" i="83"/>
  <c r="E425" i="83"/>
  <c r="N425" i="83"/>
  <c r="A426" i="83"/>
  <c r="N426" i="83"/>
  <c r="O426" i="83"/>
  <c r="A427" i="83"/>
  <c r="N427" i="83"/>
  <c r="O427" i="83"/>
  <c r="A428" i="83"/>
  <c r="N428" i="83"/>
  <c r="O428" i="83"/>
  <c r="A429" i="83"/>
  <c r="N429" i="83"/>
  <c r="O429" i="83"/>
  <c r="A430" i="83"/>
  <c r="N430" i="83"/>
  <c r="O430" i="83"/>
  <c r="A431" i="83"/>
  <c r="N431" i="83"/>
  <c r="O431" i="83"/>
  <c r="A432" i="83"/>
  <c r="N432" i="83"/>
  <c r="O432" i="83"/>
  <c r="A433" i="83"/>
  <c r="N433" i="83"/>
  <c r="O433" i="83"/>
  <c r="A434" i="83"/>
  <c r="N434" i="83"/>
  <c r="O434" i="83"/>
  <c r="A435" i="83"/>
  <c r="N435" i="83"/>
  <c r="O435" i="83"/>
  <c r="A436" i="83"/>
  <c r="N436" i="83"/>
  <c r="O436" i="83"/>
  <c r="A437" i="83"/>
  <c r="N437" i="83"/>
  <c r="O437" i="83"/>
  <c r="A438" i="83"/>
  <c r="N438" i="83"/>
  <c r="O438" i="83"/>
  <c r="A439" i="83"/>
  <c r="N439" i="83"/>
  <c r="O439" i="83"/>
  <c r="A440" i="83"/>
  <c r="N440" i="83"/>
  <c r="O440" i="83"/>
  <c r="A441" i="83"/>
  <c r="N441" i="83"/>
  <c r="O441" i="83"/>
  <c r="A442" i="83"/>
  <c r="N442" i="83"/>
  <c r="O442" i="83"/>
  <c r="A443" i="83"/>
  <c r="N443" i="83"/>
  <c r="O443" i="83"/>
  <c r="A444" i="83"/>
  <c r="N444" i="83"/>
  <c r="O444" i="83"/>
  <c r="A445" i="83"/>
  <c r="N445" i="83"/>
  <c r="O445" i="83"/>
  <c r="E446" i="83"/>
  <c r="N446" i="83"/>
  <c r="A447" i="83"/>
  <c r="N447" i="83"/>
  <c r="O447" i="83"/>
  <c r="A448" i="83"/>
  <c r="N448" i="83"/>
  <c r="O448" i="83"/>
  <c r="A449" i="83"/>
  <c r="N449" i="83"/>
  <c r="O449" i="83"/>
  <c r="A450" i="83"/>
  <c r="N450" i="83"/>
  <c r="O450" i="83"/>
  <c r="A451" i="83"/>
  <c r="N451" i="83"/>
  <c r="O451" i="83"/>
  <c r="A452" i="83"/>
  <c r="N452" i="83"/>
  <c r="O452" i="83"/>
  <c r="A453" i="83"/>
  <c r="N453" i="83"/>
  <c r="O453" i="83"/>
  <c r="A454" i="83"/>
  <c r="N454" i="83"/>
  <c r="O454" i="83"/>
  <c r="A455" i="83"/>
  <c r="N455" i="83"/>
  <c r="O455" i="83"/>
  <c r="A456" i="83"/>
  <c r="N456" i="83"/>
  <c r="O456" i="83"/>
  <c r="A457" i="83"/>
  <c r="N457" i="83"/>
  <c r="O457" i="83"/>
  <c r="A458" i="83"/>
  <c r="N458" i="83"/>
  <c r="O458" i="83"/>
  <c r="A459" i="83"/>
  <c r="N459" i="83"/>
  <c r="O459" i="83"/>
  <c r="A460" i="83"/>
  <c r="N460" i="83"/>
  <c r="O460" i="83"/>
  <c r="A461" i="83"/>
  <c r="N461" i="83"/>
  <c r="O461" i="83"/>
  <c r="A462" i="83"/>
  <c r="N462" i="83"/>
  <c r="O462" i="83"/>
  <c r="A463" i="83"/>
  <c r="N463" i="83"/>
  <c r="O463" i="83"/>
  <c r="A464" i="83"/>
  <c r="N464" i="83"/>
  <c r="O464" i="83"/>
  <c r="A465" i="83"/>
  <c r="N465" i="83"/>
  <c r="O465" i="83"/>
  <c r="A466" i="83"/>
  <c r="N466" i="83"/>
  <c r="O466" i="83"/>
  <c r="E467" i="83"/>
  <c r="N467" i="83"/>
  <c r="A468" i="83"/>
  <c r="N468" i="83"/>
  <c r="O468" i="83"/>
  <c r="A469" i="83"/>
  <c r="N469" i="83"/>
  <c r="O469" i="83"/>
  <c r="A470" i="83"/>
  <c r="N470" i="83"/>
  <c r="O470" i="83"/>
  <c r="A471" i="83"/>
  <c r="N471" i="83"/>
  <c r="O471" i="83"/>
  <c r="A472" i="83"/>
  <c r="N472" i="83"/>
  <c r="O472" i="83"/>
  <c r="A473" i="83"/>
  <c r="N473" i="83"/>
  <c r="O473" i="83"/>
  <c r="A474" i="83"/>
  <c r="N474" i="83"/>
  <c r="O474" i="83"/>
  <c r="A475" i="83"/>
  <c r="N475" i="83"/>
  <c r="O475" i="83"/>
  <c r="A476" i="83"/>
  <c r="N476" i="83"/>
  <c r="O476" i="83"/>
  <c r="A477" i="83"/>
  <c r="N477" i="83"/>
  <c r="O477" i="83"/>
  <c r="A478" i="83"/>
  <c r="N478" i="83"/>
  <c r="O478" i="83"/>
  <c r="A479" i="83"/>
  <c r="N479" i="83"/>
  <c r="O479" i="83"/>
  <c r="A480" i="83"/>
  <c r="N480" i="83"/>
  <c r="O480" i="83"/>
  <c r="A481" i="83"/>
  <c r="N481" i="83"/>
  <c r="O481" i="83"/>
  <c r="A482" i="83"/>
  <c r="N482" i="83"/>
  <c r="O482" i="83"/>
  <c r="A483" i="83"/>
  <c r="N483" i="83"/>
  <c r="O483" i="83"/>
  <c r="A484" i="83"/>
  <c r="N484" i="83"/>
  <c r="O484" i="83"/>
  <c r="A485" i="83"/>
  <c r="N485" i="83"/>
  <c r="O485" i="83"/>
  <c r="A486" i="83"/>
  <c r="N486" i="83"/>
  <c r="O486" i="83"/>
  <c r="A487" i="83"/>
  <c r="N487" i="83"/>
  <c r="O487" i="83"/>
  <c r="E488" i="83"/>
  <c r="N488" i="83"/>
  <c r="A489" i="83"/>
  <c r="N489" i="83"/>
  <c r="O489" i="83"/>
  <c r="A490" i="83"/>
  <c r="N490" i="83"/>
  <c r="O490" i="83"/>
  <c r="A491" i="83"/>
  <c r="N491" i="83"/>
  <c r="O491" i="83"/>
  <c r="A492" i="83"/>
  <c r="N492" i="83"/>
  <c r="O492" i="83"/>
  <c r="A493" i="83"/>
  <c r="N493" i="83"/>
  <c r="O493" i="83"/>
  <c r="A494" i="83"/>
  <c r="N494" i="83"/>
  <c r="O494" i="83"/>
  <c r="A495" i="83"/>
  <c r="N495" i="83"/>
  <c r="O495" i="83"/>
  <c r="A496" i="83"/>
  <c r="N496" i="83"/>
  <c r="O496" i="83"/>
  <c r="A497" i="83"/>
  <c r="N497" i="83"/>
  <c r="O497" i="83"/>
  <c r="A498" i="83"/>
  <c r="N498" i="83"/>
  <c r="O498" i="83"/>
  <c r="A499" i="83"/>
  <c r="N499" i="83"/>
  <c r="O499" i="83"/>
  <c r="A500" i="83"/>
  <c r="N500" i="83"/>
  <c r="O500" i="83"/>
  <c r="A501" i="83"/>
  <c r="N501" i="83"/>
  <c r="O501" i="83"/>
  <c r="A502" i="83"/>
  <c r="N502" i="83"/>
  <c r="O502" i="83"/>
  <c r="A503" i="83"/>
  <c r="N503" i="83"/>
  <c r="O503" i="83"/>
  <c r="A504" i="83"/>
  <c r="N504" i="83"/>
  <c r="O504" i="83"/>
  <c r="A505" i="83"/>
  <c r="N505" i="83"/>
  <c r="O505" i="83"/>
  <c r="A506" i="83"/>
  <c r="N506" i="83"/>
  <c r="O506" i="83"/>
  <c r="A507" i="83"/>
  <c r="N507" i="83"/>
  <c r="O507" i="83"/>
  <c r="A508" i="83"/>
  <c r="N508" i="83"/>
  <c r="O508" i="83"/>
  <c r="E509" i="83"/>
  <c r="N509" i="83"/>
  <c r="A510" i="83"/>
  <c r="N510" i="83"/>
  <c r="O510" i="83"/>
  <c r="A511" i="83"/>
  <c r="N511" i="83"/>
  <c r="O511" i="83"/>
  <c r="A512" i="83"/>
  <c r="N512" i="83"/>
  <c r="O512" i="83"/>
  <c r="A513" i="83"/>
  <c r="N513" i="83"/>
  <c r="O513" i="83"/>
  <c r="A514" i="83"/>
  <c r="N514" i="83"/>
  <c r="O514" i="83"/>
  <c r="A515" i="83"/>
  <c r="N515" i="83"/>
  <c r="O515" i="83"/>
  <c r="A516" i="83"/>
  <c r="N516" i="83"/>
  <c r="O516" i="83"/>
  <c r="A517" i="83"/>
  <c r="N517" i="83"/>
  <c r="O517" i="83"/>
  <c r="A518" i="83"/>
  <c r="N518" i="83"/>
  <c r="O518" i="83"/>
  <c r="A519" i="83"/>
  <c r="N519" i="83"/>
  <c r="O519" i="83"/>
  <c r="A520" i="83"/>
  <c r="N520" i="83"/>
  <c r="O520" i="83"/>
  <c r="A521" i="83"/>
  <c r="N521" i="83"/>
  <c r="O521" i="83"/>
  <c r="A522" i="83"/>
  <c r="N522" i="83"/>
  <c r="O522" i="83"/>
  <c r="A523" i="83"/>
  <c r="N523" i="83"/>
  <c r="O523" i="83"/>
  <c r="A524" i="83"/>
  <c r="N524" i="83"/>
  <c r="O524" i="83"/>
  <c r="A525" i="83"/>
  <c r="N525" i="83"/>
  <c r="O525" i="83"/>
  <c r="A526" i="83"/>
  <c r="N526" i="83"/>
  <c r="O526" i="83"/>
  <c r="A527" i="83"/>
  <c r="N527" i="83"/>
  <c r="O527" i="83"/>
  <c r="A528" i="83"/>
  <c r="N528" i="83"/>
  <c r="O528" i="83"/>
  <c r="A529" i="83"/>
  <c r="N529" i="83"/>
  <c r="O529" i="83"/>
  <c r="E530" i="83"/>
  <c r="N530" i="83"/>
  <c r="N6" i="84"/>
  <c r="O6" i="84"/>
  <c r="N7" i="84"/>
  <c r="O7" i="84"/>
  <c r="N8" i="84"/>
  <c r="O8" i="84"/>
  <c r="N9" i="84"/>
  <c r="O9" i="84"/>
  <c r="N10" i="84"/>
  <c r="O10" i="84"/>
  <c r="N11" i="84"/>
  <c r="O11" i="84"/>
  <c r="N12" i="84"/>
  <c r="O12" i="84"/>
  <c r="N13" i="84"/>
  <c r="O13" i="84"/>
  <c r="N14" i="84"/>
  <c r="O14" i="84"/>
  <c r="N15" i="84"/>
  <c r="O15" i="84"/>
  <c r="N16" i="84"/>
  <c r="O16" i="84"/>
  <c r="N17" i="84"/>
  <c r="O17" i="84"/>
  <c r="N18" i="84"/>
  <c r="O18" i="84"/>
  <c r="N19" i="84"/>
  <c r="O19" i="84"/>
  <c r="N20" i="84"/>
  <c r="O20" i="84"/>
  <c r="N21" i="84"/>
  <c r="O21" i="84"/>
  <c r="N22" i="84"/>
  <c r="O22" i="84"/>
  <c r="N23" i="84"/>
  <c r="O23" i="84"/>
  <c r="N24" i="84"/>
  <c r="O24" i="84"/>
  <c r="N25" i="84"/>
  <c r="O25" i="84"/>
  <c r="E26" i="84"/>
  <c r="N26" i="84"/>
  <c r="N27" i="84"/>
  <c r="O27" i="84"/>
  <c r="N28" i="84"/>
  <c r="O28" i="84"/>
  <c r="N29" i="84"/>
  <c r="O29" i="84"/>
  <c r="N30" i="84"/>
  <c r="O30" i="84"/>
  <c r="N31" i="84"/>
  <c r="O31" i="84"/>
  <c r="N32" i="84"/>
  <c r="O32" i="84"/>
  <c r="N33" i="84"/>
  <c r="O33" i="84"/>
  <c r="N34" i="84"/>
  <c r="O34" i="84"/>
  <c r="N35" i="84"/>
  <c r="O35" i="84"/>
  <c r="N36" i="84"/>
  <c r="O36" i="84"/>
  <c r="N37" i="84"/>
  <c r="O37" i="84"/>
  <c r="N38" i="84"/>
  <c r="O38" i="84"/>
  <c r="N39" i="84"/>
  <c r="O39" i="84"/>
  <c r="N40" i="84"/>
  <c r="O40" i="84"/>
  <c r="N41" i="84"/>
  <c r="O41" i="84"/>
  <c r="N42" i="84"/>
  <c r="O42" i="84"/>
  <c r="N43" i="84"/>
  <c r="O43" i="84"/>
  <c r="N44" i="84"/>
  <c r="O44" i="84"/>
  <c r="N45" i="84"/>
  <c r="O45" i="84"/>
  <c r="N46" i="84"/>
  <c r="O46" i="84"/>
  <c r="E47" i="84"/>
  <c r="N47" i="84"/>
  <c r="N48" i="84"/>
  <c r="O48" i="84"/>
  <c r="N49" i="84"/>
  <c r="O49" i="84"/>
  <c r="N50" i="84"/>
  <c r="O50" i="84"/>
  <c r="N51" i="84"/>
  <c r="O51" i="84"/>
  <c r="N52" i="84"/>
  <c r="O52" i="84"/>
  <c r="N53" i="84"/>
  <c r="O53" i="84"/>
  <c r="N54" i="84"/>
  <c r="O54" i="84"/>
  <c r="N55" i="84"/>
  <c r="O55" i="84"/>
  <c r="N56" i="84"/>
  <c r="O56" i="84"/>
  <c r="N57" i="84"/>
  <c r="O57" i="84"/>
  <c r="N58" i="84"/>
  <c r="O58" i="84"/>
  <c r="N59" i="84"/>
  <c r="O59" i="84"/>
  <c r="N60" i="84"/>
  <c r="O60" i="84"/>
  <c r="N61" i="84"/>
  <c r="O61" i="84"/>
  <c r="N62" i="84"/>
  <c r="O62" i="84"/>
  <c r="N63" i="84"/>
  <c r="O63" i="84"/>
  <c r="N64" i="84"/>
  <c r="O64" i="84"/>
  <c r="N65" i="84"/>
  <c r="O65" i="84"/>
  <c r="N66" i="84"/>
  <c r="O66" i="84"/>
  <c r="N67" i="84"/>
  <c r="O67" i="84"/>
  <c r="E68" i="84"/>
  <c r="N68" i="84"/>
  <c r="N69" i="84"/>
  <c r="O69" i="84"/>
  <c r="N70" i="84"/>
  <c r="O70" i="84"/>
  <c r="N71" i="84"/>
  <c r="O71" i="84"/>
  <c r="N72" i="84"/>
  <c r="O72" i="84"/>
  <c r="N73" i="84"/>
  <c r="O73" i="84"/>
  <c r="N74" i="84"/>
  <c r="O74" i="84"/>
  <c r="N75" i="84"/>
  <c r="O75" i="84"/>
  <c r="N76" i="84"/>
  <c r="O76" i="84"/>
  <c r="N77" i="84"/>
  <c r="O77" i="84"/>
  <c r="N78" i="84"/>
  <c r="O78" i="84"/>
  <c r="N79" i="84"/>
  <c r="O79" i="84"/>
  <c r="N80" i="84"/>
  <c r="O80" i="84"/>
  <c r="N81" i="84"/>
  <c r="O81" i="84"/>
  <c r="N82" i="84"/>
  <c r="O82" i="84"/>
  <c r="N83" i="84"/>
  <c r="O83" i="84"/>
  <c r="N84" i="84"/>
  <c r="O84" i="84"/>
  <c r="N85" i="84"/>
  <c r="O85" i="84"/>
  <c r="N86" i="84"/>
  <c r="O86" i="84"/>
  <c r="N87" i="84"/>
  <c r="O87" i="84"/>
  <c r="N88" i="84"/>
  <c r="O88" i="84"/>
  <c r="E89" i="84"/>
  <c r="N89" i="84"/>
  <c r="N90" i="84"/>
  <c r="O90" i="84"/>
  <c r="N91" i="84"/>
  <c r="O91" i="84"/>
  <c r="N92" i="84"/>
  <c r="O92" i="84"/>
  <c r="N93" i="84"/>
  <c r="O93" i="84"/>
  <c r="N94" i="84"/>
  <c r="O94" i="84"/>
  <c r="N95" i="84"/>
  <c r="O95" i="84"/>
  <c r="N96" i="84"/>
  <c r="O96" i="84"/>
  <c r="N97" i="84"/>
  <c r="O97" i="84"/>
  <c r="N98" i="84"/>
  <c r="O98" i="84"/>
  <c r="N99" i="84"/>
  <c r="O99" i="84"/>
  <c r="N100" i="84"/>
  <c r="O100" i="84"/>
  <c r="N101" i="84"/>
  <c r="O101" i="84"/>
  <c r="N102" i="84"/>
  <c r="O102" i="84"/>
  <c r="N103" i="84"/>
  <c r="O103" i="84"/>
  <c r="N104" i="84"/>
  <c r="O104" i="84"/>
  <c r="N105" i="84"/>
  <c r="O105" i="84"/>
  <c r="N106" i="84"/>
  <c r="O106" i="84"/>
  <c r="N107" i="84"/>
  <c r="O107" i="84"/>
  <c r="N108" i="84"/>
  <c r="O108" i="84"/>
  <c r="N109" i="84"/>
  <c r="O109" i="84"/>
  <c r="E110" i="84"/>
  <c r="N110" i="84"/>
  <c r="N111" i="84"/>
  <c r="O111" i="84"/>
  <c r="N112" i="84"/>
  <c r="O112" i="84"/>
  <c r="N113" i="84"/>
  <c r="O113" i="84"/>
  <c r="N114" i="84"/>
  <c r="O114" i="84"/>
  <c r="N115" i="84"/>
  <c r="O115" i="84"/>
  <c r="N116" i="84"/>
  <c r="O116" i="84"/>
  <c r="N117" i="84"/>
  <c r="O117" i="84"/>
  <c r="N118" i="84"/>
  <c r="O118" i="84"/>
  <c r="N119" i="84"/>
  <c r="O119" i="84"/>
  <c r="N120" i="84"/>
  <c r="O120" i="84"/>
  <c r="N121" i="84"/>
  <c r="O121" i="84"/>
  <c r="N122" i="84"/>
  <c r="O122" i="84"/>
  <c r="N123" i="84"/>
  <c r="O123" i="84"/>
  <c r="N124" i="84"/>
  <c r="O124" i="84"/>
  <c r="N125" i="84"/>
  <c r="O125" i="84"/>
  <c r="N126" i="84"/>
  <c r="O126" i="84"/>
  <c r="N127" i="84"/>
  <c r="O127" i="84"/>
  <c r="N128" i="84"/>
  <c r="O128" i="84"/>
  <c r="N129" i="84"/>
  <c r="O129" i="84"/>
  <c r="N130" i="84"/>
  <c r="O130" i="84"/>
  <c r="E131" i="84"/>
  <c r="N131" i="84"/>
  <c r="N132" i="84"/>
  <c r="O132" i="84"/>
  <c r="N133" i="84"/>
  <c r="O133" i="84"/>
  <c r="N134" i="84"/>
  <c r="O134" i="84"/>
  <c r="N135" i="84"/>
  <c r="O135" i="84"/>
  <c r="N136" i="84"/>
  <c r="O136" i="84"/>
  <c r="N137" i="84"/>
  <c r="O137" i="84"/>
  <c r="N138" i="84"/>
  <c r="O138" i="84"/>
  <c r="N139" i="84"/>
  <c r="O139" i="84"/>
  <c r="N140" i="84"/>
  <c r="O140" i="84"/>
  <c r="N141" i="84"/>
  <c r="O141" i="84"/>
  <c r="N142" i="84"/>
  <c r="O142" i="84"/>
  <c r="N143" i="84"/>
  <c r="O143" i="84"/>
  <c r="N144" i="84"/>
  <c r="O144" i="84"/>
  <c r="N145" i="84"/>
  <c r="O145" i="84"/>
  <c r="N146" i="84"/>
  <c r="O146" i="84"/>
  <c r="N147" i="84"/>
  <c r="O147" i="84"/>
  <c r="N148" i="84"/>
  <c r="O148" i="84"/>
  <c r="N149" i="84"/>
  <c r="O149" i="84"/>
  <c r="N150" i="84"/>
  <c r="O150" i="84"/>
  <c r="N151" i="84"/>
  <c r="O151" i="84"/>
  <c r="E152" i="84"/>
  <c r="N152" i="84"/>
  <c r="N153" i="84"/>
  <c r="O153" i="84"/>
  <c r="N154" i="84"/>
  <c r="O154" i="84"/>
  <c r="N155" i="84"/>
  <c r="O155" i="84"/>
  <c r="N156" i="84"/>
  <c r="O156" i="84"/>
  <c r="N157" i="84"/>
  <c r="O157" i="84"/>
  <c r="N158" i="84"/>
  <c r="O158" i="84"/>
  <c r="N159" i="84"/>
  <c r="O159" i="84"/>
  <c r="N160" i="84"/>
  <c r="O160" i="84"/>
  <c r="N161" i="84"/>
  <c r="O161" i="84"/>
  <c r="N162" i="84"/>
  <c r="O162" i="84"/>
  <c r="N163" i="84"/>
  <c r="O163" i="84"/>
  <c r="N164" i="84"/>
  <c r="O164" i="84"/>
  <c r="N165" i="84"/>
  <c r="O165" i="84"/>
  <c r="N166" i="84"/>
  <c r="O166" i="84"/>
  <c r="N167" i="84"/>
  <c r="O167" i="84"/>
  <c r="N168" i="84"/>
  <c r="O168" i="84"/>
  <c r="N169" i="84"/>
  <c r="O169" i="84"/>
  <c r="N170" i="84"/>
  <c r="O170" i="84"/>
  <c r="N171" i="84"/>
  <c r="O171" i="84"/>
  <c r="N172" i="84"/>
  <c r="O172" i="84"/>
  <c r="E173" i="84"/>
  <c r="N173" i="84"/>
  <c r="N174" i="84"/>
  <c r="O174" i="84"/>
  <c r="N175" i="84"/>
  <c r="O175" i="84"/>
  <c r="N176" i="84"/>
  <c r="O176" i="84"/>
  <c r="N177" i="84"/>
  <c r="O177" i="84"/>
  <c r="N178" i="84"/>
  <c r="O178" i="84"/>
  <c r="N179" i="84"/>
  <c r="O179" i="84"/>
  <c r="N180" i="84"/>
  <c r="O180" i="84"/>
  <c r="N181" i="84"/>
  <c r="O181" i="84"/>
  <c r="N182" i="84"/>
  <c r="O182" i="84"/>
  <c r="N183" i="84"/>
  <c r="O183" i="84"/>
  <c r="N184" i="84"/>
  <c r="O184" i="84"/>
  <c r="N185" i="84"/>
  <c r="O185" i="84"/>
  <c r="N186" i="84"/>
  <c r="O186" i="84"/>
  <c r="N187" i="84"/>
  <c r="O187" i="84"/>
  <c r="N188" i="84"/>
  <c r="O188" i="84"/>
  <c r="N189" i="84"/>
  <c r="O189" i="84"/>
  <c r="N190" i="84"/>
  <c r="O190" i="84"/>
  <c r="N191" i="84"/>
  <c r="O191" i="84"/>
  <c r="N192" i="84"/>
  <c r="O192" i="84"/>
  <c r="N193" i="84"/>
  <c r="O193" i="84"/>
  <c r="E194" i="84"/>
  <c r="N194" i="84"/>
  <c r="N195" i="84"/>
  <c r="O195" i="84"/>
  <c r="N196" i="84"/>
  <c r="O196" i="84"/>
  <c r="N197" i="84"/>
  <c r="O197" i="84"/>
  <c r="N198" i="84"/>
  <c r="O198" i="84"/>
  <c r="N199" i="84"/>
  <c r="O199" i="84"/>
  <c r="N200" i="84"/>
  <c r="O200" i="84"/>
  <c r="N201" i="84"/>
  <c r="O201" i="84"/>
  <c r="N202" i="84"/>
  <c r="O202" i="84"/>
  <c r="N203" i="84"/>
  <c r="O203" i="84"/>
  <c r="N204" i="84"/>
  <c r="O204" i="84"/>
  <c r="N205" i="84"/>
  <c r="O205" i="84"/>
  <c r="N206" i="84"/>
  <c r="O206" i="84"/>
  <c r="N207" i="84"/>
  <c r="O207" i="84"/>
  <c r="N208" i="84"/>
  <c r="O208" i="84"/>
  <c r="N209" i="84"/>
  <c r="O209" i="84"/>
  <c r="N210" i="84"/>
  <c r="O210" i="84"/>
  <c r="N211" i="84"/>
  <c r="O211" i="84"/>
  <c r="N212" i="84"/>
  <c r="O212" i="84"/>
  <c r="N213" i="84"/>
  <c r="O213" i="84"/>
  <c r="N214" i="84"/>
  <c r="O214" i="84"/>
  <c r="E215" i="84"/>
  <c r="N215" i="84"/>
  <c r="N216" i="84"/>
  <c r="O216" i="84"/>
  <c r="N217" i="84"/>
  <c r="O217" i="84"/>
  <c r="N218" i="84"/>
  <c r="O218" i="84"/>
  <c r="N219" i="84"/>
  <c r="O219" i="84"/>
  <c r="N220" i="84"/>
  <c r="O220" i="84"/>
  <c r="N221" i="84"/>
  <c r="O221" i="84"/>
  <c r="N222" i="84"/>
  <c r="O222" i="84"/>
  <c r="N223" i="84"/>
  <c r="O223" i="84"/>
  <c r="N224" i="84"/>
  <c r="O224" i="84"/>
  <c r="N225" i="84"/>
  <c r="O225" i="84"/>
  <c r="N226" i="84"/>
  <c r="O226" i="84"/>
  <c r="N227" i="84"/>
  <c r="O227" i="84"/>
  <c r="N228" i="84"/>
  <c r="O228" i="84"/>
  <c r="N229" i="84"/>
  <c r="O229" i="84"/>
  <c r="N230" i="84"/>
  <c r="O230" i="84"/>
  <c r="N231" i="84"/>
  <c r="O231" i="84"/>
  <c r="N232" i="84"/>
  <c r="O232" i="84"/>
  <c r="N233" i="84"/>
  <c r="O233" i="84"/>
  <c r="N234" i="84"/>
  <c r="O234" i="84"/>
  <c r="N235" i="84"/>
  <c r="O235" i="84"/>
  <c r="E236" i="84"/>
  <c r="N236" i="84"/>
  <c r="N237" i="84"/>
  <c r="O237" i="84"/>
  <c r="N238" i="84"/>
  <c r="O238" i="84"/>
  <c r="N239" i="84"/>
  <c r="O239" i="84"/>
  <c r="N240" i="84"/>
  <c r="O240" i="84"/>
  <c r="N241" i="84"/>
  <c r="O241" i="84"/>
  <c r="A242" i="84"/>
  <c r="N242" i="84"/>
  <c r="O242" i="84"/>
  <c r="A243" i="84"/>
  <c r="N243" i="84"/>
  <c r="O243" i="84"/>
  <c r="A244" i="84"/>
  <c r="N244" i="84"/>
  <c r="O244" i="84"/>
  <c r="A245" i="84"/>
  <c r="N245" i="84"/>
  <c r="O245" i="84"/>
  <c r="A246" i="84"/>
  <c r="N246" i="84"/>
  <c r="O246" i="84"/>
  <c r="A247" i="84"/>
  <c r="N247" i="84"/>
  <c r="O247" i="84"/>
  <c r="A248" i="84"/>
  <c r="N248" i="84"/>
  <c r="O248" i="84"/>
  <c r="A249" i="84"/>
  <c r="N249" i="84"/>
  <c r="O249" i="84"/>
  <c r="A250" i="84"/>
  <c r="N250" i="84"/>
  <c r="O250" i="84"/>
  <c r="A251" i="84"/>
  <c r="N251" i="84"/>
  <c r="O251" i="84"/>
  <c r="A252" i="84"/>
  <c r="N252" i="84"/>
  <c r="O252" i="84"/>
  <c r="A253" i="84"/>
  <c r="N253" i="84"/>
  <c r="O253" i="84"/>
  <c r="A254" i="84"/>
  <c r="N254" i="84"/>
  <c r="O254" i="84"/>
  <c r="A255" i="84"/>
  <c r="N255" i="84"/>
  <c r="O255" i="84"/>
  <c r="A256" i="84"/>
  <c r="N256" i="84"/>
  <c r="O256" i="84"/>
  <c r="E257" i="84"/>
  <c r="N257" i="84"/>
  <c r="A258" i="84"/>
  <c r="N258" i="84"/>
  <c r="O258" i="84"/>
  <c r="A259" i="84"/>
  <c r="N259" i="84"/>
  <c r="O259" i="84"/>
  <c r="A260" i="84"/>
  <c r="N260" i="84"/>
  <c r="O260" i="84"/>
  <c r="A261" i="84"/>
  <c r="N261" i="84"/>
  <c r="O261" i="84"/>
  <c r="A262" i="84"/>
  <c r="N262" i="84"/>
  <c r="O262" i="84"/>
  <c r="A263" i="84"/>
  <c r="N263" i="84"/>
  <c r="O263" i="84"/>
  <c r="A264" i="84"/>
  <c r="N264" i="84"/>
  <c r="O264" i="84"/>
  <c r="A265" i="84"/>
  <c r="N265" i="84"/>
  <c r="O265" i="84"/>
  <c r="A266" i="84"/>
  <c r="N266" i="84"/>
  <c r="O266" i="84"/>
  <c r="A267" i="84"/>
  <c r="N267" i="84"/>
  <c r="O267" i="84"/>
  <c r="A268" i="84"/>
  <c r="N268" i="84"/>
  <c r="O268" i="84"/>
  <c r="A269" i="84"/>
  <c r="N269" i="84"/>
  <c r="O269" i="84"/>
  <c r="A270" i="84"/>
  <c r="N270" i="84"/>
  <c r="O270" i="84"/>
  <c r="A271" i="84"/>
  <c r="N271" i="84"/>
  <c r="O271" i="84"/>
  <c r="A272" i="84"/>
  <c r="N272" i="84"/>
  <c r="O272" i="84"/>
  <c r="A273" i="84"/>
  <c r="N273" i="84"/>
  <c r="O273" i="84"/>
  <c r="A274" i="84"/>
  <c r="N274" i="84"/>
  <c r="O274" i="84"/>
  <c r="A275" i="84"/>
  <c r="N275" i="84"/>
  <c r="O275" i="84"/>
  <c r="A276" i="84"/>
  <c r="N276" i="84"/>
  <c r="O276" i="84"/>
  <c r="A277" i="84"/>
  <c r="N277" i="84"/>
  <c r="O277" i="84"/>
  <c r="E278" i="84"/>
  <c r="N278" i="84"/>
  <c r="A279" i="84"/>
  <c r="N279" i="84"/>
  <c r="O279" i="84"/>
  <c r="A280" i="84"/>
  <c r="N280" i="84"/>
  <c r="O280" i="84"/>
  <c r="A281" i="84"/>
  <c r="N281" i="84"/>
  <c r="O281" i="84"/>
  <c r="A282" i="84"/>
  <c r="N282" i="84"/>
  <c r="O282" i="84"/>
  <c r="A283" i="84"/>
  <c r="N283" i="84"/>
  <c r="O283" i="84"/>
  <c r="A284" i="84"/>
  <c r="N284" i="84"/>
  <c r="O284" i="84"/>
  <c r="A285" i="84"/>
  <c r="N285" i="84"/>
  <c r="O285" i="84"/>
  <c r="A286" i="84"/>
  <c r="N286" i="84"/>
  <c r="O286" i="84"/>
  <c r="A287" i="84"/>
  <c r="N287" i="84"/>
  <c r="O287" i="84"/>
  <c r="A288" i="84"/>
  <c r="N288" i="84"/>
  <c r="O288" i="84"/>
  <c r="A289" i="84"/>
  <c r="N289" i="84"/>
  <c r="O289" i="84"/>
  <c r="A290" i="84"/>
  <c r="N290" i="84"/>
  <c r="O290" i="84"/>
  <c r="A291" i="84"/>
  <c r="N291" i="84"/>
  <c r="O291" i="84"/>
  <c r="A292" i="84"/>
  <c r="N292" i="84"/>
  <c r="O292" i="84"/>
  <c r="A293" i="84"/>
  <c r="N293" i="84"/>
  <c r="O293" i="84"/>
  <c r="A294" i="84"/>
  <c r="N294" i="84"/>
  <c r="O294" i="84"/>
  <c r="A295" i="84"/>
  <c r="N295" i="84"/>
  <c r="O295" i="84"/>
  <c r="A296" i="84"/>
  <c r="N296" i="84"/>
  <c r="O296" i="84"/>
  <c r="A297" i="84"/>
  <c r="N297" i="84"/>
  <c r="O297" i="84"/>
  <c r="A298" i="84"/>
  <c r="N298" i="84"/>
  <c r="O298" i="84"/>
  <c r="E299" i="84"/>
  <c r="N299" i="84"/>
  <c r="A300" i="84"/>
  <c r="N300" i="84"/>
  <c r="O300" i="84"/>
  <c r="A301" i="84"/>
  <c r="N301" i="84"/>
  <c r="O301" i="84"/>
  <c r="A302" i="84"/>
  <c r="N302" i="84"/>
  <c r="O302" i="84"/>
  <c r="A303" i="84"/>
  <c r="N303" i="84"/>
  <c r="O303" i="84"/>
  <c r="A304" i="84"/>
  <c r="N304" i="84"/>
  <c r="O304" i="84"/>
  <c r="A305" i="84"/>
  <c r="N305" i="84"/>
  <c r="O305" i="84"/>
  <c r="A306" i="84"/>
  <c r="N306" i="84"/>
  <c r="O306" i="84"/>
  <c r="A307" i="84"/>
  <c r="N307" i="84"/>
  <c r="O307" i="84"/>
  <c r="A308" i="84"/>
  <c r="N308" i="84"/>
  <c r="O308" i="84"/>
  <c r="A309" i="84"/>
  <c r="N309" i="84"/>
  <c r="O309" i="84"/>
  <c r="A310" i="84"/>
  <c r="N310" i="84"/>
  <c r="O310" i="84"/>
  <c r="A311" i="84"/>
  <c r="N311" i="84"/>
  <c r="O311" i="84"/>
  <c r="A312" i="84"/>
  <c r="N312" i="84"/>
  <c r="O312" i="84"/>
  <c r="A313" i="84"/>
  <c r="N313" i="84"/>
  <c r="O313" i="84"/>
  <c r="A314" i="84"/>
  <c r="N314" i="84"/>
  <c r="O314" i="84"/>
  <c r="A315" i="84"/>
  <c r="N315" i="84"/>
  <c r="O315" i="84"/>
  <c r="A316" i="84"/>
  <c r="N316" i="84"/>
  <c r="O316" i="84"/>
  <c r="A317" i="84"/>
  <c r="N317" i="84"/>
  <c r="O317" i="84"/>
  <c r="A318" i="84"/>
  <c r="N318" i="84"/>
  <c r="O318" i="84"/>
  <c r="A319" i="84"/>
  <c r="N319" i="84"/>
  <c r="O319" i="84"/>
  <c r="E320" i="84"/>
  <c r="N320" i="84"/>
  <c r="A321" i="84"/>
  <c r="N321" i="84"/>
  <c r="O321" i="84"/>
  <c r="A322" i="84"/>
  <c r="N322" i="84"/>
  <c r="O322" i="84"/>
  <c r="A323" i="84"/>
  <c r="N323" i="84"/>
  <c r="O323" i="84"/>
  <c r="A324" i="84"/>
  <c r="N324" i="84"/>
  <c r="O324" i="84"/>
  <c r="A325" i="84"/>
  <c r="N325" i="84"/>
  <c r="O325" i="84"/>
  <c r="A326" i="84"/>
  <c r="N326" i="84"/>
  <c r="O326" i="84"/>
  <c r="A327" i="84"/>
  <c r="N327" i="84"/>
  <c r="O327" i="84"/>
  <c r="A328" i="84"/>
  <c r="N328" i="84"/>
  <c r="O328" i="84"/>
  <c r="A329" i="84"/>
  <c r="N329" i="84"/>
  <c r="O329" i="84"/>
  <c r="A330" i="84"/>
  <c r="N330" i="84"/>
  <c r="O330" i="84"/>
  <c r="A331" i="84"/>
  <c r="N331" i="84"/>
  <c r="O331" i="84"/>
  <c r="A332" i="84"/>
  <c r="N332" i="84"/>
  <c r="O332" i="84"/>
  <c r="A333" i="84"/>
  <c r="N333" i="84"/>
  <c r="O333" i="84"/>
  <c r="A334" i="84"/>
  <c r="N334" i="84"/>
  <c r="O334" i="84"/>
  <c r="A335" i="84"/>
  <c r="N335" i="84"/>
  <c r="O335" i="84"/>
  <c r="A336" i="84"/>
  <c r="N336" i="84"/>
  <c r="O336" i="84"/>
  <c r="A337" i="84"/>
  <c r="N337" i="84"/>
  <c r="O337" i="84"/>
  <c r="A338" i="84"/>
  <c r="N338" i="84"/>
  <c r="O338" i="84"/>
  <c r="A339" i="84"/>
  <c r="N339" i="84"/>
  <c r="O339" i="84"/>
  <c r="A340" i="84"/>
  <c r="N340" i="84"/>
  <c r="O340" i="84"/>
  <c r="E341" i="84"/>
  <c r="N341" i="84"/>
  <c r="A342" i="84"/>
  <c r="N342" i="84"/>
  <c r="O342" i="84"/>
  <c r="A343" i="84"/>
  <c r="N343" i="84"/>
  <c r="O343" i="84"/>
  <c r="A344" i="84"/>
  <c r="N344" i="84"/>
  <c r="O344" i="84"/>
  <c r="A345" i="84"/>
  <c r="N345" i="84"/>
  <c r="O345" i="84"/>
  <c r="A346" i="84"/>
  <c r="N346" i="84"/>
  <c r="O346" i="84"/>
  <c r="A347" i="84"/>
  <c r="N347" i="84"/>
  <c r="O347" i="84"/>
  <c r="A348" i="84"/>
  <c r="N348" i="84"/>
  <c r="O348" i="84"/>
  <c r="A349" i="84"/>
  <c r="N349" i="84"/>
  <c r="O349" i="84"/>
  <c r="A350" i="84"/>
  <c r="N350" i="84"/>
  <c r="O350" i="84"/>
  <c r="A351" i="84"/>
  <c r="N351" i="84"/>
  <c r="O351" i="84"/>
  <c r="A352" i="84"/>
  <c r="N352" i="84"/>
  <c r="O352" i="84"/>
  <c r="A353" i="84"/>
  <c r="N353" i="84"/>
  <c r="O353" i="84"/>
  <c r="A354" i="84"/>
  <c r="N354" i="84"/>
  <c r="O354" i="84"/>
  <c r="A355" i="84"/>
  <c r="N355" i="84"/>
  <c r="O355" i="84"/>
  <c r="A356" i="84"/>
  <c r="N356" i="84"/>
  <c r="O356" i="84"/>
  <c r="A357" i="84"/>
  <c r="N357" i="84"/>
  <c r="O357" i="84"/>
  <c r="A358" i="84"/>
  <c r="N358" i="84"/>
  <c r="O358" i="84"/>
  <c r="A359" i="84"/>
  <c r="N359" i="84"/>
  <c r="O359" i="84"/>
  <c r="A360" i="84"/>
  <c r="N360" i="84"/>
  <c r="O360" i="84"/>
  <c r="A361" i="84"/>
  <c r="N361" i="84"/>
  <c r="O361" i="84"/>
  <c r="E362" i="84"/>
  <c r="N362" i="84"/>
  <c r="A363" i="84"/>
  <c r="N363" i="84"/>
  <c r="O363" i="84"/>
  <c r="A364" i="84"/>
  <c r="N364" i="84"/>
  <c r="O364" i="84"/>
  <c r="A365" i="84"/>
  <c r="N365" i="84"/>
  <c r="O365" i="84"/>
  <c r="A366" i="84"/>
  <c r="N366" i="84"/>
  <c r="O366" i="84"/>
  <c r="A367" i="84"/>
  <c r="N367" i="84"/>
  <c r="O367" i="84"/>
  <c r="A368" i="84"/>
  <c r="N368" i="84"/>
  <c r="O368" i="84"/>
  <c r="A369" i="84"/>
  <c r="N369" i="84"/>
  <c r="O369" i="84"/>
  <c r="A370" i="84"/>
  <c r="N370" i="84"/>
  <c r="O370" i="84"/>
  <c r="A371" i="84"/>
  <c r="N371" i="84"/>
  <c r="O371" i="84"/>
  <c r="A372" i="84"/>
  <c r="N372" i="84"/>
  <c r="O372" i="84"/>
  <c r="A373" i="84"/>
  <c r="N373" i="84"/>
  <c r="O373" i="84"/>
  <c r="A374" i="84"/>
  <c r="N374" i="84"/>
  <c r="O374" i="84"/>
  <c r="A375" i="84"/>
  <c r="N375" i="84"/>
  <c r="O375" i="84"/>
  <c r="A376" i="84"/>
  <c r="N376" i="84"/>
  <c r="O376" i="84"/>
  <c r="A377" i="84"/>
  <c r="N377" i="84"/>
  <c r="O377" i="84"/>
  <c r="A378" i="84"/>
  <c r="N378" i="84"/>
  <c r="O378" i="84"/>
  <c r="A379" i="84"/>
  <c r="N379" i="84"/>
  <c r="O379" i="84"/>
  <c r="A380" i="84"/>
  <c r="N380" i="84"/>
  <c r="O380" i="84"/>
  <c r="A381" i="84"/>
  <c r="N381" i="84"/>
  <c r="O381" i="84"/>
  <c r="A382" i="84"/>
  <c r="N382" i="84"/>
  <c r="O382" i="84"/>
  <c r="E383" i="84"/>
  <c r="N383" i="84"/>
  <c r="A384" i="84"/>
  <c r="N384" i="84"/>
  <c r="O384" i="84"/>
  <c r="A385" i="84"/>
  <c r="N385" i="84"/>
  <c r="O385" i="84"/>
  <c r="A386" i="84"/>
  <c r="N386" i="84"/>
  <c r="O386" i="84"/>
  <c r="A387" i="84"/>
  <c r="N387" i="84"/>
  <c r="O387" i="84"/>
  <c r="A388" i="84"/>
  <c r="N388" i="84"/>
  <c r="O388" i="84"/>
  <c r="A389" i="84"/>
  <c r="N389" i="84"/>
  <c r="O389" i="84"/>
  <c r="A390" i="84"/>
  <c r="N390" i="84"/>
  <c r="O390" i="84"/>
  <c r="A391" i="84"/>
  <c r="N391" i="84"/>
  <c r="O391" i="84"/>
  <c r="A392" i="84"/>
  <c r="N392" i="84"/>
  <c r="O392" i="84"/>
  <c r="A393" i="84"/>
  <c r="N393" i="84"/>
  <c r="O393" i="84"/>
  <c r="A394" i="84"/>
  <c r="N394" i="84"/>
  <c r="O394" i="84"/>
  <c r="A395" i="84"/>
  <c r="N395" i="84"/>
  <c r="O395" i="84"/>
  <c r="A396" i="84"/>
  <c r="N396" i="84"/>
  <c r="O396" i="84"/>
  <c r="A397" i="84"/>
  <c r="N397" i="84"/>
  <c r="O397" i="84"/>
  <c r="A398" i="84"/>
  <c r="N398" i="84"/>
  <c r="O398" i="84"/>
  <c r="A399" i="84"/>
  <c r="N399" i="84"/>
  <c r="O399" i="84"/>
  <c r="A400" i="84"/>
  <c r="N400" i="84"/>
  <c r="O400" i="84"/>
  <c r="A401" i="84"/>
  <c r="N401" i="84"/>
  <c r="O401" i="84"/>
  <c r="A402" i="84"/>
  <c r="N402" i="84"/>
  <c r="O402" i="84"/>
  <c r="A403" i="84"/>
  <c r="N403" i="84"/>
  <c r="O403" i="84"/>
  <c r="E404" i="84"/>
  <c r="N404" i="84"/>
  <c r="A405" i="84"/>
  <c r="N405" i="84"/>
  <c r="O405" i="84"/>
  <c r="A406" i="84"/>
  <c r="N406" i="84"/>
  <c r="O406" i="84"/>
  <c r="A407" i="84"/>
  <c r="N407" i="84"/>
  <c r="O407" i="84"/>
  <c r="A408" i="84"/>
  <c r="N408" i="84"/>
  <c r="O408" i="84"/>
  <c r="A409" i="84"/>
  <c r="N409" i="84"/>
  <c r="O409" i="84"/>
  <c r="A410" i="84"/>
  <c r="N410" i="84"/>
  <c r="O410" i="84"/>
  <c r="A411" i="84"/>
  <c r="N411" i="84"/>
  <c r="O411" i="84"/>
  <c r="A412" i="84"/>
  <c r="N412" i="84"/>
  <c r="O412" i="84"/>
  <c r="A413" i="84"/>
  <c r="N413" i="84"/>
  <c r="O413" i="84"/>
  <c r="A414" i="84"/>
  <c r="N414" i="84"/>
  <c r="O414" i="84"/>
  <c r="A415" i="84"/>
  <c r="N415" i="84"/>
  <c r="O415" i="84"/>
  <c r="A416" i="84"/>
  <c r="N416" i="84"/>
  <c r="O416" i="84"/>
  <c r="A417" i="84"/>
  <c r="N417" i="84"/>
  <c r="O417" i="84"/>
  <c r="A418" i="84"/>
  <c r="N418" i="84"/>
  <c r="O418" i="84"/>
  <c r="A419" i="84"/>
  <c r="N419" i="84"/>
  <c r="O419" i="84"/>
  <c r="A420" i="84"/>
  <c r="N420" i="84"/>
  <c r="O420" i="84"/>
  <c r="A421" i="84"/>
  <c r="N421" i="84"/>
  <c r="O421" i="84"/>
  <c r="A422" i="84"/>
  <c r="N422" i="84"/>
  <c r="O422" i="84"/>
  <c r="A423" i="84"/>
  <c r="N423" i="84"/>
  <c r="O423" i="84"/>
  <c r="A424" i="84"/>
  <c r="N424" i="84"/>
  <c r="O424" i="84"/>
  <c r="E425" i="84"/>
  <c r="N425" i="84"/>
  <c r="A426" i="84"/>
  <c r="N426" i="84"/>
  <c r="O426" i="84"/>
  <c r="A427" i="84"/>
  <c r="N427" i="84"/>
  <c r="O427" i="84"/>
  <c r="A428" i="84"/>
  <c r="N428" i="84"/>
  <c r="O428" i="84"/>
  <c r="A429" i="84"/>
  <c r="N429" i="84"/>
  <c r="O429" i="84"/>
  <c r="A430" i="84"/>
  <c r="N430" i="84"/>
  <c r="O430" i="84"/>
  <c r="A431" i="84"/>
  <c r="N431" i="84"/>
  <c r="O431" i="84"/>
  <c r="A432" i="84"/>
  <c r="N432" i="84"/>
  <c r="O432" i="84"/>
  <c r="A433" i="84"/>
  <c r="N433" i="84"/>
  <c r="O433" i="84"/>
  <c r="A434" i="84"/>
  <c r="N434" i="84"/>
  <c r="O434" i="84"/>
  <c r="A435" i="84"/>
  <c r="N435" i="84"/>
  <c r="O435" i="84"/>
  <c r="A436" i="84"/>
  <c r="N436" i="84"/>
  <c r="O436" i="84"/>
  <c r="A437" i="84"/>
  <c r="N437" i="84"/>
  <c r="O437" i="84"/>
  <c r="A438" i="84"/>
  <c r="N438" i="84"/>
  <c r="O438" i="84"/>
  <c r="A439" i="84"/>
  <c r="N439" i="84"/>
  <c r="O439" i="84"/>
  <c r="A440" i="84"/>
  <c r="N440" i="84"/>
  <c r="O440" i="84"/>
  <c r="A441" i="84"/>
  <c r="N441" i="84"/>
  <c r="O441" i="84"/>
  <c r="A442" i="84"/>
  <c r="N442" i="84"/>
  <c r="O442" i="84"/>
  <c r="A443" i="84"/>
  <c r="N443" i="84"/>
  <c r="O443" i="84"/>
  <c r="A444" i="84"/>
  <c r="N444" i="84"/>
  <c r="O444" i="84"/>
  <c r="A445" i="84"/>
  <c r="N445" i="84"/>
  <c r="O445" i="84"/>
  <c r="E446" i="84"/>
  <c r="N446" i="84"/>
  <c r="A447" i="84"/>
  <c r="N447" i="84"/>
  <c r="O447" i="84"/>
  <c r="A448" i="84"/>
  <c r="N448" i="84"/>
  <c r="O448" i="84"/>
  <c r="A449" i="84"/>
  <c r="N449" i="84"/>
  <c r="O449" i="84"/>
  <c r="A450" i="84"/>
  <c r="N450" i="84"/>
  <c r="O450" i="84"/>
  <c r="A451" i="84"/>
  <c r="N451" i="84"/>
  <c r="O451" i="84"/>
  <c r="A452" i="84"/>
  <c r="N452" i="84"/>
  <c r="O452" i="84"/>
  <c r="A453" i="84"/>
  <c r="N453" i="84"/>
  <c r="O453" i="84"/>
  <c r="A454" i="84"/>
  <c r="N454" i="84"/>
  <c r="O454" i="84"/>
  <c r="A455" i="84"/>
  <c r="N455" i="84"/>
  <c r="O455" i="84"/>
  <c r="A456" i="84"/>
  <c r="N456" i="84"/>
  <c r="O456" i="84"/>
  <c r="A457" i="84"/>
  <c r="N457" i="84"/>
  <c r="O457" i="84"/>
  <c r="A458" i="84"/>
  <c r="N458" i="84"/>
  <c r="O458" i="84"/>
  <c r="A459" i="84"/>
  <c r="N459" i="84"/>
  <c r="O459" i="84"/>
  <c r="A460" i="84"/>
  <c r="N460" i="84"/>
  <c r="O460" i="84"/>
  <c r="A461" i="84"/>
  <c r="N461" i="84"/>
  <c r="O461" i="84"/>
  <c r="A462" i="84"/>
  <c r="N462" i="84"/>
  <c r="O462" i="84"/>
  <c r="A463" i="84"/>
  <c r="N463" i="84"/>
  <c r="O463" i="84"/>
  <c r="A464" i="84"/>
  <c r="N464" i="84"/>
  <c r="O464" i="84"/>
  <c r="A465" i="84"/>
  <c r="N465" i="84"/>
  <c r="O465" i="84"/>
  <c r="A466" i="84"/>
  <c r="N466" i="84"/>
  <c r="O466" i="84"/>
  <c r="E467" i="84"/>
  <c r="N467" i="84"/>
  <c r="A468" i="84"/>
  <c r="N468" i="84"/>
  <c r="O468" i="84"/>
  <c r="A469" i="84"/>
  <c r="N469" i="84"/>
  <c r="O469" i="84"/>
  <c r="A470" i="84"/>
  <c r="N470" i="84"/>
  <c r="O470" i="84"/>
  <c r="A471" i="84"/>
  <c r="N471" i="84"/>
  <c r="O471" i="84"/>
  <c r="A472" i="84"/>
  <c r="N472" i="84"/>
  <c r="O472" i="84"/>
  <c r="A473" i="84"/>
  <c r="N473" i="84"/>
  <c r="O473" i="84"/>
  <c r="A474" i="84"/>
  <c r="N474" i="84"/>
  <c r="O474" i="84"/>
  <c r="A475" i="84"/>
  <c r="N475" i="84"/>
  <c r="O475" i="84"/>
  <c r="A476" i="84"/>
  <c r="N476" i="84"/>
  <c r="O476" i="84"/>
  <c r="A477" i="84"/>
  <c r="N477" i="84"/>
  <c r="O477" i="84"/>
  <c r="A478" i="84"/>
  <c r="N478" i="84"/>
  <c r="O478" i="84"/>
  <c r="A479" i="84"/>
  <c r="N479" i="84"/>
  <c r="O479" i="84"/>
  <c r="A480" i="84"/>
  <c r="N480" i="84"/>
  <c r="O480" i="84"/>
  <c r="A481" i="84"/>
  <c r="N481" i="84"/>
  <c r="O481" i="84"/>
  <c r="A482" i="84"/>
  <c r="N482" i="84"/>
  <c r="O482" i="84"/>
  <c r="A483" i="84"/>
  <c r="N483" i="84"/>
  <c r="O483" i="84"/>
  <c r="A484" i="84"/>
  <c r="N484" i="84"/>
  <c r="O484" i="84"/>
  <c r="A485" i="84"/>
  <c r="N485" i="84"/>
  <c r="O485" i="84"/>
  <c r="A486" i="84"/>
  <c r="N486" i="84"/>
  <c r="O486" i="84"/>
  <c r="A487" i="84"/>
  <c r="N487" i="84"/>
  <c r="O487" i="84"/>
  <c r="E488" i="84"/>
  <c r="N488" i="84"/>
  <c r="A489" i="84"/>
  <c r="N489" i="84"/>
  <c r="O489" i="84"/>
  <c r="A490" i="84"/>
  <c r="N490" i="84"/>
  <c r="O490" i="84"/>
  <c r="A491" i="84"/>
  <c r="N491" i="84"/>
  <c r="O491" i="84"/>
  <c r="A492" i="84"/>
  <c r="N492" i="84"/>
  <c r="O492" i="84"/>
  <c r="A493" i="84"/>
  <c r="N493" i="84"/>
  <c r="O493" i="84"/>
  <c r="A494" i="84"/>
  <c r="N494" i="84"/>
  <c r="O494" i="84"/>
  <c r="A495" i="84"/>
  <c r="N495" i="84"/>
  <c r="O495" i="84"/>
  <c r="A496" i="84"/>
  <c r="N496" i="84"/>
  <c r="O496" i="84"/>
  <c r="A497" i="84"/>
  <c r="N497" i="84"/>
  <c r="O497" i="84"/>
  <c r="A498" i="84"/>
  <c r="N498" i="84"/>
  <c r="O498" i="84"/>
  <c r="A499" i="84"/>
  <c r="N499" i="84"/>
  <c r="O499" i="84"/>
  <c r="A500" i="84"/>
  <c r="N500" i="84"/>
  <c r="O500" i="84"/>
  <c r="A501" i="84"/>
  <c r="N501" i="84"/>
  <c r="O501" i="84"/>
  <c r="A502" i="84"/>
  <c r="N502" i="84"/>
  <c r="O502" i="84"/>
  <c r="A503" i="84"/>
  <c r="N503" i="84"/>
  <c r="O503" i="84"/>
  <c r="A504" i="84"/>
  <c r="N504" i="84"/>
  <c r="O504" i="84"/>
  <c r="A505" i="84"/>
  <c r="N505" i="84"/>
  <c r="O505" i="84"/>
  <c r="A506" i="84"/>
  <c r="N506" i="84"/>
  <c r="O506" i="84"/>
  <c r="A507" i="84"/>
  <c r="N507" i="84"/>
  <c r="O507" i="84"/>
  <c r="A508" i="84"/>
  <c r="N508" i="84"/>
  <c r="O508" i="84"/>
  <c r="E509" i="84"/>
  <c r="N509" i="84"/>
  <c r="A510" i="84"/>
  <c r="N510" i="84"/>
  <c r="O510" i="84"/>
  <c r="A511" i="84"/>
  <c r="N511" i="84"/>
  <c r="O511" i="84"/>
  <c r="A512" i="84"/>
  <c r="N512" i="84"/>
  <c r="O512" i="84"/>
  <c r="A513" i="84"/>
  <c r="N513" i="84"/>
  <c r="O513" i="84"/>
  <c r="A514" i="84"/>
  <c r="N514" i="84"/>
  <c r="O514" i="84"/>
  <c r="A515" i="84"/>
  <c r="N515" i="84"/>
  <c r="O515" i="84"/>
  <c r="A516" i="84"/>
  <c r="N516" i="84"/>
  <c r="O516" i="84"/>
  <c r="A517" i="84"/>
  <c r="N517" i="84"/>
  <c r="O517" i="84"/>
  <c r="A518" i="84"/>
  <c r="N518" i="84"/>
  <c r="O518" i="84"/>
  <c r="A519" i="84"/>
  <c r="N519" i="84"/>
  <c r="O519" i="84"/>
  <c r="A520" i="84"/>
  <c r="N520" i="84"/>
  <c r="O520" i="84"/>
  <c r="A521" i="84"/>
  <c r="N521" i="84"/>
  <c r="O521" i="84"/>
  <c r="A522" i="84"/>
  <c r="N522" i="84"/>
  <c r="O522" i="84"/>
  <c r="A523" i="84"/>
  <c r="N523" i="84"/>
  <c r="O523" i="84"/>
  <c r="A524" i="84"/>
  <c r="N524" i="84"/>
  <c r="O524" i="84"/>
  <c r="A525" i="84"/>
  <c r="N525" i="84"/>
  <c r="O525" i="84"/>
  <c r="A526" i="84"/>
  <c r="N526" i="84"/>
  <c r="O526" i="84"/>
  <c r="A527" i="84"/>
  <c r="N527" i="84"/>
  <c r="O527" i="84"/>
  <c r="A528" i="84"/>
  <c r="N528" i="84"/>
  <c r="O528" i="84"/>
  <c r="A529" i="84"/>
  <c r="N529" i="84"/>
  <c r="O529" i="84"/>
  <c r="E530" i="84"/>
  <c r="N530" i="84"/>
  <c r="N6" i="85"/>
  <c r="O6" i="85"/>
  <c r="N7" i="85"/>
  <c r="O7" i="85"/>
  <c r="N8" i="85"/>
  <c r="O8" i="85"/>
  <c r="N9" i="85"/>
  <c r="O9" i="85"/>
  <c r="N10" i="85"/>
  <c r="O10" i="85"/>
  <c r="N11" i="85"/>
  <c r="O11" i="85"/>
  <c r="N12" i="85"/>
  <c r="O12" i="85"/>
  <c r="N13" i="85"/>
  <c r="O13" i="85"/>
  <c r="N14" i="85"/>
  <c r="O14" i="85"/>
  <c r="N15" i="85"/>
  <c r="O15" i="85"/>
  <c r="N16" i="85"/>
  <c r="O16" i="85"/>
  <c r="N17" i="85"/>
  <c r="O17" i="85"/>
  <c r="N18" i="85"/>
  <c r="O18" i="85"/>
  <c r="N19" i="85"/>
  <c r="O19" i="85"/>
  <c r="N20" i="85"/>
  <c r="O20" i="85"/>
  <c r="N21" i="85"/>
  <c r="O21" i="85"/>
  <c r="N22" i="85"/>
  <c r="O22" i="85"/>
  <c r="N23" i="85"/>
  <c r="O23" i="85"/>
  <c r="N24" i="85"/>
  <c r="O24" i="85"/>
  <c r="N25" i="85"/>
  <c r="O25" i="85"/>
  <c r="D26" i="85"/>
  <c r="E26" i="85"/>
  <c r="N26" i="85"/>
  <c r="N27" i="85"/>
  <c r="O27" i="85"/>
  <c r="N28" i="85"/>
  <c r="O28" i="85"/>
  <c r="N29" i="85"/>
  <c r="O29" i="85"/>
  <c r="N30" i="85"/>
  <c r="O30" i="85"/>
  <c r="N31" i="85"/>
  <c r="O31" i="85"/>
  <c r="N32" i="85"/>
  <c r="O32" i="85"/>
  <c r="N33" i="85"/>
  <c r="O33" i="85"/>
  <c r="N34" i="85"/>
  <c r="O34" i="85"/>
  <c r="N35" i="85"/>
  <c r="O35" i="85"/>
  <c r="N36" i="85"/>
  <c r="O36" i="85"/>
  <c r="N37" i="85"/>
  <c r="O37" i="85"/>
  <c r="N38" i="85"/>
  <c r="O38" i="85"/>
  <c r="N39" i="85"/>
  <c r="O39" i="85"/>
  <c r="N40" i="85"/>
  <c r="O40" i="85"/>
  <c r="N41" i="85"/>
  <c r="O41" i="85"/>
  <c r="N42" i="85"/>
  <c r="O42" i="85"/>
  <c r="N43" i="85"/>
  <c r="O43" i="85"/>
  <c r="N44" i="85"/>
  <c r="O44" i="85"/>
  <c r="N45" i="85"/>
  <c r="O45" i="85"/>
  <c r="N46" i="85"/>
  <c r="O46" i="85"/>
  <c r="E47" i="85"/>
  <c r="N47" i="85"/>
  <c r="N48" i="85"/>
  <c r="O48" i="85"/>
  <c r="N49" i="85"/>
  <c r="O49" i="85"/>
  <c r="N50" i="85"/>
  <c r="O50" i="85"/>
  <c r="N51" i="85"/>
  <c r="O51" i="85"/>
  <c r="N52" i="85"/>
  <c r="O52" i="85"/>
  <c r="N53" i="85"/>
  <c r="O53" i="85"/>
  <c r="N54" i="85"/>
  <c r="O54" i="85"/>
  <c r="N55" i="85"/>
  <c r="O55" i="85"/>
  <c r="N56" i="85"/>
  <c r="O56" i="85"/>
  <c r="N57" i="85"/>
  <c r="O57" i="85"/>
  <c r="N58" i="85"/>
  <c r="O58" i="85"/>
  <c r="N59" i="85"/>
  <c r="O59" i="85"/>
  <c r="N60" i="85"/>
  <c r="O60" i="85"/>
  <c r="N61" i="85"/>
  <c r="O61" i="85"/>
  <c r="N62" i="85"/>
  <c r="O62" i="85"/>
  <c r="N63" i="85"/>
  <c r="O63" i="85"/>
  <c r="N64" i="85"/>
  <c r="O64" i="85"/>
  <c r="N65" i="85"/>
  <c r="O65" i="85"/>
  <c r="N66" i="85"/>
  <c r="O66" i="85"/>
  <c r="N67" i="85"/>
  <c r="O67" i="85"/>
  <c r="E68" i="85"/>
  <c r="N68" i="85"/>
  <c r="N69" i="85"/>
  <c r="O69" i="85"/>
  <c r="N70" i="85"/>
  <c r="O70" i="85"/>
  <c r="N71" i="85"/>
  <c r="O71" i="85"/>
  <c r="N72" i="85"/>
  <c r="O72" i="85"/>
  <c r="N73" i="85"/>
  <c r="O73" i="85"/>
  <c r="N74" i="85"/>
  <c r="O74" i="85"/>
  <c r="N75" i="85"/>
  <c r="O75" i="85"/>
  <c r="N76" i="85"/>
  <c r="O76" i="85"/>
  <c r="N77" i="85"/>
  <c r="O77" i="85"/>
  <c r="N78" i="85"/>
  <c r="O78" i="85"/>
  <c r="N79" i="85"/>
  <c r="O79" i="85"/>
  <c r="N80" i="85"/>
  <c r="O80" i="85"/>
  <c r="N81" i="85"/>
  <c r="O81" i="85"/>
  <c r="N82" i="85"/>
  <c r="O82" i="85"/>
  <c r="N83" i="85"/>
  <c r="O83" i="85"/>
  <c r="N84" i="85"/>
  <c r="O84" i="85"/>
  <c r="N85" i="85"/>
  <c r="O85" i="85"/>
  <c r="N86" i="85"/>
  <c r="O86" i="85"/>
  <c r="N87" i="85"/>
  <c r="O87" i="85"/>
  <c r="N88" i="85"/>
  <c r="O88" i="85"/>
  <c r="E89" i="85"/>
  <c r="N89" i="85"/>
  <c r="N90" i="85"/>
  <c r="O90" i="85"/>
  <c r="N91" i="85"/>
  <c r="O91" i="85"/>
  <c r="N92" i="85"/>
  <c r="O92" i="85"/>
  <c r="N93" i="85"/>
  <c r="O93" i="85"/>
  <c r="N94" i="85"/>
  <c r="O94" i="85"/>
  <c r="N95" i="85"/>
  <c r="O95" i="85"/>
  <c r="N96" i="85"/>
  <c r="O96" i="85"/>
  <c r="N97" i="85"/>
  <c r="O97" i="85"/>
  <c r="N98" i="85"/>
  <c r="O98" i="85"/>
  <c r="N99" i="85"/>
  <c r="O99" i="85"/>
  <c r="N100" i="85"/>
  <c r="O100" i="85"/>
  <c r="N101" i="85"/>
  <c r="O101" i="85"/>
  <c r="N102" i="85"/>
  <c r="O102" i="85"/>
  <c r="N103" i="85"/>
  <c r="O103" i="85"/>
  <c r="N104" i="85"/>
  <c r="O104" i="85"/>
  <c r="N105" i="85"/>
  <c r="O105" i="85"/>
  <c r="N106" i="85"/>
  <c r="O106" i="85"/>
  <c r="N107" i="85"/>
  <c r="O107" i="85"/>
  <c r="N108" i="85"/>
  <c r="O108" i="85"/>
  <c r="N109" i="85"/>
  <c r="O109" i="85"/>
  <c r="E110" i="85"/>
  <c r="N110" i="85"/>
  <c r="N111" i="85"/>
  <c r="O111" i="85"/>
  <c r="N112" i="85"/>
  <c r="O112" i="85"/>
  <c r="N113" i="85"/>
  <c r="O113" i="85"/>
  <c r="N114" i="85"/>
  <c r="O114" i="85"/>
  <c r="N115" i="85"/>
  <c r="O115" i="85"/>
  <c r="N116" i="85"/>
  <c r="O116" i="85"/>
  <c r="N117" i="85"/>
  <c r="O117" i="85"/>
  <c r="N118" i="85"/>
  <c r="O118" i="85"/>
  <c r="N119" i="85"/>
  <c r="O119" i="85"/>
  <c r="N120" i="85"/>
  <c r="O120" i="85"/>
  <c r="N121" i="85"/>
  <c r="O121" i="85"/>
  <c r="N122" i="85"/>
  <c r="O122" i="85"/>
  <c r="N123" i="85"/>
  <c r="O123" i="85"/>
  <c r="N124" i="85"/>
  <c r="O124" i="85"/>
  <c r="N125" i="85"/>
  <c r="O125" i="85"/>
  <c r="N126" i="85"/>
  <c r="O126" i="85"/>
  <c r="N127" i="85"/>
  <c r="O127" i="85"/>
  <c r="N128" i="85"/>
  <c r="O128" i="85"/>
  <c r="N129" i="85"/>
  <c r="O129" i="85"/>
  <c r="N130" i="85"/>
  <c r="O130" i="85"/>
  <c r="E131" i="85"/>
  <c r="N131" i="85"/>
  <c r="N132" i="85"/>
  <c r="O132" i="85"/>
  <c r="N133" i="85"/>
  <c r="O133" i="85"/>
  <c r="N134" i="85"/>
  <c r="O134" i="85"/>
  <c r="N135" i="85"/>
  <c r="O135" i="85"/>
  <c r="N136" i="85"/>
  <c r="O136" i="85"/>
  <c r="N137" i="85"/>
  <c r="O137" i="85"/>
  <c r="N138" i="85"/>
  <c r="O138" i="85"/>
  <c r="N139" i="85"/>
  <c r="O139" i="85"/>
  <c r="N140" i="85"/>
  <c r="O140" i="85"/>
  <c r="N141" i="85"/>
  <c r="O141" i="85"/>
  <c r="N142" i="85"/>
  <c r="O142" i="85"/>
  <c r="N143" i="85"/>
  <c r="O143" i="85"/>
  <c r="N144" i="85"/>
  <c r="O144" i="85"/>
  <c r="N145" i="85"/>
  <c r="O145" i="85"/>
  <c r="N146" i="85"/>
  <c r="O146" i="85"/>
  <c r="N147" i="85"/>
  <c r="O147" i="85"/>
  <c r="N148" i="85"/>
  <c r="O148" i="85"/>
  <c r="N149" i="85"/>
  <c r="O149" i="85"/>
  <c r="N150" i="85"/>
  <c r="O150" i="85"/>
  <c r="N151" i="85"/>
  <c r="O151" i="85"/>
  <c r="E152" i="85"/>
  <c r="N152" i="85"/>
  <c r="N153" i="85"/>
  <c r="O153" i="85"/>
  <c r="N154" i="85"/>
  <c r="O154" i="85"/>
  <c r="N155" i="85"/>
  <c r="O155" i="85"/>
  <c r="N156" i="85"/>
  <c r="O156" i="85"/>
  <c r="N157" i="85"/>
  <c r="O157" i="85"/>
  <c r="N158" i="85"/>
  <c r="O158" i="85"/>
  <c r="N159" i="85"/>
  <c r="O159" i="85"/>
  <c r="N160" i="85"/>
  <c r="O160" i="85"/>
  <c r="N161" i="85"/>
  <c r="O161" i="85"/>
  <c r="N162" i="85"/>
  <c r="O162" i="85"/>
  <c r="N163" i="85"/>
  <c r="O163" i="85"/>
  <c r="N164" i="85"/>
  <c r="O164" i="85"/>
  <c r="N165" i="85"/>
  <c r="O165" i="85"/>
  <c r="N166" i="85"/>
  <c r="O166" i="85"/>
  <c r="N167" i="85"/>
  <c r="O167" i="85"/>
  <c r="N168" i="85"/>
  <c r="O168" i="85"/>
  <c r="N169" i="85"/>
  <c r="O169" i="85"/>
  <c r="N170" i="85"/>
  <c r="O170" i="85"/>
  <c r="N171" i="85"/>
  <c r="O171" i="85"/>
  <c r="N172" i="85"/>
  <c r="O172" i="85"/>
  <c r="E173" i="85"/>
  <c r="N173" i="85"/>
  <c r="N174" i="85"/>
  <c r="O174" i="85"/>
  <c r="N175" i="85"/>
  <c r="O175" i="85"/>
  <c r="N176" i="85"/>
  <c r="O176" i="85"/>
  <c r="N177" i="85"/>
  <c r="O177" i="85"/>
  <c r="N178" i="85"/>
  <c r="O178" i="85"/>
  <c r="N179" i="85"/>
  <c r="O179" i="85"/>
  <c r="N180" i="85"/>
  <c r="O180" i="85"/>
  <c r="N181" i="85"/>
  <c r="O181" i="85"/>
  <c r="N182" i="85"/>
  <c r="O182" i="85"/>
  <c r="N183" i="85"/>
  <c r="O183" i="85"/>
  <c r="N184" i="85"/>
  <c r="O184" i="85"/>
  <c r="N185" i="85"/>
  <c r="O185" i="85"/>
  <c r="N186" i="85"/>
  <c r="O186" i="85"/>
  <c r="N187" i="85"/>
  <c r="O187" i="85"/>
  <c r="N188" i="85"/>
  <c r="O188" i="85"/>
  <c r="N189" i="85"/>
  <c r="O189" i="85"/>
  <c r="N190" i="85"/>
  <c r="O190" i="85"/>
  <c r="N191" i="85"/>
  <c r="O191" i="85"/>
  <c r="N192" i="85"/>
  <c r="O192" i="85"/>
  <c r="N193" i="85"/>
  <c r="O193" i="85"/>
  <c r="E194" i="85"/>
  <c r="N194" i="85"/>
  <c r="N195" i="85"/>
  <c r="O195" i="85"/>
  <c r="N196" i="85"/>
  <c r="O196" i="85"/>
  <c r="N197" i="85"/>
  <c r="O197" i="85"/>
  <c r="N198" i="85"/>
  <c r="O198" i="85"/>
  <c r="N199" i="85"/>
  <c r="O199" i="85"/>
  <c r="N200" i="85"/>
  <c r="O200" i="85"/>
  <c r="N201" i="85"/>
  <c r="O201" i="85"/>
  <c r="N202" i="85"/>
  <c r="O202" i="85"/>
  <c r="N203" i="85"/>
  <c r="O203" i="85"/>
  <c r="N204" i="85"/>
  <c r="O204" i="85"/>
  <c r="N205" i="85"/>
  <c r="O205" i="85"/>
  <c r="N206" i="85"/>
  <c r="O206" i="85"/>
  <c r="N207" i="85"/>
  <c r="O207" i="85"/>
  <c r="N208" i="85"/>
  <c r="O208" i="85"/>
  <c r="N209" i="85"/>
  <c r="O209" i="85"/>
  <c r="N210" i="85"/>
  <c r="O210" i="85"/>
  <c r="N211" i="85"/>
  <c r="O211" i="85"/>
  <c r="N212" i="85"/>
  <c r="O212" i="85"/>
  <c r="N213" i="85"/>
  <c r="O213" i="85"/>
  <c r="N214" i="85"/>
  <c r="O214" i="85"/>
  <c r="E215" i="85"/>
  <c r="N215" i="85"/>
  <c r="N216" i="85"/>
  <c r="O216" i="85"/>
  <c r="N217" i="85"/>
  <c r="O217" i="85"/>
  <c r="N218" i="85"/>
  <c r="O218" i="85"/>
  <c r="N219" i="85"/>
  <c r="O219" i="85"/>
  <c r="N220" i="85"/>
  <c r="O220" i="85"/>
  <c r="N221" i="85"/>
  <c r="O221" i="85"/>
  <c r="N222" i="85"/>
  <c r="O222" i="85"/>
  <c r="N223" i="85"/>
  <c r="O223" i="85"/>
  <c r="N224" i="85"/>
  <c r="O224" i="85"/>
  <c r="N225" i="85"/>
  <c r="O225" i="85"/>
  <c r="N226" i="85"/>
  <c r="O226" i="85"/>
  <c r="N227" i="85"/>
  <c r="O227" i="85"/>
  <c r="N228" i="85"/>
  <c r="O228" i="85"/>
  <c r="N229" i="85"/>
  <c r="O229" i="85"/>
  <c r="N230" i="85"/>
  <c r="O230" i="85"/>
  <c r="N231" i="85"/>
  <c r="O231" i="85"/>
  <c r="N232" i="85"/>
  <c r="O232" i="85"/>
  <c r="N233" i="85"/>
  <c r="O233" i="85"/>
  <c r="N234" i="85"/>
  <c r="O234" i="85"/>
  <c r="N235" i="85"/>
  <c r="O235" i="85"/>
  <c r="E236" i="85"/>
  <c r="N236" i="85"/>
  <c r="N237" i="85"/>
  <c r="O237" i="85"/>
  <c r="N238" i="85"/>
  <c r="O238" i="85"/>
  <c r="N239" i="85"/>
  <c r="O239" i="85"/>
  <c r="N240" i="85"/>
  <c r="O240" i="85"/>
  <c r="N241" i="85"/>
  <c r="O241" i="85"/>
  <c r="N242" i="85"/>
  <c r="O242" i="85"/>
  <c r="N243" i="85"/>
  <c r="O243" i="85"/>
  <c r="N244" i="85"/>
  <c r="O244" i="85"/>
  <c r="A245" i="85"/>
  <c r="N245" i="85"/>
  <c r="O245" i="85"/>
  <c r="A246" i="85"/>
  <c r="N246" i="85"/>
  <c r="O246" i="85"/>
  <c r="A247" i="85"/>
  <c r="N247" i="85"/>
  <c r="O247" i="85"/>
  <c r="A248" i="85"/>
  <c r="N248" i="85"/>
  <c r="O248" i="85"/>
  <c r="A249" i="85"/>
  <c r="N249" i="85"/>
  <c r="O249" i="85"/>
  <c r="A250" i="85"/>
  <c r="N250" i="85"/>
  <c r="O250" i="85"/>
  <c r="A251" i="85"/>
  <c r="N251" i="85"/>
  <c r="O251" i="85"/>
  <c r="A252" i="85"/>
  <c r="N252" i="85"/>
  <c r="O252" i="85"/>
  <c r="A253" i="85"/>
  <c r="N253" i="85"/>
  <c r="O253" i="85"/>
  <c r="A254" i="85"/>
  <c r="N254" i="85"/>
  <c r="O254" i="85"/>
  <c r="A255" i="85"/>
  <c r="N255" i="85"/>
  <c r="O255" i="85"/>
  <c r="A256" i="85"/>
  <c r="N256" i="85"/>
  <c r="O256" i="85"/>
  <c r="E257" i="85"/>
  <c r="N257" i="85"/>
  <c r="A258" i="85"/>
  <c r="N258" i="85"/>
  <c r="O258" i="85"/>
  <c r="A259" i="85"/>
  <c r="N259" i="85"/>
  <c r="O259" i="85"/>
  <c r="A260" i="85"/>
  <c r="N260" i="85"/>
  <c r="O260" i="85"/>
  <c r="A261" i="85"/>
  <c r="N261" i="85"/>
  <c r="O261" i="85"/>
  <c r="A262" i="85"/>
  <c r="N262" i="85"/>
  <c r="O262" i="85"/>
  <c r="A263" i="85"/>
  <c r="N263" i="85"/>
  <c r="O263" i="85"/>
  <c r="A264" i="85"/>
  <c r="N264" i="85"/>
  <c r="O264" i="85"/>
  <c r="A265" i="85"/>
  <c r="N265" i="85"/>
  <c r="O265" i="85"/>
  <c r="A266" i="85"/>
  <c r="N266" i="85"/>
  <c r="O266" i="85"/>
  <c r="A267" i="85"/>
  <c r="N267" i="85"/>
  <c r="O267" i="85"/>
  <c r="A268" i="85"/>
  <c r="N268" i="85"/>
  <c r="O268" i="85"/>
  <c r="A269" i="85"/>
  <c r="N269" i="85"/>
  <c r="O269" i="85"/>
  <c r="A270" i="85"/>
  <c r="N270" i="85"/>
  <c r="O270" i="85"/>
  <c r="A271" i="85"/>
  <c r="N271" i="85"/>
  <c r="O271" i="85"/>
  <c r="A272" i="85"/>
  <c r="N272" i="85"/>
  <c r="O272" i="85"/>
  <c r="A273" i="85"/>
  <c r="N273" i="85"/>
  <c r="O273" i="85"/>
  <c r="A274" i="85"/>
  <c r="N274" i="85"/>
  <c r="O274" i="85"/>
  <c r="A275" i="85"/>
  <c r="N275" i="85"/>
  <c r="O275" i="85"/>
  <c r="A276" i="85"/>
  <c r="N276" i="85"/>
  <c r="O276" i="85"/>
  <c r="A277" i="85"/>
  <c r="N277" i="85"/>
  <c r="O277" i="85"/>
  <c r="E278" i="85"/>
  <c r="N278" i="85"/>
  <c r="A279" i="85"/>
  <c r="N279" i="85"/>
  <c r="O279" i="85"/>
  <c r="A280" i="85"/>
  <c r="N280" i="85"/>
  <c r="O280" i="85"/>
  <c r="A281" i="85"/>
  <c r="N281" i="85"/>
  <c r="O281" i="85"/>
  <c r="A282" i="85"/>
  <c r="N282" i="85"/>
  <c r="O282" i="85"/>
  <c r="A283" i="85"/>
  <c r="N283" i="85"/>
  <c r="O283" i="85"/>
  <c r="A284" i="85"/>
  <c r="N284" i="85"/>
  <c r="O284" i="85"/>
  <c r="A285" i="85"/>
  <c r="N285" i="85"/>
  <c r="O285" i="85"/>
  <c r="A286" i="85"/>
  <c r="N286" i="85"/>
  <c r="O286" i="85"/>
  <c r="A287" i="85"/>
  <c r="N287" i="85"/>
  <c r="O287" i="85"/>
  <c r="A288" i="85"/>
  <c r="N288" i="85"/>
  <c r="O288" i="85"/>
  <c r="A289" i="85"/>
  <c r="N289" i="85"/>
  <c r="O289" i="85"/>
  <c r="A290" i="85"/>
  <c r="N290" i="85"/>
  <c r="O290" i="85"/>
  <c r="A291" i="85"/>
  <c r="N291" i="85"/>
  <c r="O291" i="85"/>
  <c r="A292" i="85"/>
  <c r="N292" i="85"/>
  <c r="O292" i="85"/>
  <c r="A293" i="85"/>
  <c r="N293" i="85"/>
  <c r="O293" i="85"/>
  <c r="A294" i="85"/>
  <c r="N294" i="85"/>
  <c r="O294" i="85"/>
  <c r="A295" i="85"/>
  <c r="N295" i="85"/>
  <c r="O295" i="85"/>
  <c r="A296" i="85"/>
  <c r="N296" i="85"/>
  <c r="O296" i="85"/>
  <c r="A297" i="85"/>
  <c r="N297" i="85"/>
  <c r="O297" i="85"/>
  <c r="A298" i="85"/>
  <c r="N298" i="85"/>
  <c r="O298" i="85"/>
  <c r="E299" i="85"/>
  <c r="N299" i="85"/>
  <c r="A300" i="85"/>
  <c r="N300" i="85"/>
  <c r="O300" i="85"/>
  <c r="A301" i="85"/>
  <c r="N301" i="85"/>
  <c r="O301" i="85"/>
  <c r="A302" i="85"/>
  <c r="N302" i="85"/>
  <c r="O302" i="85"/>
  <c r="A303" i="85"/>
  <c r="N303" i="85"/>
  <c r="O303" i="85"/>
  <c r="A304" i="85"/>
  <c r="N304" i="85"/>
  <c r="O304" i="85"/>
  <c r="A305" i="85"/>
  <c r="N305" i="85"/>
  <c r="O305" i="85"/>
  <c r="A306" i="85"/>
  <c r="N306" i="85"/>
  <c r="O306" i="85"/>
  <c r="A307" i="85"/>
  <c r="N307" i="85"/>
  <c r="O307" i="85"/>
  <c r="A308" i="85"/>
  <c r="N308" i="85"/>
  <c r="O308" i="85"/>
  <c r="A309" i="85"/>
  <c r="N309" i="85"/>
  <c r="O309" i="85"/>
  <c r="A310" i="85"/>
  <c r="N310" i="85"/>
  <c r="O310" i="85"/>
  <c r="A311" i="85"/>
  <c r="N311" i="85"/>
  <c r="O311" i="85"/>
  <c r="A312" i="85"/>
  <c r="N312" i="85"/>
  <c r="O312" i="85"/>
  <c r="A313" i="85"/>
  <c r="N313" i="85"/>
  <c r="O313" i="85"/>
  <c r="A314" i="85"/>
  <c r="N314" i="85"/>
  <c r="O314" i="85"/>
  <c r="A315" i="85"/>
  <c r="N315" i="85"/>
  <c r="O315" i="85"/>
  <c r="A316" i="85"/>
  <c r="N316" i="85"/>
  <c r="O316" i="85"/>
  <c r="A317" i="85"/>
  <c r="N317" i="85"/>
  <c r="O317" i="85"/>
  <c r="A318" i="85"/>
  <c r="N318" i="85"/>
  <c r="O318" i="85"/>
  <c r="A319" i="85"/>
  <c r="N319" i="85"/>
  <c r="O319" i="85"/>
  <c r="E320" i="85"/>
  <c r="N320" i="85"/>
  <c r="A321" i="85"/>
  <c r="N321" i="85"/>
  <c r="O321" i="85"/>
  <c r="A322" i="85"/>
  <c r="N322" i="85"/>
  <c r="O322" i="85"/>
  <c r="A323" i="85"/>
  <c r="N323" i="85"/>
  <c r="O323" i="85"/>
  <c r="A324" i="85"/>
  <c r="N324" i="85"/>
  <c r="O324" i="85"/>
  <c r="A325" i="85"/>
  <c r="N325" i="85"/>
  <c r="O325" i="85"/>
  <c r="A326" i="85"/>
  <c r="N326" i="85"/>
  <c r="O326" i="85"/>
  <c r="A327" i="85"/>
  <c r="N327" i="85"/>
  <c r="O327" i="85"/>
  <c r="A328" i="85"/>
  <c r="N328" i="85"/>
  <c r="O328" i="85"/>
  <c r="A329" i="85"/>
  <c r="N329" i="85"/>
  <c r="O329" i="85"/>
  <c r="A330" i="85"/>
  <c r="N330" i="85"/>
  <c r="O330" i="85"/>
  <c r="A331" i="85"/>
  <c r="N331" i="85"/>
  <c r="O331" i="85"/>
  <c r="A332" i="85"/>
  <c r="N332" i="85"/>
  <c r="O332" i="85"/>
  <c r="A333" i="85"/>
  <c r="N333" i="85"/>
  <c r="O333" i="85"/>
  <c r="A334" i="85"/>
  <c r="N334" i="85"/>
  <c r="O334" i="85"/>
  <c r="A335" i="85"/>
  <c r="N335" i="85"/>
  <c r="O335" i="85"/>
  <c r="A336" i="85"/>
  <c r="N336" i="85"/>
  <c r="O336" i="85"/>
  <c r="A337" i="85"/>
  <c r="N337" i="85"/>
  <c r="O337" i="85"/>
  <c r="A338" i="85"/>
  <c r="N338" i="85"/>
  <c r="O338" i="85"/>
  <c r="A339" i="85"/>
  <c r="N339" i="85"/>
  <c r="O339" i="85"/>
  <c r="A340" i="85"/>
  <c r="N340" i="85"/>
  <c r="O340" i="85"/>
  <c r="E341" i="85"/>
  <c r="N341" i="85"/>
  <c r="A342" i="85"/>
  <c r="N342" i="85"/>
  <c r="O342" i="85"/>
  <c r="A343" i="85"/>
  <c r="N343" i="85"/>
  <c r="O343" i="85"/>
  <c r="A344" i="85"/>
  <c r="N344" i="85"/>
  <c r="O344" i="85"/>
  <c r="A345" i="85"/>
  <c r="N345" i="85"/>
  <c r="O345" i="85"/>
  <c r="A346" i="85"/>
  <c r="N346" i="85"/>
  <c r="O346" i="85"/>
  <c r="A347" i="85"/>
  <c r="N347" i="85"/>
  <c r="O347" i="85"/>
  <c r="A348" i="85"/>
  <c r="N348" i="85"/>
  <c r="O348" i="85"/>
  <c r="A349" i="85"/>
  <c r="N349" i="85"/>
  <c r="O349" i="85"/>
  <c r="A350" i="85"/>
  <c r="N350" i="85"/>
  <c r="O350" i="85"/>
  <c r="A351" i="85"/>
  <c r="N351" i="85"/>
  <c r="O351" i="85"/>
  <c r="A352" i="85"/>
  <c r="N352" i="85"/>
  <c r="O352" i="85"/>
  <c r="A353" i="85"/>
  <c r="N353" i="85"/>
  <c r="O353" i="85"/>
  <c r="A354" i="85"/>
  <c r="N354" i="85"/>
  <c r="O354" i="85"/>
  <c r="A355" i="85"/>
  <c r="N355" i="85"/>
  <c r="O355" i="85"/>
  <c r="A356" i="85"/>
  <c r="N356" i="85"/>
  <c r="O356" i="85"/>
  <c r="A357" i="85"/>
  <c r="N357" i="85"/>
  <c r="O357" i="85"/>
  <c r="A358" i="85"/>
  <c r="N358" i="85"/>
  <c r="O358" i="85"/>
  <c r="A359" i="85"/>
  <c r="N359" i="85"/>
  <c r="O359" i="85"/>
  <c r="A360" i="85"/>
  <c r="N360" i="85"/>
  <c r="O360" i="85"/>
  <c r="A361" i="85"/>
  <c r="N361" i="85"/>
  <c r="O361" i="85"/>
  <c r="E362" i="85"/>
  <c r="N362" i="85"/>
  <c r="A363" i="85"/>
  <c r="N363" i="85"/>
  <c r="O363" i="85"/>
  <c r="A364" i="85"/>
  <c r="N364" i="85"/>
  <c r="O364" i="85"/>
  <c r="A365" i="85"/>
  <c r="N365" i="85"/>
  <c r="O365" i="85"/>
  <c r="A366" i="85"/>
  <c r="N366" i="85"/>
  <c r="O366" i="85"/>
  <c r="A367" i="85"/>
  <c r="N367" i="85"/>
  <c r="O367" i="85"/>
  <c r="A368" i="85"/>
  <c r="N368" i="85"/>
  <c r="O368" i="85"/>
  <c r="A369" i="85"/>
  <c r="N369" i="85"/>
  <c r="O369" i="85"/>
  <c r="A370" i="85"/>
  <c r="N370" i="85"/>
  <c r="O370" i="85"/>
  <c r="A371" i="85"/>
  <c r="N371" i="85"/>
  <c r="O371" i="85"/>
  <c r="A372" i="85"/>
  <c r="N372" i="85"/>
  <c r="O372" i="85"/>
  <c r="A373" i="85"/>
  <c r="N373" i="85"/>
  <c r="O373" i="85"/>
  <c r="A374" i="85"/>
  <c r="N374" i="85"/>
  <c r="O374" i="85"/>
  <c r="A375" i="85"/>
  <c r="N375" i="85"/>
  <c r="O375" i="85"/>
  <c r="A376" i="85"/>
  <c r="N376" i="85"/>
  <c r="O376" i="85"/>
  <c r="A377" i="85"/>
  <c r="N377" i="85"/>
  <c r="O377" i="85"/>
  <c r="A378" i="85"/>
  <c r="N378" i="85"/>
  <c r="O378" i="85"/>
  <c r="A379" i="85"/>
  <c r="N379" i="85"/>
  <c r="O379" i="85"/>
  <c r="A380" i="85"/>
  <c r="N380" i="85"/>
  <c r="O380" i="85"/>
  <c r="A381" i="85"/>
  <c r="N381" i="85"/>
  <c r="O381" i="85"/>
  <c r="A382" i="85"/>
  <c r="N382" i="85"/>
  <c r="O382" i="85"/>
  <c r="E383" i="85"/>
  <c r="N383" i="85"/>
  <c r="A384" i="85"/>
  <c r="N384" i="85"/>
  <c r="O384" i="85"/>
  <c r="A385" i="85"/>
  <c r="N385" i="85"/>
  <c r="O385" i="85"/>
  <c r="A386" i="85"/>
  <c r="N386" i="85"/>
  <c r="O386" i="85"/>
  <c r="A387" i="85"/>
  <c r="N387" i="85"/>
  <c r="O387" i="85"/>
  <c r="A388" i="85"/>
  <c r="N388" i="85"/>
  <c r="O388" i="85"/>
  <c r="A389" i="85"/>
  <c r="N389" i="85"/>
  <c r="O389" i="85"/>
  <c r="A390" i="85"/>
  <c r="N390" i="85"/>
  <c r="O390" i="85"/>
  <c r="A391" i="85"/>
  <c r="N391" i="85"/>
  <c r="O391" i="85"/>
  <c r="A392" i="85"/>
  <c r="N392" i="85"/>
  <c r="O392" i="85"/>
  <c r="A393" i="85"/>
  <c r="N393" i="85"/>
  <c r="O393" i="85"/>
  <c r="A394" i="85"/>
  <c r="N394" i="85"/>
  <c r="O394" i="85"/>
  <c r="A395" i="85"/>
  <c r="N395" i="85"/>
  <c r="O395" i="85"/>
  <c r="A396" i="85"/>
  <c r="N396" i="85"/>
  <c r="O396" i="85"/>
  <c r="A397" i="85"/>
  <c r="N397" i="85"/>
  <c r="O397" i="85"/>
  <c r="A398" i="85"/>
  <c r="N398" i="85"/>
  <c r="O398" i="85"/>
  <c r="A399" i="85"/>
  <c r="N399" i="85"/>
  <c r="O399" i="85"/>
  <c r="A400" i="85"/>
  <c r="N400" i="85"/>
  <c r="O400" i="85"/>
  <c r="A401" i="85"/>
  <c r="N401" i="85"/>
  <c r="O401" i="85"/>
  <c r="A402" i="85"/>
  <c r="N402" i="85"/>
  <c r="O402" i="85"/>
  <c r="A403" i="85"/>
  <c r="N403" i="85"/>
  <c r="O403" i="85"/>
  <c r="E404" i="85"/>
  <c r="N404" i="85"/>
  <c r="A405" i="85"/>
  <c r="N405" i="85"/>
  <c r="O405" i="85"/>
  <c r="A406" i="85"/>
  <c r="N406" i="85"/>
  <c r="O406" i="85"/>
  <c r="A407" i="85"/>
  <c r="N407" i="85"/>
  <c r="O407" i="85"/>
  <c r="A408" i="85"/>
  <c r="N408" i="85"/>
  <c r="O408" i="85"/>
  <c r="A409" i="85"/>
  <c r="N409" i="85"/>
  <c r="O409" i="85"/>
  <c r="A410" i="85"/>
  <c r="N410" i="85"/>
  <c r="O410" i="85"/>
  <c r="A411" i="85"/>
  <c r="N411" i="85"/>
  <c r="O411" i="85"/>
  <c r="A412" i="85"/>
  <c r="N412" i="85"/>
  <c r="O412" i="85"/>
  <c r="A413" i="85"/>
  <c r="N413" i="85"/>
  <c r="O413" i="85"/>
  <c r="A414" i="85"/>
  <c r="N414" i="85"/>
  <c r="O414" i="85"/>
  <c r="A415" i="85"/>
  <c r="N415" i="85"/>
  <c r="O415" i="85"/>
  <c r="A416" i="85"/>
  <c r="N416" i="85"/>
  <c r="O416" i="85"/>
  <c r="A417" i="85"/>
  <c r="N417" i="85"/>
  <c r="O417" i="85"/>
  <c r="A418" i="85"/>
  <c r="N418" i="85"/>
  <c r="O418" i="85"/>
  <c r="A419" i="85"/>
  <c r="N419" i="85"/>
  <c r="O419" i="85"/>
  <c r="A420" i="85"/>
  <c r="N420" i="85"/>
  <c r="O420" i="85"/>
  <c r="A421" i="85"/>
  <c r="N421" i="85"/>
  <c r="O421" i="85"/>
  <c r="A422" i="85"/>
  <c r="N422" i="85"/>
  <c r="O422" i="85"/>
  <c r="A423" i="85"/>
  <c r="N423" i="85"/>
  <c r="O423" i="85"/>
  <c r="A424" i="85"/>
  <c r="N424" i="85"/>
  <c r="O424" i="85"/>
  <c r="E425" i="85"/>
  <c r="N425" i="85"/>
  <c r="A426" i="85"/>
  <c r="N426" i="85"/>
  <c r="O426" i="85"/>
  <c r="A427" i="85"/>
  <c r="N427" i="85"/>
  <c r="O427" i="85"/>
  <c r="A428" i="85"/>
  <c r="N428" i="85"/>
  <c r="O428" i="85"/>
  <c r="A429" i="85"/>
  <c r="N429" i="85"/>
  <c r="O429" i="85"/>
  <c r="A430" i="85"/>
  <c r="N430" i="85"/>
  <c r="O430" i="85"/>
  <c r="A431" i="85"/>
  <c r="N431" i="85"/>
  <c r="O431" i="85"/>
  <c r="A432" i="85"/>
  <c r="N432" i="85"/>
  <c r="O432" i="85"/>
  <c r="A433" i="85"/>
  <c r="N433" i="85"/>
  <c r="O433" i="85"/>
  <c r="A434" i="85"/>
  <c r="N434" i="85"/>
  <c r="O434" i="85"/>
  <c r="A435" i="85"/>
  <c r="N435" i="85"/>
  <c r="O435" i="85"/>
  <c r="A436" i="85"/>
  <c r="N436" i="85"/>
  <c r="O436" i="85"/>
  <c r="A437" i="85"/>
  <c r="N437" i="85"/>
  <c r="O437" i="85"/>
  <c r="A438" i="85"/>
  <c r="N438" i="85"/>
  <c r="O438" i="85"/>
  <c r="A439" i="85"/>
  <c r="N439" i="85"/>
  <c r="O439" i="85"/>
  <c r="A440" i="85"/>
  <c r="N440" i="85"/>
  <c r="O440" i="85"/>
  <c r="A441" i="85"/>
  <c r="N441" i="85"/>
  <c r="O441" i="85"/>
  <c r="A442" i="85"/>
  <c r="N442" i="85"/>
  <c r="O442" i="85"/>
  <c r="A443" i="85"/>
  <c r="N443" i="85"/>
  <c r="O443" i="85"/>
  <c r="A444" i="85"/>
  <c r="N444" i="85"/>
  <c r="O444" i="85"/>
  <c r="A445" i="85"/>
  <c r="N445" i="85"/>
  <c r="O445" i="85"/>
  <c r="E446" i="85"/>
  <c r="N446" i="85"/>
  <c r="A447" i="85"/>
  <c r="N447" i="85"/>
  <c r="O447" i="85"/>
  <c r="A448" i="85"/>
  <c r="N448" i="85"/>
  <c r="O448" i="85"/>
  <c r="A449" i="85"/>
  <c r="N449" i="85"/>
  <c r="O449" i="85"/>
  <c r="A450" i="85"/>
  <c r="N450" i="85"/>
  <c r="O450" i="85"/>
  <c r="A451" i="85"/>
  <c r="N451" i="85"/>
  <c r="O451" i="85"/>
  <c r="A452" i="85"/>
  <c r="N452" i="85"/>
  <c r="O452" i="85"/>
  <c r="A453" i="85"/>
  <c r="N453" i="85"/>
  <c r="O453" i="85"/>
  <c r="A454" i="85"/>
  <c r="N454" i="85"/>
  <c r="O454" i="85"/>
  <c r="A455" i="85"/>
  <c r="N455" i="85"/>
  <c r="O455" i="85"/>
  <c r="A456" i="85"/>
  <c r="N456" i="85"/>
  <c r="O456" i="85"/>
  <c r="A457" i="85"/>
  <c r="N457" i="85"/>
  <c r="O457" i="85"/>
  <c r="A458" i="85"/>
  <c r="N458" i="85"/>
  <c r="O458" i="85"/>
  <c r="A459" i="85"/>
  <c r="N459" i="85"/>
  <c r="O459" i="85"/>
  <c r="A460" i="85"/>
  <c r="N460" i="85"/>
  <c r="O460" i="85"/>
  <c r="A461" i="85"/>
  <c r="N461" i="85"/>
  <c r="O461" i="85"/>
  <c r="A462" i="85"/>
  <c r="N462" i="85"/>
  <c r="O462" i="85"/>
  <c r="A463" i="85"/>
  <c r="N463" i="85"/>
  <c r="O463" i="85"/>
  <c r="A464" i="85"/>
  <c r="N464" i="85"/>
  <c r="O464" i="85"/>
  <c r="A465" i="85"/>
  <c r="N465" i="85"/>
  <c r="O465" i="85"/>
  <c r="A466" i="85"/>
  <c r="N466" i="85"/>
  <c r="O466" i="85"/>
  <c r="E467" i="85"/>
  <c r="N467" i="85"/>
  <c r="A468" i="85"/>
  <c r="N468" i="85"/>
  <c r="O468" i="85"/>
  <c r="A469" i="85"/>
  <c r="N469" i="85"/>
  <c r="O469" i="85"/>
  <c r="A470" i="85"/>
  <c r="N470" i="85"/>
  <c r="O470" i="85"/>
  <c r="A471" i="85"/>
  <c r="N471" i="85"/>
  <c r="O471" i="85"/>
  <c r="A472" i="85"/>
  <c r="N472" i="85"/>
  <c r="O472" i="85"/>
  <c r="A473" i="85"/>
  <c r="N473" i="85"/>
  <c r="O473" i="85"/>
  <c r="A474" i="85"/>
  <c r="N474" i="85"/>
  <c r="O474" i="85"/>
  <c r="A475" i="85"/>
  <c r="N475" i="85"/>
  <c r="O475" i="85"/>
  <c r="A476" i="85"/>
  <c r="N476" i="85"/>
  <c r="O476" i="85"/>
  <c r="A477" i="85"/>
  <c r="N477" i="85"/>
  <c r="O477" i="85"/>
  <c r="A478" i="85"/>
  <c r="N478" i="85"/>
  <c r="O478" i="85"/>
  <c r="A479" i="85"/>
  <c r="N479" i="85"/>
  <c r="O479" i="85"/>
  <c r="A480" i="85"/>
  <c r="N480" i="85"/>
  <c r="O480" i="85"/>
  <c r="A481" i="85"/>
  <c r="N481" i="85"/>
  <c r="O481" i="85"/>
  <c r="A482" i="85"/>
  <c r="N482" i="85"/>
  <c r="O482" i="85"/>
  <c r="A483" i="85"/>
  <c r="N483" i="85"/>
  <c r="O483" i="85"/>
  <c r="A484" i="85"/>
  <c r="N484" i="85"/>
  <c r="O484" i="85"/>
  <c r="A485" i="85"/>
  <c r="N485" i="85"/>
  <c r="O485" i="85"/>
  <c r="A486" i="85"/>
  <c r="N486" i="85"/>
  <c r="O486" i="85"/>
  <c r="A487" i="85"/>
  <c r="N487" i="85"/>
  <c r="O487" i="85"/>
  <c r="E488" i="85"/>
  <c r="N488" i="85"/>
  <c r="A489" i="85"/>
  <c r="N489" i="85"/>
  <c r="O489" i="85"/>
  <c r="A490" i="85"/>
  <c r="N490" i="85"/>
  <c r="O490" i="85"/>
  <c r="A491" i="85"/>
  <c r="N491" i="85"/>
  <c r="O491" i="85"/>
  <c r="A492" i="85"/>
  <c r="N492" i="85"/>
  <c r="O492" i="85"/>
  <c r="A493" i="85"/>
  <c r="N493" i="85"/>
  <c r="O493" i="85"/>
  <c r="A494" i="85"/>
  <c r="N494" i="85"/>
  <c r="O494" i="85"/>
  <c r="A495" i="85"/>
  <c r="N495" i="85"/>
  <c r="O495" i="85"/>
  <c r="A496" i="85"/>
  <c r="N496" i="85"/>
  <c r="O496" i="85"/>
  <c r="A497" i="85"/>
  <c r="N497" i="85"/>
  <c r="O497" i="85"/>
  <c r="A498" i="85"/>
  <c r="N498" i="85"/>
  <c r="O498" i="85"/>
  <c r="A499" i="85"/>
  <c r="N499" i="85"/>
  <c r="O499" i="85"/>
  <c r="A500" i="85"/>
  <c r="N500" i="85"/>
  <c r="O500" i="85"/>
  <c r="A501" i="85"/>
  <c r="N501" i="85"/>
  <c r="O501" i="85"/>
  <c r="A502" i="85"/>
  <c r="N502" i="85"/>
  <c r="O502" i="85"/>
  <c r="A503" i="85"/>
  <c r="N503" i="85"/>
  <c r="O503" i="85"/>
  <c r="A504" i="85"/>
  <c r="N504" i="85"/>
  <c r="O504" i="85"/>
  <c r="A505" i="85"/>
  <c r="N505" i="85"/>
  <c r="O505" i="85"/>
  <c r="A506" i="85"/>
  <c r="N506" i="85"/>
  <c r="O506" i="85"/>
  <c r="A507" i="85"/>
  <c r="N507" i="85"/>
  <c r="O507" i="85"/>
  <c r="A508" i="85"/>
  <c r="N508" i="85"/>
  <c r="O508" i="85"/>
  <c r="E509" i="85"/>
  <c r="N509" i="85"/>
  <c r="A510" i="85"/>
  <c r="N510" i="85"/>
  <c r="O510" i="85"/>
  <c r="A511" i="85"/>
  <c r="N511" i="85"/>
  <c r="O511" i="85"/>
  <c r="A512" i="85"/>
  <c r="N512" i="85"/>
  <c r="O512" i="85"/>
  <c r="A513" i="85"/>
  <c r="N513" i="85"/>
  <c r="O513" i="85"/>
  <c r="A514" i="85"/>
  <c r="N514" i="85"/>
  <c r="O514" i="85"/>
  <c r="A515" i="85"/>
  <c r="N515" i="85"/>
  <c r="O515" i="85"/>
  <c r="A516" i="85"/>
  <c r="N516" i="85"/>
  <c r="O516" i="85"/>
  <c r="A517" i="85"/>
  <c r="N517" i="85"/>
  <c r="O517" i="85"/>
  <c r="A518" i="85"/>
  <c r="N518" i="85"/>
  <c r="O518" i="85"/>
  <c r="A519" i="85"/>
  <c r="N519" i="85"/>
  <c r="O519" i="85"/>
  <c r="A520" i="85"/>
  <c r="N520" i="85"/>
  <c r="O520" i="85"/>
  <c r="A521" i="85"/>
  <c r="N521" i="85"/>
  <c r="O521" i="85"/>
  <c r="A522" i="85"/>
  <c r="N522" i="85"/>
  <c r="O522" i="85"/>
  <c r="A523" i="85"/>
  <c r="N523" i="85"/>
  <c r="O523" i="85"/>
  <c r="A524" i="85"/>
  <c r="N524" i="85"/>
  <c r="O524" i="85"/>
  <c r="A525" i="85"/>
  <c r="N525" i="85"/>
  <c r="O525" i="85"/>
  <c r="A526" i="85"/>
  <c r="N526" i="85"/>
  <c r="O526" i="85"/>
  <c r="A527" i="85"/>
  <c r="N527" i="85"/>
  <c r="O527" i="85"/>
  <c r="A528" i="85"/>
  <c r="N528" i="85"/>
  <c r="O528" i="85"/>
  <c r="A529" i="85"/>
  <c r="N529" i="85"/>
  <c r="O529" i="85"/>
  <c r="E530" i="85"/>
  <c r="N530" i="85"/>
  <c r="S6" i="93"/>
  <c r="T6" i="93"/>
  <c r="R6" i="93" s="1"/>
  <c r="R7" i="93"/>
  <c r="S7" i="93"/>
  <c r="R8" i="93"/>
  <c r="S8" i="93"/>
  <c r="R9" i="93"/>
  <c r="S9" i="93"/>
  <c r="R10" i="93"/>
  <c r="S10" i="93"/>
  <c r="R11" i="93"/>
  <c r="S11" i="93"/>
  <c r="R12" i="93"/>
  <c r="S12" i="93"/>
  <c r="R13" i="93"/>
  <c r="S13" i="93"/>
  <c r="R14" i="93"/>
  <c r="S14" i="93"/>
  <c r="R15" i="93"/>
  <c r="S15" i="93"/>
  <c r="R16" i="93"/>
  <c r="S16" i="93"/>
  <c r="R17" i="93"/>
  <c r="S17" i="93"/>
  <c r="R18" i="93"/>
  <c r="S18" i="93"/>
  <c r="R19" i="93"/>
  <c r="S19" i="93"/>
  <c r="R20" i="93"/>
  <c r="S20" i="93"/>
  <c r="R21" i="93"/>
  <c r="S21" i="93"/>
  <c r="R22" i="93"/>
  <c r="S22" i="93"/>
  <c r="R23" i="93"/>
  <c r="S23" i="93"/>
  <c r="R24" i="93"/>
  <c r="S24" i="93"/>
  <c r="R25" i="93"/>
  <c r="S25" i="93"/>
  <c r="R26" i="93"/>
  <c r="R27" i="93"/>
  <c r="S27" i="93"/>
  <c r="E28" i="93"/>
  <c r="F28" i="93"/>
  <c r="R28" i="93"/>
  <c r="S28" i="93"/>
  <c r="R29" i="93"/>
  <c r="S29" i="93"/>
  <c r="R30" i="93"/>
  <c r="S30" i="93"/>
  <c r="R31" i="93"/>
  <c r="S31" i="93"/>
  <c r="R32" i="93"/>
  <c r="S32" i="93"/>
  <c r="R33" i="93"/>
  <c r="S33" i="93"/>
  <c r="R34" i="93"/>
  <c r="S34" i="93"/>
  <c r="R35" i="93"/>
  <c r="S35" i="93"/>
  <c r="R36" i="93"/>
  <c r="S36" i="93"/>
  <c r="R37" i="93"/>
  <c r="S37" i="93"/>
  <c r="R38" i="93"/>
  <c r="S38" i="93"/>
  <c r="R39" i="93"/>
  <c r="S39" i="93"/>
  <c r="R40" i="93"/>
  <c r="S40" i="93"/>
  <c r="R41" i="93"/>
  <c r="S41" i="93"/>
  <c r="R42" i="93"/>
  <c r="S42" i="93"/>
  <c r="R43" i="93"/>
  <c r="S43" i="93"/>
  <c r="R44" i="93"/>
  <c r="S44" i="93"/>
  <c r="R45" i="93"/>
  <c r="S45" i="93"/>
  <c r="R46" i="93"/>
  <c r="S46" i="93"/>
  <c r="R47" i="93"/>
  <c r="R48" i="93"/>
  <c r="S48" i="93"/>
  <c r="R49" i="93"/>
  <c r="S49" i="93"/>
  <c r="R50" i="93"/>
  <c r="S50" i="93"/>
  <c r="R51" i="93"/>
  <c r="S51" i="93"/>
  <c r="R52" i="93"/>
  <c r="S52" i="93"/>
  <c r="R53" i="93"/>
  <c r="S53" i="93"/>
  <c r="R54" i="93"/>
  <c r="S54" i="93"/>
  <c r="R55" i="93"/>
  <c r="S55" i="93"/>
  <c r="R56" i="93"/>
  <c r="S56" i="93"/>
  <c r="R57" i="93"/>
  <c r="S57" i="93"/>
  <c r="R58" i="93"/>
  <c r="S58" i="93"/>
  <c r="R59" i="93"/>
  <c r="S59" i="93"/>
  <c r="R60" i="93"/>
  <c r="S60" i="93"/>
  <c r="R61" i="93"/>
  <c r="S61" i="93"/>
  <c r="R62" i="93"/>
  <c r="S62" i="93"/>
  <c r="R63" i="93"/>
  <c r="S63" i="93"/>
  <c r="R64" i="93"/>
  <c r="S64" i="93"/>
  <c r="R65" i="93"/>
  <c r="S65" i="93"/>
  <c r="R66" i="93"/>
  <c r="S66" i="93"/>
  <c r="R67" i="93"/>
  <c r="S67" i="93"/>
  <c r="R68" i="93"/>
  <c r="R69" i="93"/>
  <c r="S69" i="93"/>
  <c r="R70" i="93"/>
  <c r="S70" i="93"/>
  <c r="R71" i="93"/>
  <c r="S71" i="93"/>
  <c r="R72" i="93"/>
  <c r="S72" i="93"/>
  <c r="R73" i="93"/>
  <c r="S73" i="93"/>
  <c r="R74" i="93"/>
  <c r="S74" i="93"/>
  <c r="R75" i="93"/>
  <c r="S75" i="93"/>
  <c r="R76" i="93"/>
  <c r="S76" i="93"/>
  <c r="R77" i="93"/>
  <c r="S77" i="93"/>
  <c r="R78" i="93"/>
  <c r="S78" i="93"/>
  <c r="R79" i="93"/>
  <c r="S79" i="93"/>
  <c r="R80" i="93"/>
  <c r="S80" i="93"/>
  <c r="R81" i="93"/>
  <c r="S81" i="93"/>
  <c r="R82" i="93"/>
  <c r="S82" i="93"/>
  <c r="R83" i="93"/>
  <c r="S83" i="93"/>
  <c r="R84" i="93"/>
  <c r="S84" i="93"/>
  <c r="R85" i="93"/>
  <c r="S85" i="93"/>
  <c r="R86" i="93"/>
  <c r="S86" i="93"/>
  <c r="R87" i="93"/>
  <c r="S87" i="93"/>
  <c r="R88" i="93"/>
  <c r="S88" i="93"/>
  <c r="R89" i="93"/>
  <c r="R90" i="93"/>
  <c r="S90" i="93"/>
  <c r="R91" i="93"/>
  <c r="S91" i="93"/>
  <c r="R92" i="93"/>
  <c r="S92" i="93"/>
  <c r="R93" i="93"/>
  <c r="S93" i="93"/>
  <c r="R94" i="93"/>
  <c r="S94" i="93"/>
  <c r="R95" i="93"/>
  <c r="S95" i="93"/>
  <c r="R96" i="93"/>
  <c r="S96" i="93"/>
  <c r="R97" i="93"/>
  <c r="S97" i="93"/>
  <c r="R98" i="93"/>
  <c r="S98" i="93"/>
  <c r="R99" i="93"/>
  <c r="S99" i="93"/>
  <c r="R100" i="93"/>
  <c r="S100" i="93"/>
  <c r="R101" i="93"/>
  <c r="S101" i="93"/>
  <c r="R102" i="93"/>
  <c r="S102" i="93"/>
  <c r="R103" i="93"/>
  <c r="S103" i="93"/>
  <c r="R104" i="93"/>
  <c r="S104" i="93"/>
  <c r="R105" i="93"/>
  <c r="S105" i="93"/>
  <c r="R106" i="93"/>
  <c r="S106" i="93"/>
  <c r="R107" i="93"/>
  <c r="S107" i="93"/>
  <c r="R108" i="93"/>
  <c r="S108" i="93"/>
  <c r="R109" i="93"/>
  <c r="S109" i="93"/>
  <c r="R110" i="93"/>
  <c r="R111" i="93"/>
  <c r="S111" i="93"/>
  <c r="R112" i="93"/>
  <c r="S112" i="93"/>
  <c r="R113" i="93"/>
  <c r="S113" i="93"/>
  <c r="R114" i="93"/>
  <c r="S114" i="93"/>
  <c r="R115" i="93"/>
  <c r="S115" i="93"/>
  <c r="R116" i="93"/>
  <c r="S116" i="93"/>
  <c r="R117" i="93"/>
  <c r="S117" i="93"/>
  <c r="R118" i="93"/>
  <c r="S118" i="93"/>
  <c r="R119" i="93"/>
  <c r="S119" i="93"/>
  <c r="R120" i="93"/>
  <c r="S120" i="93"/>
  <c r="R121" i="93"/>
  <c r="S121" i="93"/>
  <c r="R122" i="93"/>
  <c r="S122" i="93"/>
  <c r="R123" i="93"/>
  <c r="S123" i="93"/>
  <c r="R124" i="93"/>
  <c r="S124" i="93"/>
  <c r="R125" i="93"/>
  <c r="S125" i="93"/>
  <c r="R126" i="93"/>
  <c r="S126" i="93"/>
  <c r="R127" i="93"/>
  <c r="S127" i="93"/>
  <c r="R128" i="93"/>
  <c r="S128" i="93"/>
  <c r="R129" i="93"/>
  <c r="S129" i="93"/>
  <c r="R130" i="93"/>
  <c r="S130" i="93"/>
  <c r="R131" i="93"/>
  <c r="R132" i="93"/>
  <c r="S132" i="93"/>
  <c r="R133" i="93"/>
  <c r="S133" i="93"/>
  <c r="R134" i="93"/>
  <c r="S134" i="93"/>
  <c r="R135" i="93"/>
  <c r="S135" i="93"/>
  <c r="R136" i="93"/>
  <c r="S136" i="93"/>
  <c r="R137" i="93"/>
  <c r="S137" i="93"/>
  <c r="R138" i="93"/>
  <c r="S138" i="93"/>
  <c r="R139" i="93"/>
  <c r="S139" i="93"/>
  <c r="R140" i="93"/>
  <c r="S140" i="93"/>
  <c r="R141" i="93"/>
  <c r="S141" i="93"/>
  <c r="R142" i="93"/>
  <c r="S142" i="93"/>
  <c r="R143" i="93"/>
  <c r="S143" i="93"/>
  <c r="R144" i="93"/>
  <c r="S144" i="93"/>
  <c r="R145" i="93"/>
  <c r="S145" i="93"/>
  <c r="R146" i="93"/>
  <c r="S146" i="93"/>
  <c r="R147" i="93"/>
  <c r="S147" i="93"/>
  <c r="R148" i="93"/>
  <c r="S148" i="93"/>
  <c r="R149" i="93"/>
  <c r="S149" i="93"/>
  <c r="R150" i="93"/>
  <c r="S150" i="93"/>
  <c r="R151" i="93"/>
  <c r="S151" i="93"/>
  <c r="R152" i="93"/>
  <c r="R153" i="93"/>
  <c r="S153" i="93"/>
  <c r="R154" i="93"/>
  <c r="S154" i="93"/>
  <c r="R155" i="93"/>
  <c r="S155" i="93"/>
  <c r="R156" i="93"/>
  <c r="S156" i="93"/>
  <c r="R157" i="93"/>
  <c r="S157" i="93"/>
  <c r="R158" i="93"/>
  <c r="S158" i="93"/>
  <c r="R159" i="93"/>
  <c r="S159" i="93"/>
  <c r="R160" i="93"/>
  <c r="S160" i="93"/>
  <c r="R161" i="93"/>
  <c r="S161" i="93"/>
  <c r="R162" i="93"/>
  <c r="S162" i="93"/>
  <c r="R163" i="93"/>
  <c r="S163" i="93"/>
  <c r="R164" i="93"/>
  <c r="S164" i="93"/>
  <c r="R165" i="93"/>
  <c r="S165" i="93"/>
  <c r="R166" i="93"/>
  <c r="S166" i="93"/>
  <c r="R167" i="93"/>
  <c r="S167" i="93"/>
  <c r="R168" i="93"/>
  <c r="S168" i="93"/>
  <c r="R169" i="93"/>
  <c r="S169" i="93"/>
  <c r="R170" i="93"/>
  <c r="S170" i="93"/>
  <c r="R171" i="93"/>
  <c r="S171" i="93"/>
  <c r="R172" i="93"/>
  <c r="S172" i="93"/>
  <c r="R173" i="93"/>
  <c r="R174" i="93"/>
  <c r="S174" i="93"/>
  <c r="R175" i="93"/>
  <c r="S175" i="93"/>
  <c r="R176" i="93"/>
  <c r="S176" i="93"/>
  <c r="R177" i="93"/>
  <c r="S177" i="93"/>
  <c r="R178" i="93"/>
  <c r="S178" i="93"/>
  <c r="R179" i="93"/>
  <c r="S179" i="93"/>
  <c r="R180" i="93"/>
  <c r="S180" i="93"/>
  <c r="R181" i="93"/>
  <c r="S181" i="93"/>
  <c r="R182" i="93"/>
  <c r="S182" i="93"/>
  <c r="R183" i="93"/>
  <c r="S183" i="93"/>
  <c r="R184" i="93"/>
  <c r="S184" i="93"/>
  <c r="R185" i="93"/>
  <c r="S185" i="93"/>
  <c r="R186" i="93"/>
  <c r="S186" i="93"/>
  <c r="R187" i="93"/>
  <c r="S187" i="93"/>
  <c r="R188" i="93"/>
  <c r="S188" i="93"/>
  <c r="R189" i="93"/>
  <c r="S189" i="93"/>
  <c r="R190" i="93"/>
  <c r="S190" i="93"/>
  <c r="R191" i="93"/>
  <c r="S191" i="93"/>
  <c r="R192" i="93"/>
  <c r="S192" i="93"/>
  <c r="R193" i="93"/>
  <c r="S193" i="93"/>
  <c r="R194" i="93"/>
  <c r="R195" i="93"/>
  <c r="S195" i="93"/>
  <c r="R196" i="93"/>
  <c r="S196" i="93"/>
  <c r="R197" i="93"/>
  <c r="S197" i="93"/>
  <c r="R198" i="93"/>
  <c r="S198" i="93"/>
  <c r="R199" i="93"/>
  <c r="S199" i="93"/>
  <c r="R200" i="93"/>
  <c r="S200" i="93"/>
  <c r="R201" i="93"/>
  <c r="S201" i="93"/>
  <c r="R202" i="93"/>
  <c r="S202" i="93"/>
  <c r="R203" i="93"/>
  <c r="S203" i="93"/>
  <c r="R204" i="93"/>
  <c r="S204" i="93"/>
  <c r="R205" i="93"/>
  <c r="S205" i="93"/>
  <c r="R206" i="93"/>
  <c r="S206" i="93"/>
  <c r="R207" i="93"/>
  <c r="S207" i="93"/>
  <c r="R208" i="93"/>
  <c r="S208" i="93"/>
  <c r="R209" i="93"/>
  <c r="S209" i="93"/>
  <c r="R210" i="93"/>
  <c r="S210" i="93"/>
  <c r="R211" i="93"/>
  <c r="S211" i="93"/>
  <c r="R212" i="93"/>
  <c r="S212" i="93"/>
  <c r="R213" i="93"/>
  <c r="S213" i="93"/>
  <c r="R214" i="93"/>
  <c r="S214" i="93"/>
  <c r="R215" i="93"/>
  <c r="R216" i="93"/>
  <c r="S216" i="93"/>
  <c r="R217" i="93"/>
  <c r="S217" i="93"/>
  <c r="R218" i="93"/>
  <c r="S218" i="93"/>
  <c r="R219" i="93"/>
  <c r="S219" i="93"/>
  <c r="R220" i="93"/>
  <c r="S220" i="93"/>
  <c r="R221" i="93"/>
  <c r="S221" i="93"/>
  <c r="R222" i="93"/>
  <c r="S222" i="93"/>
  <c r="R223" i="93"/>
  <c r="S223" i="93"/>
  <c r="R224" i="93"/>
  <c r="S224" i="93"/>
  <c r="R225" i="93"/>
  <c r="S225" i="93"/>
  <c r="R226" i="93"/>
  <c r="S226" i="93"/>
  <c r="R227" i="93"/>
  <c r="S227" i="93"/>
  <c r="R228" i="93"/>
  <c r="S228" i="93"/>
  <c r="R229" i="93"/>
  <c r="S229" i="93"/>
  <c r="R230" i="93"/>
  <c r="S230" i="93"/>
  <c r="R231" i="93"/>
  <c r="S231" i="93"/>
  <c r="R232" i="93"/>
  <c r="S232" i="93"/>
  <c r="R233" i="93"/>
  <c r="S233" i="93"/>
  <c r="R234" i="93"/>
  <c r="S234" i="93"/>
  <c r="R235" i="93"/>
  <c r="S235" i="93"/>
  <c r="R236" i="93"/>
  <c r="R237" i="93"/>
  <c r="S237" i="93"/>
  <c r="R238" i="93"/>
  <c r="S238" i="93"/>
  <c r="R239" i="93"/>
  <c r="S239" i="93"/>
  <c r="R240" i="93"/>
  <c r="S240" i="93"/>
  <c r="R241" i="93"/>
  <c r="S241" i="93"/>
  <c r="R242" i="93"/>
  <c r="S242" i="93"/>
  <c r="R243" i="93"/>
  <c r="S243" i="93"/>
  <c r="R244" i="93"/>
  <c r="S244" i="93"/>
  <c r="R245" i="93"/>
  <c r="S245" i="93"/>
  <c r="R246" i="93"/>
  <c r="S246" i="93"/>
  <c r="R247" i="93"/>
  <c r="S247" i="93"/>
  <c r="R248" i="93"/>
  <c r="S248" i="93"/>
  <c r="R249" i="93"/>
  <c r="S249" i="93"/>
  <c r="R250" i="93"/>
  <c r="S250" i="93"/>
  <c r="R251" i="93"/>
  <c r="S251" i="93"/>
  <c r="R252" i="93"/>
  <c r="S252" i="93"/>
  <c r="R253" i="93"/>
  <c r="S253" i="93"/>
  <c r="R254" i="93"/>
  <c r="S254" i="93"/>
  <c r="R255" i="93"/>
  <c r="S255" i="93"/>
  <c r="R256" i="93"/>
  <c r="S256" i="93"/>
  <c r="R257" i="93"/>
  <c r="R258" i="93"/>
  <c r="S258" i="93"/>
  <c r="R259" i="93"/>
  <c r="S259" i="93"/>
  <c r="R260" i="93"/>
  <c r="S260" i="93"/>
  <c r="R261" i="93"/>
  <c r="S261" i="93"/>
  <c r="R262" i="93"/>
  <c r="S262" i="93"/>
  <c r="R263" i="93"/>
  <c r="S263" i="93"/>
  <c r="R264" i="93"/>
  <c r="S264" i="93"/>
  <c r="R265" i="93"/>
  <c r="S265" i="93"/>
  <c r="R266" i="93"/>
  <c r="S266" i="93"/>
  <c r="R267" i="93"/>
  <c r="S267" i="93"/>
  <c r="R268" i="93"/>
  <c r="S268" i="93"/>
  <c r="R269" i="93"/>
  <c r="S269" i="93"/>
  <c r="R270" i="93"/>
  <c r="S270" i="93"/>
  <c r="R271" i="93"/>
  <c r="S271" i="93"/>
  <c r="R272" i="93"/>
  <c r="S272" i="93"/>
  <c r="R273" i="93"/>
  <c r="S273" i="93"/>
  <c r="R274" i="93"/>
  <c r="S274" i="93"/>
  <c r="R275" i="93"/>
  <c r="S275" i="93"/>
  <c r="R276" i="93"/>
  <c r="S276" i="93"/>
  <c r="R277" i="93"/>
  <c r="R278" i="93"/>
  <c r="S278" i="93"/>
  <c r="R279" i="93"/>
  <c r="S279" i="93"/>
  <c r="R280" i="93"/>
  <c r="S280" i="93"/>
  <c r="R281" i="93"/>
  <c r="S281" i="93"/>
  <c r="R282" i="93"/>
  <c r="S282" i="93"/>
  <c r="R283" i="93"/>
  <c r="S283" i="93"/>
  <c r="R284" i="93"/>
  <c r="S284" i="93"/>
  <c r="R285" i="93"/>
  <c r="S285" i="93"/>
  <c r="R286" i="93"/>
  <c r="S286" i="93"/>
  <c r="R287" i="93"/>
  <c r="S287" i="93"/>
  <c r="R288" i="93"/>
  <c r="S288" i="93"/>
  <c r="R289" i="93"/>
  <c r="S289" i="93"/>
  <c r="R290" i="93"/>
  <c r="S290" i="93"/>
  <c r="R291" i="93"/>
  <c r="S291" i="93"/>
  <c r="R292" i="93"/>
  <c r="S292" i="93"/>
  <c r="R293" i="93"/>
  <c r="S293" i="93"/>
  <c r="R294" i="93"/>
  <c r="S294" i="93"/>
  <c r="R295" i="93"/>
  <c r="S295" i="93"/>
  <c r="R296" i="93"/>
  <c r="S296" i="93"/>
  <c r="R297" i="93"/>
  <c r="S297" i="93"/>
  <c r="R298" i="93"/>
  <c r="R299" i="93"/>
  <c r="S299" i="93"/>
  <c r="R300" i="93"/>
  <c r="S300" i="93"/>
  <c r="R301" i="93"/>
  <c r="S301" i="93"/>
  <c r="R302" i="93"/>
  <c r="S302" i="93"/>
  <c r="R303" i="93"/>
  <c r="S303" i="93"/>
  <c r="R304" i="93"/>
  <c r="S304" i="93"/>
  <c r="R305" i="93"/>
  <c r="S305" i="93"/>
  <c r="R306" i="93"/>
  <c r="S306" i="93"/>
  <c r="R307" i="93"/>
  <c r="S307" i="93"/>
  <c r="R308" i="93"/>
  <c r="S308" i="93"/>
  <c r="R309" i="93"/>
  <c r="S309" i="93"/>
  <c r="R310" i="93"/>
  <c r="S310" i="93"/>
  <c r="R311" i="93"/>
  <c r="S311" i="93"/>
  <c r="R312" i="93"/>
  <c r="S312" i="93"/>
  <c r="R313" i="93"/>
  <c r="S313" i="93"/>
  <c r="R314" i="93"/>
  <c r="S314" i="93"/>
  <c r="R315" i="93"/>
  <c r="S315" i="93"/>
  <c r="R316" i="93"/>
  <c r="S316" i="93"/>
  <c r="R317" i="93"/>
  <c r="S317" i="93"/>
  <c r="R318" i="93"/>
  <c r="S318" i="93"/>
  <c r="R319" i="93"/>
  <c r="R320" i="93"/>
  <c r="S320" i="93"/>
  <c r="R321" i="93"/>
  <c r="S321" i="93"/>
  <c r="R322" i="93"/>
  <c r="S322" i="93"/>
  <c r="R323" i="93"/>
  <c r="S323" i="93"/>
  <c r="R324" i="93"/>
  <c r="S324" i="93"/>
  <c r="R325" i="93"/>
  <c r="S325" i="93"/>
  <c r="R326" i="93"/>
  <c r="S326" i="93"/>
  <c r="R327" i="93"/>
  <c r="S327" i="93"/>
  <c r="R328" i="93"/>
  <c r="S328" i="93"/>
  <c r="R329" i="93"/>
  <c r="S329" i="93"/>
  <c r="R330" i="93"/>
  <c r="S330" i="93"/>
  <c r="R331" i="93"/>
  <c r="S331" i="93"/>
  <c r="R332" i="93"/>
  <c r="S332" i="93"/>
  <c r="R333" i="93"/>
  <c r="S333" i="93"/>
  <c r="R334" i="93"/>
  <c r="S334" i="93"/>
  <c r="R335" i="93"/>
  <c r="S335" i="93"/>
  <c r="R336" i="93"/>
  <c r="S336" i="93"/>
  <c r="R337" i="93"/>
  <c r="S337" i="93"/>
  <c r="R338" i="93"/>
  <c r="S338" i="93"/>
  <c r="R339" i="93"/>
  <c r="S339" i="93"/>
  <c r="R340" i="93"/>
  <c r="R341" i="93"/>
  <c r="S341" i="93"/>
  <c r="R342" i="93"/>
  <c r="S342" i="93"/>
  <c r="R343" i="93"/>
  <c r="S343" i="93"/>
  <c r="R344" i="93"/>
  <c r="S344" i="93"/>
  <c r="R345" i="93"/>
  <c r="S345" i="93"/>
  <c r="R346" i="93"/>
  <c r="S346" i="93"/>
  <c r="R347" i="93"/>
  <c r="S347" i="93"/>
  <c r="R348" i="93"/>
  <c r="S348" i="93"/>
  <c r="R349" i="93"/>
  <c r="S349" i="93"/>
  <c r="R350" i="93"/>
  <c r="S350" i="93"/>
  <c r="R351" i="93"/>
  <c r="S351" i="93"/>
  <c r="R352" i="93"/>
  <c r="S352" i="93"/>
  <c r="R353" i="93"/>
  <c r="S353" i="93"/>
  <c r="R354" i="93"/>
  <c r="S354" i="93"/>
  <c r="R355" i="93"/>
  <c r="S355" i="93"/>
  <c r="R356" i="93"/>
  <c r="S356" i="93"/>
  <c r="R357" i="93"/>
  <c r="S357" i="93"/>
  <c r="R358" i="93"/>
  <c r="S358" i="93"/>
  <c r="R359" i="93"/>
  <c r="S359" i="93"/>
  <c r="R360" i="93"/>
  <c r="S360" i="93"/>
  <c r="R361" i="93"/>
  <c r="R362" i="93"/>
  <c r="S362" i="93"/>
  <c r="R363" i="93"/>
  <c r="S363" i="93"/>
  <c r="R364" i="93"/>
  <c r="S364" i="93"/>
  <c r="R365" i="93"/>
  <c r="S365" i="93"/>
  <c r="R366" i="93"/>
  <c r="S366" i="93"/>
  <c r="R367" i="93"/>
  <c r="S367" i="93"/>
  <c r="R368" i="93"/>
  <c r="S368" i="93"/>
  <c r="R369" i="93"/>
  <c r="S369" i="93"/>
  <c r="R370" i="93"/>
  <c r="S370" i="93"/>
  <c r="R371" i="93"/>
  <c r="S371" i="93"/>
  <c r="R372" i="93"/>
  <c r="S372" i="93"/>
  <c r="R373" i="93"/>
  <c r="S373" i="93"/>
  <c r="R374" i="93"/>
  <c r="S374" i="93"/>
  <c r="R375" i="93"/>
  <c r="S375" i="93"/>
  <c r="R376" i="93"/>
  <c r="S376" i="93"/>
  <c r="R377" i="93"/>
  <c r="S377" i="93"/>
  <c r="R378" i="93"/>
  <c r="S378" i="93"/>
  <c r="R379" i="93"/>
  <c r="S379" i="93"/>
  <c r="R380" i="93"/>
  <c r="S380" i="93"/>
  <c r="R381" i="93"/>
  <c r="S381" i="93"/>
  <c r="R382" i="93"/>
  <c r="R383" i="93"/>
  <c r="S383" i="93"/>
  <c r="R384" i="93"/>
  <c r="S384" i="93"/>
  <c r="R385" i="93"/>
  <c r="S385" i="93"/>
  <c r="R386" i="93"/>
  <c r="S386" i="93"/>
  <c r="R387" i="93"/>
  <c r="S387" i="93"/>
  <c r="R388" i="93"/>
  <c r="S388" i="93"/>
  <c r="R389" i="93"/>
  <c r="S389" i="93"/>
  <c r="R390" i="93"/>
  <c r="S390" i="93"/>
  <c r="R391" i="93"/>
  <c r="S391" i="93"/>
  <c r="R392" i="93"/>
  <c r="S392" i="93"/>
  <c r="R393" i="93"/>
  <c r="S393" i="93"/>
  <c r="R394" i="93"/>
  <c r="S394" i="93"/>
  <c r="R395" i="93"/>
  <c r="S395" i="93"/>
  <c r="R396" i="93"/>
  <c r="S396" i="93"/>
  <c r="R397" i="93"/>
  <c r="S397" i="93"/>
  <c r="R398" i="93"/>
  <c r="S398" i="93"/>
  <c r="R399" i="93"/>
  <c r="S399" i="93"/>
  <c r="R400" i="93"/>
  <c r="S400" i="93"/>
  <c r="R401" i="93"/>
  <c r="S401" i="93"/>
  <c r="R402" i="93"/>
  <c r="S402" i="93"/>
  <c r="R403" i="93"/>
  <c r="R404" i="93"/>
  <c r="S404" i="93"/>
  <c r="R405" i="93"/>
  <c r="S405" i="93"/>
  <c r="R406" i="93"/>
  <c r="S406" i="93"/>
  <c r="R407" i="93"/>
  <c r="S407" i="93"/>
  <c r="R408" i="93"/>
  <c r="S408" i="93"/>
  <c r="R409" i="93"/>
  <c r="S409" i="93"/>
  <c r="R410" i="93"/>
  <c r="S410" i="93"/>
  <c r="R411" i="93"/>
  <c r="S411" i="93"/>
  <c r="R412" i="93"/>
  <c r="S412" i="93"/>
  <c r="R413" i="93"/>
  <c r="S413" i="93"/>
  <c r="R414" i="93"/>
  <c r="S414" i="93"/>
  <c r="R415" i="93"/>
  <c r="S415" i="93"/>
  <c r="R416" i="93"/>
  <c r="S416" i="93"/>
  <c r="R417" i="93"/>
  <c r="S417" i="93"/>
  <c r="R418" i="93"/>
  <c r="S418" i="93"/>
  <c r="R419" i="93"/>
  <c r="S419" i="93"/>
  <c r="R420" i="93"/>
  <c r="S420" i="93"/>
  <c r="R421" i="93"/>
  <c r="S421" i="93"/>
  <c r="R422" i="93"/>
  <c r="S422" i="93"/>
  <c r="R423" i="93"/>
  <c r="S423" i="93"/>
  <c r="R424" i="93"/>
  <c r="R425" i="93"/>
  <c r="S425" i="93"/>
  <c r="R426" i="93"/>
  <c r="S426" i="93"/>
  <c r="R427" i="93"/>
  <c r="S427" i="93"/>
  <c r="R428" i="93"/>
  <c r="S428" i="93"/>
  <c r="R429" i="93"/>
  <c r="S429" i="93"/>
  <c r="R430" i="93"/>
  <c r="S430" i="93"/>
  <c r="R431" i="93"/>
  <c r="S431" i="93"/>
  <c r="R432" i="93"/>
  <c r="S432" i="93"/>
  <c r="R433" i="93"/>
  <c r="S433" i="93"/>
  <c r="R434" i="93"/>
  <c r="S434" i="93"/>
  <c r="R435" i="93"/>
  <c r="S435" i="93"/>
  <c r="R436" i="93"/>
  <c r="S436" i="93"/>
  <c r="R437" i="93"/>
  <c r="S437" i="93"/>
  <c r="R438" i="93"/>
  <c r="S438" i="93"/>
  <c r="R439" i="93"/>
  <c r="S439" i="93"/>
  <c r="R440" i="93"/>
  <c r="S440" i="93"/>
  <c r="R441" i="93"/>
  <c r="S441" i="93"/>
  <c r="R442" i="93"/>
  <c r="S442" i="93"/>
  <c r="R443" i="93"/>
  <c r="S443" i="93"/>
  <c r="R444" i="93"/>
  <c r="S444" i="93"/>
  <c r="R445" i="93"/>
  <c r="R446" i="93"/>
  <c r="S446" i="93"/>
  <c r="R447" i="93"/>
  <c r="S447" i="93"/>
  <c r="R448" i="93"/>
  <c r="S448" i="93"/>
  <c r="R449" i="93"/>
  <c r="S449" i="93"/>
  <c r="R450" i="93"/>
  <c r="S450" i="93"/>
  <c r="R451" i="93"/>
  <c r="S451" i="93"/>
  <c r="R452" i="93"/>
  <c r="S452" i="93"/>
  <c r="R453" i="93"/>
  <c r="S453" i="93"/>
  <c r="A454" i="93"/>
  <c r="R454" i="93"/>
  <c r="S454" i="93"/>
  <c r="A455" i="93"/>
  <c r="R455" i="93"/>
  <c r="S455" i="93"/>
  <c r="A456" i="93"/>
  <c r="R456" i="93"/>
  <c r="S456" i="93"/>
  <c r="A457" i="93"/>
  <c r="R457" i="93"/>
  <c r="S457" i="93"/>
  <c r="A458" i="93"/>
  <c r="R458" i="93"/>
  <c r="S458" i="93"/>
  <c r="A459" i="93"/>
  <c r="R459" i="93"/>
  <c r="S459" i="93"/>
  <c r="A460" i="93"/>
  <c r="R460" i="93"/>
  <c r="S460" i="93"/>
  <c r="A461" i="93"/>
  <c r="R461" i="93"/>
  <c r="S461" i="93"/>
  <c r="A462" i="93"/>
  <c r="R462" i="93"/>
  <c r="S462" i="93"/>
  <c r="A463" i="93"/>
  <c r="R463" i="93"/>
  <c r="S463" i="93"/>
  <c r="A464" i="93"/>
  <c r="R464" i="93"/>
  <c r="S464" i="93"/>
  <c r="A465" i="93"/>
  <c r="R465" i="93"/>
  <c r="S465" i="93"/>
  <c r="F466" i="93"/>
  <c r="R466" i="93"/>
  <c r="A467" i="93"/>
  <c r="R467" i="93"/>
  <c r="S467" i="93"/>
  <c r="A468" i="93"/>
  <c r="R468" i="93"/>
  <c r="S468" i="93"/>
  <c r="A469" i="93"/>
  <c r="R469" i="93"/>
  <c r="S469" i="93"/>
  <c r="A470" i="93"/>
  <c r="R470" i="93"/>
  <c r="S470" i="93"/>
  <c r="A471" i="93"/>
  <c r="R471" i="93"/>
  <c r="S471" i="93"/>
  <c r="A472" i="93"/>
  <c r="R472" i="93"/>
  <c r="S472" i="93"/>
  <c r="A473" i="93"/>
  <c r="R473" i="93"/>
  <c r="S473" i="93"/>
  <c r="A474" i="93"/>
  <c r="R474" i="93"/>
  <c r="S474" i="93"/>
  <c r="A475" i="93"/>
  <c r="R475" i="93"/>
  <c r="S475" i="93"/>
  <c r="A476" i="93"/>
  <c r="R476" i="93"/>
  <c r="S476" i="93"/>
  <c r="A477" i="93"/>
  <c r="R477" i="93"/>
  <c r="S477" i="93"/>
  <c r="A478" i="93"/>
  <c r="R478" i="93"/>
  <c r="S478" i="93"/>
  <c r="A479" i="93"/>
  <c r="R479" i="93"/>
  <c r="S479" i="93"/>
  <c r="A480" i="93"/>
  <c r="R480" i="93"/>
  <c r="S480" i="93"/>
  <c r="A481" i="93"/>
  <c r="R481" i="93"/>
  <c r="S481" i="93"/>
  <c r="A482" i="93"/>
  <c r="R482" i="93"/>
  <c r="S482" i="93"/>
  <c r="A483" i="93"/>
  <c r="R483" i="93"/>
  <c r="S483" i="93"/>
  <c r="A484" i="93"/>
  <c r="R484" i="93"/>
  <c r="S484" i="93"/>
  <c r="A485" i="93"/>
  <c r="R485" i="93"/>
  <c r="S485" i="93"/>
  <c r="A486" i="93"/>
  <c r="R486" i="93"/>
  <c r="S486" i="93"/>
  <c r="F487" i="93"/>
  <c r="R487" i="93"/>
  <c r="A488" i="93"/>
  <c r="R488" i="93"/>
  <c r="S488" i="93"/>
  <c r="A489" i="93"/>
  <c r="R489" i="93"/>
  <c r="S489" i="93"/>
  <c r="A490" i="93"/>
  <c r="R490" i="93"/>
  <c r="S490" i="93"/>
  <c r="A491" i="93"/>
  <c r="R491" i="93"/>
  <c r="S491" i="93"/>
  <c r="A492" i="93"/>
  <c r="R492" i="93"/>
  <c r="S492" i="93"/>
  <c r="A493" i="93"/>
  <c r="R493" i="93"/>
  <c r="S493" i="93"/>
  <c r="A494" i="93"/>
  <c r="R494" i="93"/>
  <c r="S494" i="93"/>
  <c r="A495" i="93"/>
  <c r="R495" i="93"/>
  <c r="S495" i="93"/>
  <c r="A496" i="93"/>
  <c r="R496" i="93"/>
  <c r="S496" i="93"/>
  <c r="A497" i="93"/>
  <c r="R497" i="93"/>
  <c r="S497" i="93"/>
  <c r="A498" i="93"/>
  <c r="R498" i="93"/>
  <c r="S498" i="93"/>
  <c r="A499" i="93"/>
  <c r="R499" i="93"/>
  <c r="S499" i="93"/>
  <c r="A500" i="93"/>
  <c r="R500" i="93"/>
  <c r="S500" i="93"/>
  <c r="A501" i="93"/>
  <c r="R501" i="93"/>
  <c r="S501" i="93"/>
  <c r="A502" i="93"/>
  <c r="R502" i="93"/>
  <c r="S502" i="93"/>
  <c r="A503" i="93"/>
  <c r="R503" i="93"/>
  <c r="S503" i="93"/>
  <c r="A504" i="93"/>
  <c r="R504" i="93"/>
  <c r="S504" i="93"/>
  <c r="A505" i="93"/>
  <c r="R505" i="93"/>
  <c r="S505" i="93"/>
  <c r="A506" i="93"/>
  <c r="R506" i="93"/>
  <c r="S506" i="93"/>
  <c r="A507" i="93"/>
  <c r="R507" i="93"/>
  <c r="S507" i="93"/>
  <c r="F508" i="93"/>
  <c r="R508" i="93"/>
  <c r="A509" i="93"/>
  <c r="R509" i="93"/>
  <c r="S509" i="93"/>
  <c r="A510" i="93"/>
  <c r="R510" i="93"/>
  <c r="S510" i="93"/>
  <c r="A511" i="93"/>
  <c r="R511" i="93"/>
  <c r="S511" i="93"/>
  <c r="A512" i="93"/>
  <c r="R512" i="93"/>
  <c r="S512" i="93"/>
  <c r="A513" i="93"/>
  <c r="R513" i="93"/>
  <c r="S513" i="93"/>
  <c r="A514" i="93"/>
  <c r="R514" i="93"/>
  <c r="S514" i="93"/>
  <c r="A515" i="93"/>
  <c r="R515" i="93"/>
  <c r="S515" i="93"/>
  <c r="A516" i="93"/>
  <c r="R516" i="93"/>
  <c r="S516" i="93"/>
  <c r="A517" i="93"/>
  <c r="R517" i="93"/>
  <c r="S517" i="93"/>
  <c r="A518" i="93"/>
  <c r="R518" i="93"/>
  <c r="S518" i="93"/>
  <c r="A519" i="93"/>
  <c r="R519" i="93"/>
  <c r="S519" i="93"/>
  <c r="A520" i="93"/>
  <c r="R520" i="93"/>
  <c r="S520" i="93"/>
  <c r="A521" i="93"/>
  <c r="R521" i="93"/>
  <c r="S521" i="93"/>
  <c r="A522" i="93"/>
  <c r="R522" i="93"/>
  <c r="S522" i="93"/>
  <c r="A523" i="93"/>
  <c r="R523" i="93"/>
  <c r="S523" i="93"/>
  <c r="A524" i="93"/>
  <c r="R524" i="93"/>
  <c r="S524" i="93"/>
  <c r="A525" i="93"/>
  <c r="R525" i="93"/>
  <c r="S525" i="93"/>
  <c r="A526" i="93"/>
  <c r="R526" i="93"/>
  <c r="S526" i="93"/>
  <c r="A527" i="93"/>
  <c r="R527" i="93"/>
  <c r="S527" i="93"/>
  <c r="A528" i="93"/>
  <c r="R528" i="93"/>
  <c r="S528" i="93"/>
  <c r="F529" i="93"/>
  <c r="R529" i="93"/>
</calcChain>
</file>

<file path=xl/sharedStrings.xml><?xml version="1.0" encoding="utf-8"?>
<sst xmlns="http://schemas.openxmlformats.org/spreadsheetml/2006/main" count="8051" uniqueCount="2179">
  <si>
    <t>답</t>
    <phoneticPr fontId="6" type="noConversion"/>
  </si>
  <si>
    <t>공</t>
    <phoneticPr fontId="6" type="noConversion"/>
  </si>
  <si>
    <t>구</t>
    <phoneticPr fontId="6" type="noConversion"/>
  </si>
  <si>
    <t>도</t>
    <phoneticPr fontId="6" type="noConversion"/>
  </si>
  <si>
    <t>934</t>
    <phoneticPr fontId="6" type="noConversion"/>
  </si>
  <si>
    <t>259-4</t>
    <phoneticPr fontId="6" type="noConversion"/>
  </si>
  <si>
    <t>전</t>
    <phoneticPr fontId="6" type="noConversion"/>
  </si>
  <si>
    <t>259-7</t>
    <phoneticPr fontId="6" type="noConversion"/>
  </si>
  <si>
    <t>154-11</t>
    <phoneticPr fontId="6" type="noConversion"/>
  </si>
  <si>
    <t>154-5</t>
    <phoneticPr fontId="6" type="noConversion"/>
  </si>
  <si>
    <t>154-12</t>
    <phoneticPr fontId="6" type="noConversion"/>
  </si>
  <si>
    <t>임</t>
    <phoneticPr fontId="6" type="noConversion"/>
  </si>
  <si>
    <t>한국농어촌공사</t>
    <phoneticPr fontId="6" type="noConversion"/>
  </si>
  <si>
    <t>비고</t>
    <phoneticPr fontId="6" type="noConversion"/>
  </si>
  <si>
    <t>분할전</t>
    <phoneticPr fontId="6" type="noConversion"/>
  </si>
  <si>
    <t>분할후</t>
    <phoneticPr fontId="6" type="noConversion"/>
  </si>
  <si>
    <t>천</t>
    <phoneticPr fontId="6" type="noConversion"/>
  </si>
  <si>
    <t>국</t>
    <phoneticPr fontId="6" type="noConversion"/>
  </si>
  <si>
    <t>충청남도</t>
    <phoneticPr fontId="6" type="noConversion"/>
  </si>
  <si>
    <t>246-1</t>
    <phoneticPr fontId="6" type="noConversion"/>
  </si>
  <si>
    <t>248-1</t>
    <phoneticPr fontId="6" type="noConversion"/>
  </si>
  <si>
    <t>303-1</t>
    <phoneticPr fontId="6" type="noConversion"/>
  </si>
  <si>
    <t>246-2</t>
    <phoneticPr fontId="6" type="noConversion"/>
  </si>
  <si>
    <t>대</t>
    <phoneticPr fontId="6" type="noConversion"/>
  </si>
  <si>
    <t>182-2</t>
    <phoneticPr fontId="6" type="noConversion"/>
  </si>
  <si>
    <t>182-3</t>
    <phoneticPr fontId="6" type="noConversion"/>
  </si>
  <si>
    <t>182-6</t>
    <phoneticPr fontId="6" type="noConversion"/>
  </si>
  <si>
    <t>49-3</t>
    <phoneticPr fontId="6" type="noConversion"/>
  </si>
  <si>
    <t>181-3</t>
    <phoneticPr fontId="6" type="noConversion"/>
  </si>
  <si>
    <t>181-2</t>
    <phoneticPr fontId="6" type="noConversion"/>
  </si>
  <si>
    <t>비고</t>
  </si>
  <si>
    <t>일련</t>
  </si>
  <si>
    <t>지 번</t>
  </si>
  <si>
    <t>지목</t>
  </si>
  <si>
    <t>지 적</t>
  </si>
  <si>
    <t>편입면적</t>
  </si>
  <si>
    <t>실제이용상황</t>
  </si>
  <si>
    <t>소  유  자</t>
  </si>
  <si>
    <t>관  계  인</t>
  </si>
  <si>
    <t>번호</t>
  </si>
  <si>
    <t>면 적</t>
  </si>
  <si>
    <t>성  명</t>
  </si>
  <si>
    <t>주  소</t>
  </si>
  <si>
    <t>권리관계</t>
  </si>
  <si>
    <t>소   계</t>
  </si>
  <si>
    <t>용  지  조  서</t>
    <phoneticPr fontId="6" type="noConversion"/>
  </si>
  <si>
    <r>
      <t>( ㎡</t>
    </r>
    <r>
      <rPr>
        <vertAlign val="superscript"/>
        <sz val="10"/>
        <rFont val="돋움체"/>
        <family val="3"/>
        <charset val="129"/>
      </rPr>
      <t xml:space="preserve"> </t>
    </r>
    <r>
      <rPr>
        <sz val="10"/>
        <rFont val="돋움체"/>
        <family val="3"/>
        <charset val="129"/>
      </rPr>
      <t>)</t>
    </r>
  </si>
  <si>
    <t>154-4</t>
    <phoneticPr fontId="6" type="noConversion"/>
  </si>
  <si>
    <t>261-4</t>
    <phoneticPr fontId="6" type="noConversion"/>
  </si>
  <si>
    <t>261-3</t>
    <phoneticPr fontId="6" type="noConversion"/>
  </si>
  <si>
    <t>261-1</t>
    <phoneticPr fontId="6" type="noConversion"/>
  </si>
  <si>
    <t>262</t>
    <phoneticPr fontId="6" type="noConversion"/>
  </si>
  <si>
    <t>261</t>
    <phoneticPr fontId="6" type="noConversion"/>
  </si>
  <si>
    <t>251-6</t>
    <phoneticPr fontId="6" type="noConversion"/>
  </si>
  <si>
    <t>251-2</t>
    <phoneticPr fontId="6" type="noConversion"/>
  </si>
  <si>
    <t>73-8</t>
    <phoneticPr fontId="6" type="noConversion"/>
  </si>
  <si>
    <t>480</t>
    <phoneticPr fontId="6" type="noConversion"/>
  </si>
  <si>
    <t>묘</t>
    <phoneticPr fontId="6" type="noConversion"/>
  </si>
  <si>
    <t>402-1</t>
    <phoneticPr fontId="6" type="noConversion"/>
  </si>
  <si>
    <t>근저당권
지상권</t>
    <phoneticPr fontId="6" type="noConversion"/>
  </si>
  <si>
    <t>분할후</t>
    <phoneticPr fontId="6" type="noConversion"/>
  </si>
  <si>
    <t>265-8</t>
    <phoneticPr fontId="6" type="noConversion"/>
  </si>
  <si>
    <t>262-1</t>
    <phoneticPr fontId="6" type="noConversion"/>
  </si>
  <si>
    <r>
      <t>( ㎡</t>
    </r>
    <r>
      <rPr>
        <vertAlign val="superscript"/>
        <sz val="7"/>
        <rFont val="굴림체"/>
        <family val="3"/>
        <charset val="129"/>
      </rPr>
      <t xml:space="preserve"> </t>
    </r>
    <r>
      <rPr>
        <sz val="7"/>
        <rFont val="굴림체"/>
        <family val="3"/>
        <charset val="129"/>
      </rPr>
      <t>)</t>
    </r>
  </si>
  <si>
    <t>253-5</t>
    <phoneticPr fontId="6" type="noConversion"/>
  </si>
  <si>
    <t>253-6</t>
    <phoneticPr fontId="6" type="noConversion"/>
  </si>
  <si>
    <t>253-7</t>
    <phoneticPr fontId="6" type="noConversion"/>
  </si>
  <si>
    <t>933</t>
    <phoneticPr fontId="6" type="noConversion"/>
  </si>
  <si>
    <t>42</t>
    <phoneticPr fontId="6" type="noConversion"/>
  </si>
  <si>
    <t>265-3</t>
    <phoneticPr fontId="6" type="noConversion"/>
  </si>
  <si>
    <t>88-2</t>
    <phoneticPr fontId="6" type="noConversion"/>
  </si>
  <si>
    <t>88-37</t>
    <phoneticPr fontId="6" type="noConversion"/>
  </si>
  <si>
    <t>(국토해양부)</t>
    <phoneticPr fontId="6" type="noConversion"/>
  </si>
  <si>
    <t>740-18</t>
    <phoneticPr fontId="6" type="noConversion"/>
  </si>
  <si>
    <t>740</t>
    <phoneticPr fontId="6" type="noConversion"/>
  </si>
  <si>
    <t>740-17</t>
    <phoneticPr fontId="6" type="noConversion"/>
  </si>
  <si>
    <t>932-5</t>
    <phoneticPr fontId="6" type="noConversion"/>
  </si>
  <si>
    <t>932-16</t>
    <phoneticPr fontId="6" type="noConversion"/>
  </si>
  <si>
    <t>(농림수산식품부)</t>
    <phoneticPr fontId="6" type="noConversion"/>
  </si>
  <si>
    <t>932-11</t>
    <phoneticPr fontId="6" type="noConversion"/>
  </si>
  <si>
    <t>932-19</t>
    <phoneticPr fontId="6" type="noConversion"/>
  </si>
  <si>
    <t>88-1</t>
    <phoneticPr fontId="6" type="noConversion"/>
  </si>
  <si>
    <t>88-36</t>
    <phoneticPr fontId="6" type="noConversion"/>
  </si>
  <si>
    <t>87-12</t>
    <phoneticPr fontId="6" type="noConversion"/>
  </si>
  <si>
    <t>87-19</t>
    <phoneticPr fontId="6" type="noConversion"/>
  </si>
  <si>
    <t>인천시 서구 봉오대로318번길 18, 15/606호(가정동, 하나아파트)</t>
    <phoneticPr fontId="6" type="noConversion"/>
  </si>
  <si>
    <t>87-17</t>
    <phoneticPr fontId="6" type="noConversion"/>
  </si>
  <si>
    <t>932-12</t>
    <phoneticPr fontId="6" type="noConversion"/>
  </si>
  <si>
    <t>932-9</t>
    <phoneticPr fontId="6" type="noConversion"/>
  </si>
  <si>
    <t>88-34</t>
    <phoneticPr fontId="6" type="noConversion"/>
  </si>
  <si>
    <t>88-35</t>
    <phoneticPr fontId="6" type="noConversion"/>
  </si>
  <si>
    <t>87-13</t>
    <phoneticPr fontId="6" type="noConversion"/>
  </si>
  <si>
    <t>87-20</t>
    <phoneticPr fontId="6" type="noConversion"/>
  </si>
  <si>
    <t>수</t>
    <phoneticPr fontId="6" type="noConversion"/>
  </si>
  <si>
    <t>87-2</t>
    <phoneticPr fontId="6" type="noConversion"/>
  </si>
  <si>
    <t>87-18</t>
    <phoneticPr fontId="6" type="noConversion"/>
  </si>
  <si>
    <t>당진군 송악면 반촌리 125, 102/1107호(에이치비한빛아파트)</t>
    <phoneticPr fontId="6" type="noConversion"/>
  </si>
  <si>
    <t>785-3</t>
    <phoneticPr fontId="6" type="noConversion"/>
  </si>
  <si>
    <t>87-3</t>
    <phoneticPr fontId="6" type="noConversion"/>
  </si>
  <si>
    <t>당진군 송악면 반촌리 345</t>
    <phoneticPr fontId="6" type="noConversion"/>
  </si>
  <si>
    <t>785-2</t>
    <phoneticPr fontId="6" type="noConversion"/>
  </si>
  <si>
    <t>780-2</t>
    <phoneticPr fontId="6" type="noConversion"/>
  </si>
  <si>
    <t>780-4</t>
    <phoneticPr fontId="6" type="noConversion"/>
  </si>
  <si>
    <t>당진시 원행정길 40-14(행정동)</t>
    <phoneticPr fontId="6" type="noConversion"/>
  </si>
  <si>
    <t>776-7</t>
    <phoneticPr fontId="6" type="noConversion"/>
  </si>
  <si>
    <t>776-17</t>
    <phoneticPr fontId="6" type="noConversion"/>
  </si>
  <si>
    <t>당진시 원당골길 31, 101/1409호(원당동, 청구아파트)</t>
    <phoneticPr fontId="6" type="noConversion"/>
  </si>
  <si>
    <t>776-11</t>
    <phoneticPr fontId="6" type="noConversion"/>
  </si>
  <si>
    <t>776-9</t>
    <phoneticPr fontId="6" type="noConversion"/>
  </si>
  <si>
    <t>776-18</t>
    <phoneticPr fontId="6" type="noConversion"/>
  </si>
  <si>
    <t>당진군 송악면 반촌리 770</t>
    <phoneticPr fontId="6" type="noConversion"/>
  </si>
  <si>
    <t>788-4</t>
    <phoneticPr fontId="6" type="noConversion"/>
  </si>
  <si>
    <t>786-2</t>
    <phoneticPr fontId="6" type="noConversion"/>
  </si>
  <si>
    <t>786-5</t>
    <phoneticPr fontId="6" type="noConversion"/>
  </si>
  <si>
    <t>931-1</t>
    <phoneticPr fontId="6" type="noConversion"/>
  </si>
  <si>
    <t>932-10</t>
    <phoneticPr fontId="6" type="noConversion"/>
  </si>
  <si>
    <t>87-10</t>
    <phoneticPr fontId="6" type="noConversion"/>
  </si>
  <si>
    <t>87-4</t>
    <phoneticPr fontId="6" type="noConversion"/>
  </si>
  <si>
    <t>87-9</t>
    <phoneticPr fontId="6" type="noConversion"/>
  </si>
  <si>
    <t>87-16</t>
    <phoneticPr fontId="6" type="noConversion"/>
  </si>
  <si>
    <t>87-8</t>
    <phoneticPr fontId="6" type="noConversion"/>
  </si>
  <si>
    <t>87-14</t>
    <phoneticPr fontId="6" type="noConversion"/>
  </si>
  <si>
    <t>87-15</t>
    <phoneticPr fontId="6" type="noConversion"/>
  </si>
  <si>
    <t>932-6</t>
    <phoneticPr fontId="6" type="noConversion"/>
  </si>
  <si>
    <t>931</t>
    <phoneticPr fontId="6" type="noConversion"/>
  </si>
  <si>
    <t>931-2</t>
    <phoneticPr fontId="6" type="noConversion"/>
  </si>
  <si>
    <t>750-1</t>
    <phoneticPr fontId="6" type="noConversion"/>
  </si>
  <si>
    <t>37</t>
    <phoneticPr fontId="6" type="noConversion"/>
  </si>
  <si>
    <t>932-8</t>
    <phoneticPr fontId="6" type="noConversion"/>
  </si>
  <si>
    <t>932-18</t>
    <phoneticPr fontId="6" type="noConversion"/>
  </si>
  <si>
    <t>757-2</t>
    <phoneticPr fontId="6" type="noConversion"/>
  </si>
  <si>
    <t>757-6</t>
    <phoneticPr fontId="6" type="noConversion"/>
  </si>
  <si>
    <t>766-23</t>
    <phoneticPr fontId="6" type="noConversion"/>
  </si>
  <si>
    <t>766-32</t>
    <phoneticPr fontId="6" type="noConversion"/>
  </si>
  <si>
    <t>서울특별시 강남구 대치동
943-19 신안빌딩 12층</t>
    <phoneticPr fontId="6" type="noConversion"/>
  </si>
  <si>
    <t>766-1</t>
    <phoneticPr fontId="6" type="noConversion"/>
  </si>
  <si>
    <t>766-25</t>
    <phoneticPr fontId="6" type="noConversion"/>
  </si>
  <si>
    <t>당진군 고대면 보덕포로 172-15</t>
    <phoneticPr fontId="6" type="noConversion"/>
  </si>
  <si>
    <t>766-27</t>
    <phoneticPr fontId="6" type="noConversion"/>
  </si>
  <si>
    <t>866-32</t>
    <phoneticPr fontId="6" type="noConversion"/>
  </si>
  <si>
    <t>769</t>
    <phoneticPr fontId="6" type="noConversion"/>
  </si>
  <si>
    <t>769-2</t>
    <phoneticPr fontId="6" type="noConversion"/>
  </si>
  <si>
    <t>757</t>
    <phoneticPr fontId="6" type="noConversion"/>
  </si>
  <si>
    <t>757-3</t>
    <phoneticPr fontId="6" type="noConversion"/>
  </si>
  <si>
    <t>770</t>
    <phoneticPr fontId="6" type="noConversion"/>
  </si>
  <si>
    <t>770-8</t>
    <phoneticPr fontId="6" type="noConversion"/>
  </si>
  <si>
    <t>776-5</t>
    <phoneticPr fontId="6" type="noConversion"/>
  </si>
  <si>
    <t>776-16</t>
    <phoneticPr fontId="6" type="noConversion"/>
  </si>
  <si>
    <t>770-1</t>
    <phoneticPr fontId="6" type="noConversion"/>
  </si>
  <si>
    <t>770-6</t>
    <phoneticPr fontId="6" type="noConversion"/>
  </si>
  <si>
    <t>770-2</t>
    <phoneticPr fontId="6" type="noConversion"/>
  </si>
  <si>
    <t>770-7</t>
    <phoneticPr fontId="6" type="noConversion"/>
  </si>
  <si>
    <t>당진군 송악면 반촌로 212-26</t>
    <phoneticPr fontId="6" type="noConversion"/>
  </si>
  <si>
    <t>776-12</t>
    <phoneticPr fontId="6" type="noConversion"/>
  </si>
  <si>
    <t>776-19</t>
    <phoneticPr fontId="6" type="noConversion"/>
  </si>
  <si>
    <t>776-20</t>
    <phoneticPr fontId="6" type="noConversion"/>
  </si>
  <si>
    <t>당진군 송악읍 반촌로 212-26</t>
    <phoneticPr fontId="6" type="noConversion"/>
  </si>
  <si>
    <t>776-3</t>
    <phoneticPr fontId="6" type="noConversion"/>
  </si>
  <si>
    <t>776-14</t>
    <phoneticPr fontId="6" type="noConversion"/>
  </si>
  <si>
    <t>목</t>
    <phoneticPr fontId="6" type="noConversion"/>
  </si>
  <si>
    <t>776-13</t>
    <phoneticPr fontId="6" type="noConversion"/>
  </si>
  <si>
    <t>776-21</t>
    <phoneticPr fontId="6" type="noConversion"/>
  </si>
  <si>
    <t>776-4</t>
    <phoneticPr fontId="6" type="noConversion"/>
  </si>
  <si>
    <t>776-15</t>
    <phoneticPr fontId="6" type="noConversion"/>
  </si>
  <si>
    <t>서울시 중랑구 용마산로 252 101/101(면목동 면목현대아파트 )</t>
    <phoneticPr fontId="6" type="noConversion"/>
  </si>
  <si>
    <t>780</t>
    <phoneticPr fontId="6" type="noConversion"/>
  </si>
  <si>
    <t>780-3</t>
    <phoneticPr fontId="6" type="noConversion"/>
  </si>
  <si>
    <t>충청남도 당진시 무수동7길 205-19, 302호(읍내동, 두원빌4차)</t>
    <phoneticPr fontId="6" type="noConversion"/>
  </si>
  <si>
    <t>781-3</t>
    <phoneticPr fontId="6" type="noConversion"/>
  </si>
  <si>
    <t>781-5</t>
    <phoneticPr fontId="6" type="noConversion"/>
  </si>
  <si>
    <t>당진군 송악면 반촌리 757</t>
    <phoneticPr fontId="6" type="noConversion"/>
  </si>
  <si>
    <t>781-6</t>
    <phoneticPr fontId="6" type="noConversion"/>
  </si>
  <si>
    <t>783-1</t>
    <phoneticPr fontId="6" type="noConversion"/>
  </si>
  <si>
    <t>782</t>
    <phoneticPr fontId="6" type="noConversion"/>
  </si>
  <si>
    <t>784-1</t>
    <phoneticPr fontId="6" type="noConversion"/>
  </si>
  <si>
    <t>784-2</t>
    <phoneticPr fontId="6" type="noConversion"/>
  </si>
  <si>
    <t>785</t>
    <phoneticPr fontId="6" type="noConversion"/>
  </si>
  <si>
    <t>781-2</t>
    <phoneticPr fontId="6" type="noConversion"/>
  </si>
  <si>
    <t>781-4</t>
    <phoneticPr fontId="6" type="noConversion"/>
  </si>
  <si>
    <t>당진군 송악면 반촌리 852</t>
    <phoneticPr fontId="6" type="noConversion"/>
  </si>
  <si>
    <t>786-1</t>
    <phoneticPr fontId="6" type="noConversion"/>
  </si>
  <si>
    <t>786-6</t>
    <phoneticPr fontId="6" type="noConversion"/>
  </si>
  <si>
    <t>784</t>
    <phoneticPr fontId="6" type="noConversion"/>
  </si>
  <si>
    <t>787</t>
    <phoneticPr fontId="6" type="noConversion"/>
  </si>
  <si>
    <t>787-2</t>
    <phoneticPr fontId="6" type="noConversion"/>
  </si>
  <si>
    <t>당진시 송악읍 영금절골길 120-31</t>
    <phoneticPr fontId="6" type="noConversion"/>
  </si>
  <si>
    <t>788-1</t>
    <phoneticPr fontId="6" type="noConversion"/>
  </si>
  <si>
    <t>786-4</t>
    <phoneticPr fontId="6" type="noConversion"/>
  </si>
  <si>
    <t>788-3</t>
    <phoneticPr fontId="6" type="noConversion"/>
  </si>
  <si>
    <t>788-5</t>
    <phoneticPr fontId="6" type="noConversion"/>
  </si>
  <si>
    <t>787-1</t>
    <phoneticPr fontId="6" type="noConversion"/>
  </si>
  <si>
    <t>795-7</t>
    <phoneticPr fontId="6" type="noConversion"/>
  </si>
  <si>
    <t>795-12</t>
    <phoneticPr fontId="6" type="noConversion"/>
  </si>
  <si>
    <t>충청남도 당진군 송악읍 반촌로 200</t>
    <phoneticPr fontId="6" type="noConversion"/>
  </si>
  <si>
    <t>796-2</t>
    <phoneticPr fontId="6" type="noConversion"/>
  </si>
  <si>
    <t>795-2</t>
    <phoneticPr fontId="6" type="noConversion"/>
  </si>
  <si>
    <t>795-5</t>
    <phoneticPr fontId="6" type="noConversion"/>
  </si>
  <si>
    <t>795-10</t>
    <phoneticPr fontId="6" type="noConversion"/>
  </si>
  <si>
    <t>주</t>
    <phoneticPr fontId="6" type="noConversion"/>
  </si>
  <si>
    <t>795-9</t>
    <phoneticPr fontId="6" type="noConversion"/>
  </si>
  <si>
    <t>795-13</t>
    <phoneticPr fontId="6" type="noConversion"/>
  </si>
  <si>
    <t>795-6</t>
    <phoneticPr fontId="6" type="noConversion"/>
  </si>
  <si>
    <t>795-11</t>
    <phoneticPr fontId="6" type="noConversion"/>
  </si>
  <si>
    <t>795-1</t>
    <phoneticPr fontId="6" type="noConversion"/>
  </si>
  <si>
    <t>796-6</t>
    <phoneticPr fontId="6" type="noConversion"/>
  </si>
  <si>
    <t>당진군</t>
    <phoneticPr fontId="6" type="noConversion"/>
  </si>
  <si>
    <t>795-8</t>
    <phoneticPr fontId="6" type="noConversion"/>
  </si>
  <si>
    <t>802-3</t>
    <phoneticPr fontId="6" type="noConversion"/>
  </si>
  <si>
    <t>802-6</t>
    <phoneticPr fontId="6" type="noConversion"/>
  </si>
  <si>
    <t>충청남도 당진군 송악읍
반촌리 192</t>
    <phoneticPr fontId="6" type="noConversion"/>
  </si>
  <si>
    <t>817-3</t>
    <phoneticPr fontId="6" type="noConversion"/>
  </si>
  <si>
    <t>817-13</t>
    <phoneticPr fontId="6" type="noConversion"/>
  </si>
  <si>
    <t>경기도 부천시 소사구 
호현로 469(소사본동)</t>
    <phoneticPr fontId="6" type="noConversion"/>
  </si>
  <si>
    <t>801-6</t>
    <phoneticPr fontId="6" type="noConversion"/>
  </si>
  <si>
    <t>801-9</t>
    <phoneticPr fontId="6" type="noConversion"/>
  </si>
  <si>
    <t>경기도 김포시 감정동 517-1
쌍용아파트 109-304</t>
    <phoneticPr fontId="6" type="noConversion"/>
  </si>
  <si>
    <t>801-3</t>
    <phoneticPr fontId="6" type="noConversion"/>
  </si>
  <si>
    <t>800-3</t>
    <phoneticPr fontId="6" type="noConversion"/>
  </si>
  <si>
    <t>서울시 영등포구 선유서로 67, 104동 1401호(양평동2가, 신동아하이펠리스)</t>
    <phoneticPr fontId="6" type="noConversion"/>
  </si>
  <si>
    <t>802</t>
    <phoneticPr fontId="6" type="noConversion"/>
  </si>
  <si>
    <t>충남당진시 송악읍 반촌리 281</t>
    <phoneticPr fontId="6" type="noConversion"/>
  </si>
  <si>
    <t>801-4</t>
    <phoneticPr fontId="6" type="noConversion"/>
  </si>
  <si>
    <t>806-3</t>
    <phoneticPr fontId="6" type="noConversion"/>
  </si>
  <si>
    <t>806-4</t>
    <phoneticPr fontId="6" type="noConversion"/>
  </si>
  <si>
    <t>서울시 중구 다산로36길 110, 106동 1402호(신당동, 신당푸르지오)</t>
    <phoneticPr fontId="6" type="noConversion"/>
  </si>
  <si>
    <t>815</t>
    <phoneticPr fontId="6" type="noConversion"/>
  </si>
  <si>
    <t>815-6</t>
    <phoneticPr fontId="6" type="noConversion"/>
  </si>
  <si>
    <t>경기도 부천시 소사구 경인로134번길 72, 103동401호(송내동, 대우아파트)</t>
    <phoneticPr fontId="6" type="noConversion"/>
  </si>
  <si>
    <t>817-11</t>
    <phoneticPr fontId="6" type="noConversion"/>
  </si>
  <si>
    <t>817-6</t>
    <phoneticPr fontId="6" type="noConversion"/>
  </si>
  <si>
    <t>817-14</t>
    <phoneticPr fontId="6" type="noConversion"/>
  </si>
  <si>
    <t>817-12</t>
    <phoneticPr fontId="6" type="noConversion"/>
  </si>
  <si>
    <t>817-8</t>
    <phoneticPr fontId="6" type="noConversion"/>
  </si>
  <si>
    <t>817-15</t>
    <phoneticPr fontId="6" type="noConversion"/>
  </si>
  <si>
    <t>충청남도 당진시 송악읍 반촌로 225</t>
    <phoneticPr fontId="6" type="noConversion"/>
  </si>
  <si>
    <t>잡</t>
    <phoneticPr fontId="6" type="noConversion"/>
  </si>
  <si>
    <t>818-5</t>
    <phoneticPr fontId="6" type="noConversion"/>
  </si>
  <si>
    <t>818-6</t>
    <phoneticPr fontId="6" type="noConversion"/>
  </si>
  <si>
    <t>당진시 송악읍 송악로 77-2</t>
    <phoneticPr fontId="6" type="noConversion"/>
  </si>
  <si>
    <t>819-2</t>
    <phoneticPr fontId="6" type="noConversion"/>
  </si>
  <si>
    <t>821-4</t>
    <phoneticPr fontId="6" type="noConversion"/>
  </si>
  <si>
    <t>820-3</t>
    <phoneticPr fontId="6" type="noConversion"/>
  </si>
  <si>
    <t>821-5</t>
    <phoneticPr fontId="6" type="noConversion"/>
  </si>
  <si>
    <t>821-6</t>
    <phoneticPr fontId="6" type="noConversion"/>
  </si>
  <si>
    <t>서울 구로구 경인로382, 104동 2302호(개봉동, 한마을아파트)</t>
    <phoneticPr fontId="6" type="noConversion"/>
  </si>
  <si>
    <t>837-2</t>
    <phoneticPr fontId="6" type="noConversion"/>
  </si>
  <si>
    <t>821-3</t>
    <phoneticPr fontId="6" type="noConversion"/>
  </si>
  <si>
    <t>821-2</t>
    <phoneticPr fontId="6" type="noConversion"/>
  </si>
  <si>
    <t>837-1</t>
    <phoneticPr fontId="6" type="noConversion"/>
  </si>
  <si>
    <t>837-3</t>
    <phoneticPr fontId="6" type="noConversion"/>
  </si>
  <si>
    <t>990</t>
    <phoneticPr fontId="6" type="noConversion"/>
  </si>
  <si>
    <t>827-6</t>
    <phoneticPr fontId="6" type="noConversion"/>
  </si>
  <si>
    <t>827-17</t>
    <phoneticPr fontId="6" type="noConversion"/>
  </si>
  <si>
    <t>827-8</t>
    <phoneticPr fontId="6" type="noConversion"/>
  </si>
  <si>
    <t>서울 서초구 방배동 757-3
삼호아파트 13동 203호</t>
    <phoneticPr fontId="6" type="noConversion"/>
  </si>
  <si>
    <t>827-9</t>
    <phoneticPr fontId="6" type="noConversion"/>
  </si>
  <si>
    <t>827-4</t>
    <phoneticPr fontId="6" type="noConversion"/>
  </si>
  <si>
    <t>충청남도 당진시 송악읍 신흥동길 83</t>
    <phoneticPr fontId="6" type="noConversion"/>
  </si>
  <si>
    <t>당진군 당진읍 대덕리 1186-49
당진군 석문면 삼봉리 922-4
당진군 신평면 거산리 46-5
당진군 당진읍 읍내리 232-23
당진군 당진읍 읍내리 232-23</t>
    <phoneticPr fontId="6" type="noConversion"/>
  </si>
  <si>
    <t>공유자
근저당권
근저당권
근저당권
지상권</t>
    <phoneticPr fontId="6" type="noConversion"/>
  </si>
  <si>
    <t>836-1</t>
    <phoneticPr fontId="6" type="noConversion"/>
  </si>
  <si>
    <t>836-9</t>
    <phoneticPr fontId="6" type="noConversion"/>
  </si>
  <si>
    <t>충청남도 당진시 송악읍 틀모시로 804</t>
    <phoneticPr fontId="6" type="noConversion"/>
  </si>
  <si>
    <t>836-4</t>
    <phoneticPr fontId="6" type="noConversion"/>
  </si>
  <si>
    <t>836-6</t>
    <phoneticPr fontId="6" type="noConversion"/>
  </si>
  <si>
    <t>835-6</t>
    <phoneticPr fontId="6" type="noConversion"/>
  </si>
  <si>
    <t>835-12</t>
    <phoneticPr fontId="6" type="noConversion"/>
  </si>
  <si>
    <t>835-5</t>
    <phoneticPr fontId="6" type="noConversion"/>
  </si>
  <si>
    <t>835-11</t>
    <phoneticPr fontId="6" type="noConversion"/>
  </si>
  <si>
    <t>835-10</t>
    <phoneticPr fontId="6" type="noConversion"/>
  </si>
  <si>
    <t>835-13</t>
    <phoneticPr fontId="6" type="noConversion"/>
  </si>
  <si>
    <t>논산시 연산군 덕암리 228</t>
    <phoneticPr fontId="6" type="noConversion"/>
  </si>
  <si>
    <t>한국
도로공사</t>
    <phoneticPr fontId="6" type="noConversion"/>
  </si>
  <si>
    <t>경기도 성남시 수정구
 금토동 293-1</t>
    <phoneticPr fontId="6" type="noConversion"/>
  </si>
  <si>
    <t>87-5</t>
    <phoneticPr fontId="6" type="noConversion"/>
  </si>
  <si>
    <t>88-19</t>
    <phoneticPr fontId="6" type="noConversion"/>
  </si>
  <si>
    <t>88-40</t>
    <phoneticPr fontId="6" type="noConversion"/>
  </si>
  <si>
    <t>88-41</t>
    <phoneticPr fontId="6" type="noConversion"/>
  </si>
  <si>
    <t>경기도 성남시 수정구
 금토동 293-2</t>
    <phoneticPr fontId="6" type="noConversion"/>
  </si>
  <si>
    <t>932-7</t>
    <phoneticPr fontId="6" type="noConversion"/>
  </si>
  <si>
    <t>753-4</t>
    <phoneticPr fontId="6" type="noConversion"/>
  </si>
  <si>
    <t>932-4</t>
    <phoneticPr fontId="6" type="noConversion"/>
  </si>
  <si>
    <t>401-5</t>
    <phoneticPr fontId="6" type="noConversion"/>
  </si>
  <si>
    <t>예산군 고덕면 대천리</t>
    <phoneticPr fontId="6" type="noConversion"/>
  </si>
  <si>
    <t>미등기</t>
    <phoneticPr fontId="6" type="noConversion"/>
  </si>
  <si>
    <t>399-1</t>
    <phoneticPr fontId="6" type="noConversion"/>
  </si>
  <si>
    <t>399-6</t>
    <phoneticPr fontId="6" type="noConversion"/>
  </si>
  <si>
    <t>당진군 송악면 송악읍 영금절골길 120-31</t>
    <phoneticPr fontId="6" type="noConversion"/>
  </si>
  <si>
    <t>396-3</t>
    <phoneticPr fontId="6" type="noConversion"/>
  </si>
  <si>
    <t>754-1</t>
    <phoneticPr fontId="6" type="noConversion"/>
  </si>
  <si>
    <t>754-5</t>
    <phoneticPr fontId="6" type="noConversion"/>
  </si>
  <si>
    <t>755-7</t>
    <phoneticPr fontId="6" type="noConversion"/>
  </si>
  <si>
    <t>755-10</t>
    <phoneticPr fontId="6" type="noConversion"/>
  </si>
  <si>
    <t>755-6</t>
    <phoneticPr fontId="6" type="noConversion"/>
  </si>
  <si>
    <t>755-9</t>
    <phoneticPr fontId="6" type="noConversion"/>
  </si>
  <si>
    <t>755-1</t>
    <phoneticPr fontId="6" type="noConversion"/>
  </si>
  <si>
    <t>755-8</t>
    <phoneticPr fontId="6" type="noConversion"/>
  </si>
  <si>
    <t>755-5</t>
    <phoneticPr fontId="6" type="noConversion"/>
  </si>
  <si>
    <t>790-1</t>
    <phoneticPr fontId="6" type="noConversion"/>
  </si>
  <si>
    <t>790-11</t>
    <phoneticPr fontId="6" type="noConversion"/>
  </si>
  <si>
    <t>당진시 계성2길 51, 102동501호(읍내동,벽산아파트)</t>
    <phoneticPr fontId="6" type="noConversion"/>
  </si>
  <si>
    <t>98-1</t>
    <phoneticPr fontId="6" type="noConversion"/>
  </si>
  <si>
    <t>790-9</t>
    <phoneticPr fontId="6" type="noConversion"/>
  </si>
  <si>
    <t>790-13</t>
    <phoneticPr fontId="6" type="noConversion"/>
  </si>
  <si>
    <t>98-2</t>
    <phoneticPr fontId="6" type="noConversion"/>
  </si>
  <si>
    <t>790-7</t>
    <phoneticPr fontId="6" type="noConversion"/>
  </si>
  <si>
    <t>790-12</t>
    <phoneticPr fontId="6" type="noConversion"/>
  </si>
  <si>
    <t>789-12</t>
    <phoneticPr fontId="6" type="noConversion"/>
  </si>
  <si>
    <t>789-5</t>
    <phoneticPr fontId="6" type="noConversion"/>
  </si>
  <si>
    <t>789-13</t>
    <phoneticPr fontId="6" type="noConversion"/>
  </si>
  <si>
    <t>789-8</t>
    <phoneticPr fontId="6" type="noConversion"/>
  </si>
  <si>
    <t>791-6</t>
    <phoneticPr fontId="6" type="noConversion"/>
  </si>
  <si>
    <t>791-16</t>
    <phoneticPr fontId="6" type="noConversion"/>
  </si>
  <si>
    <t>당진군 면천면 부장리 229</t>
    <phoneticPr fontId="6" type="noConversion"/>
  </si>
  <si>
    <t>791-11</t>
    <phoneticPr fontId="6" type="noConversion"/>
  </si>
  <si>
    <t>791-17</t>
    <phoneticPr fontId="6" type="noConversion"/>
  </si>
  <si>
    <t>791-13</t>
    <phoneticPr fontId="6" type="noConversion"/>
  </si>
  <si>
    <t>791-18</t>
    <phoneticPr fontId="6" type="noConversion"/>
  </si>
  <si>
    <t>789-10</t>
    <phoneticPr fontId="6" type="noConversion"/>
  </si>
  <si>
    <t>100-1</t>
    <phoneticPr fontId="6" type="noConversion"/>
  </si>
  <si>
    <t>791-4</t>
    <phoneticPr fontId="6" type="noConversion"/>
  </si>
  <si>
    <t>791-15</t>
    <phoneticPr fontId="6" type="noConversion"/>
  </si>
  <si>
    <t>100-2</t>
    <phoneticPr fontId="6" type="noConversion"/>
  </si>
  <si>
    <t>791-1</t>
    <phoneticPr fontId="6" type="noConversion"/>
  </si>
  <si>
    <t>791-14</t>
    <phoneticPr fontId="6" type="noConversion"/>
  </si>
  <si>
    <t>793-1</t>
    <phoneticPr fontId="6" type="noConversion"/>
  </si>
  <si>
    <t>793-6</t>
    <phoneticPr fontId="6" type="noConversion"/>
  </si>
  <si>
    <t>793-5</t>
    <phoneticPr fontId="6" type="noConversion"/>
  </si>
  <si>
    <t>794-14</t>
    <phoneticPr fontId="6" type="noConversion"/>
  </si>
  <si>
    <t>794-17</t>
    <phoneticPr fontId="6" type="noConversion"/>
  </si>
  <si>
    <t>794-15</t>
    <phoneticPr fontId="6" type="noConversion"/>
  </si>
  <si>
    <t>794-18</t>
    <phoneticPr fontId="6" type="noConversion"/>
  </si>
  <si>
    <t>서울 서초구 양재동 302 3호</t>
    <phoneticPr fontId="6" type="noConversion"/>
  </si>
  <si>
    <t>794-13</t>
    <phoneticPr fontId="6" type="noConversion"/>
  </si>
  <si>
    <t>794-16</t>
    <phoneticPr fontId="6" type="noConversion"/>
  </si>
  <si>
    <t>794-7</t>
    <phoneticPr fontId="6" type="noConversion"/>
  </si>
  <si>
    <t>808-1</t>
    <phoneticPr fontId="6" type="noConversion"/>
  </si>
  <si>
    <t>808-7</t>
    <phoneticPr fontId="6" type="noConversion"/>
  </si>
  <si>
    <t>당진시 송악읍 고잔로 119-6</t>
    <phoneticPr fontId="6" type="noConversion"/>
  </si>
  <si>
    <t>806-1</t>
    <phoneticPr fontId="6" type="noConversion"/>
  </si>
  <si>
    <t>807-8</t>
    <phoneticPr fontId="6" type="noConversion"/>
  </si>
  <si>
    <t>807-9</t>
    <phoneticPr fontId="6" type="noConversion"/>
  </si>
  <si>
    <t>814-6</t>
    <phoneticPr fontId="6" type="noConversion"/>
  </si>
  <si>
    <t>814-2</t>
    <phoneticPr fontId="6" type="noConversion"/>
  </si>
  <si>
    <t>0000-8</t>
    <phoneticPr fontId="6" type="noConversion"/>
  </si>
  <si>
    <t>813-12</t>
    <phoneticPr fontId="6" type="noConversion"/>
  </si>
  <si>
    <t>813-15</t>
    <phoneticPr fontId="6" type="noConversion"/>
  </si>
  <si>
    <t>813-17</t>
    <phoneticPr fontId="6" type="noConversion"/>
  </si>
  <si>
    <t>당진군 송악면 반촌리 281</t>
    <phoneticPr fontId="6" type="noConversion"/>
  </si>
  <si>
    <t>813-18</t>
    <phoneticPr fontId="6" type="noConversion"/>
  </si>
  <si>
    <t>819-1</t>
    <phoneticPr fontId="6" type="noConversion"/>
  </si>
  <si>
    <t>838-9</t>
    <phoneticPr fontId="6" type="noConversion"/>
  </si>
  <si>
    <t>838-20</t>
    <phoneticPr fontId="6" type="noConversion"/>
  </si>
  <si>
    <t>819-5</t>
    <phoneticPr fontId="6" type="noConversion"/>
  </si>
  <si>
    <t>819-4</t>
    <phoneticPr fontId="6" type="noConversion"/>
  </si>
  <si>
    <t>820-9</t>
    <phoneticPr fontId="6" type="noConversion"/>
  </si>
  <si>
    <t>838-7</t>
    <phoneticPr fontId="6" type="noConversion"/>
  </si>
  <si>
    <t>838-19</t>
    <phoneticPr fontId="6" type="noConversion"/>
  </si>
  <si>
    <t>제주특별자치도 서귀포시 
성산읍 금성백조로 131번길 53-11</t>
    <phoneticPr fontId="6" type="noConversion"/>
  </si>
  <si>
    <t>838-6</t>
    <phoneticPr fontId="6" type="noConversion"/>
  </si>
  <si>
    <t>838-18</t>
    <phoneticPr fontId="6" type="noConversion"/>
  </si>
  <si>
    <t>838-15</t>
    <phoneticPr fontId="6" type="noConversion"/>
  </si>
  <si>
    <t>제주특별자치도 서귀포시 상산읍 금백조로 131번길 53-11</t>
    <phoneticPr fontId="6" type="noConversion"/>
  </si>
  <si>
    <t>838-3</t>
    <phoneticPr fontId="6" type="noConversion"/>
  </si>
  <si>
    <t>838-17</t>
    <phoneticPr fontId="6" type="noConversion"/>
  </si>
  <si>
    <t>838-14</t>
    <phoneticPr fontId="6" type="noConversion"/>
  </si>
  <si>
    <t>813-14</t>
    <phoneticPr fontId="6" type="noConversion"/>
  </si>
  <si>
    <t>813-16</t>
    <phoneticPr fontId="6" type="noConversion"/>
  </si>
  <si>
    <t>경기도 수원시 영통구 매봉로 20, 104-703(매탄동 e-편한세상아파트)</t>
    <phoneticPr fontId="6" type="noConversion"/>
  </si>
  <si>
    <t>838-13</t>
    <phoneticPr fontId="6" type="noConversion"/>
  </si>
  <si>
    <t>838-16</t>
    <phoneticPr fontId="6" type="noConversion"/>
  </si>
  <si>
    <t>841-13</t>
    <phoneticPr fontId="6" type="noConversion"/>
  </si>
  <si>
    <t>836-5</t>
    <phoneticPr fontId="6" type="noConversion"/>
  </si>
  <si>
    <t>836-8</t>
    <phoneticPr fontId="6" type="noConversion"/>
  </si>
  <si>
    <t>당진축산업
협동조합</t>
    <phoneticPr fontId="6" type="noConversion"/>
  </si>
  <si>
    <t>840-2</t>
    <phoneticPr fontId="6" type="noConversion"/>
  </si>
  <si>
    <t>840-5</t>
    <phoneticPr fontId="6" type="noConversion"/>
  </si>
  <si>
    <t>840-1</t>
    <phoneticPr fontId="6" type="noConversion"/>
  </si>
  <si>
    <t>840-4</t>
    <phoneticPr fontId="6" type="noConversion"/>
  </si>
  <si>
    <t>840-3</t>
    <phoneticPr fontId="6" type="noConversion"/>
  </si>
  <si>
    <t>840-6</t>
    <phoneticPr fontId="6" type="noConversion"/>
  </si>
  <si>
    <t>835-2</t>
    <phoneticPr fontId="6" type="noConversion"/>
  </si>
  <si>
    <t>843-2</t>
    <phoneticPr fontId="6" type="noConversion"/>
  </si>
  <si>
    <t>841-11</t>
    <phoneticPr fontId="6" type="noConversion"/>
  </si>
  <si>
    <t>841-14</t>
    <phoneticPr fontId="6" type="noConversion"/>
  </si>
  <si>
    <t>835-3</t>
    <phoneticPr fontId="6" type="noConversion"/>
  </si>
  <si>
    <t>843-1</t>
    <phoneticPr fontId="6" type="noConversion"/>
  </si>
  <si>
    <t>843-4</t>
    <phoneticPr fontId="6" type="noConversion"/>
  </si>
  <si>
    <t>843-3</t>
    <phoneticPr fontId="6" type="noConversion"/>
  </si>
  <si>
    <t>853-8</t>
    <phoneticPr fontId="6" type="noConversion"/>
  </si>
  <si>
    <t>853-16</t>
    <phoneticPr fontId="6" type="noConversion"/>
  </si>
  <si>
    <t>379-5</t>
    <phoneticPr fontId="6" type="noConversion"/>
  </si>
  <si>
    <t>379-2</t>
    <phoneticPr fontId="6" type="noConversion"/>
  </si>
  <si>
    <t>866-24</t>
    <phoneticPr fontId="6" type="noConversion"/>
  </si>
  <si>
    <t>938</t>
    <phoneticPr fontId="6" type="noConversion"/>
  </si>
  <si>
    <t>378-9</t>
    <phoneticPr fontId="6" type="noConversion"/>
  </si>
  <si>
    <t>378-3</t>
    <phoneticPr fontId="6" type="noConversion"/>
  </si>
  <si>
    <t>378-5</t>
    <phoneticPr fontId="6" type="noConversion"/>
  </si>
  <si>
    <t>389-1</t>
    <phoneticPr fontId="6" type="noConversion"/>
  </si>
  <si>
    <t>407-1</t>
    <phoneticPr fontId="6" type="noConversion"/>
  </si>
  <si>
    <t>(기획재정부)</t>
    <phoneticPr fontId="6" type="noConversion"/>
  </si>
  <si>
    <t>403-6</t>
    <phoneticPr fontId="6" type="noConversion"/>
  </si>
  <si>
    <t>376-2</t>
    <phoneticPr fontId="6" type="noConversion"/>
  </si>
  <si>
    <t>378-11</t>
    <phoneticPr fontId="6" type="noConversion"/>
  </si>
  <si>
    <t>378-10</t>
    <phoneticPr fontId="6" type="noConversion"/>
  </si>
  <si>
    <t>378-4</t>
    <phoneticPr fontId="6" type="noConversion"/>
  </si>
  <si>
    <t>378-2</t>
    <phoneticPr fontId="6" type="noConversion"/>
  </si>
  <si>
    <t>378-7</t>
    <phoneticPr fontId="6" type="noConversion"/>
  </si>
  <si>
    <t>서울특별시 강동구 둔촌동 30-4
현대아파트 12-104</t>
    <phoneticPr fontId="6" type="noConversion"/>
  </si>
  <si>
    <t>374-3</t>
    <phoneticPr fontId="6" type="noConversion"/>
  </si>
  <si>
    <t>당진군 송악면 가학리 581-11</t>
    <phoneticPr fontId="6" type="noConversion"/>
  </si>
  <si>
    <t>377-2</t>
    <phoneticPr fontId="6" type="noConversion"/>
  </si>
  <si>
    <t>당진군 송악면 기지시리 326-4</t>
    <phoneticPr fontId="6" type="noConversion"/>
  </si>
  <si>
    <t>388-1</t>
    <phoneticPr fontId="6" type="noConversion"/>
  </si>
  <si>
    <t>390-16</t>
    <phoneticPr fontId="6" type="noConversion"/>
  </si>
  <si>
    <t>충청남도 당진군 송악읍
기지시리 326-10</t>
    <phoneticPr fontId="6" type="noConversion"/>
  </si>
  <si>
    <t>390-10</t>
    <phoneticPr fontId="6" type="noConversion"/>
  </si>
  <si>
    <t>충청남도 당진군 당진읍 원당리
1251 원당마을 107-306</t>
    <phoneticPr fontId="6" type="noConversion"/>
  </si>
  <si>
    <t>390-14</t>
    <phoneticPr fontId="6" type="noConversion"/>
  </si>
  <si>
    <t>391-1</t>
    <phoneticPr fontId="6" type="noConversion"/>
  </si>
  <si>
    <t>당진군 송악면 반촌리 144</t>
    <phoneticPr fontId="6" type="noConversion"/>
  </si>
  <si>
    <t>930-2</t>
    <phoneticPr fontId="6" type="noConversion"/>
  </si>
  <si>
    <t>83-20</t>
    <phoneticPr fontId="6" type="noConversion"/>
  </si>
  <si>
    <t>서울특별시 강남구 개포동 138
주공아파트 320-402</t>
    <phoneticPr fontId="6" type="noConversion"/>
  </si>
  <si>
    <t>393-2</t>
    <phoneticPr fontId="6" type="noConversion"/>
  </si>
  <si>
    <t>83-19</t>
    <phoneticPr fontId="6" type="noConversion"/>
  </si>
  <si>
    <t>충청남도 당진군 당진읍 시곡리
90-1</t>
    <phoneticPr fontId="6" type="noConversion"/>
  </si>
  <si>
    <t>충청남도 당진군 당진읍
읍내리 106-1</t>
    <phoneticPr fontId="6" type="noConversion"/>
  </si>
  <si>
    <t>83-18</t>
    <phoneticPr fontId="6" type="noConversion"/>
  </si>
  <si>
    <t>전라북도 군산시 경암동 668-9</t>
    <phoneticPr fontId="6" type="noConversion"/>
  </si>
  <si>
    <t>83-9</t>
    <phoneticPr fontId="6" type="noConversion"/>
  </si>
  <si>
    <t>당진군 송악면 광명리 306</t>
    <phoneticPr fontId="6" type="noConversion"/>
  </si>
  <si>
    <t>당진
새마을금고</t>
    <phoneticPr fontId="6" type="noConversion"/>
  </si>
  <si>
    <t>충청남도 당진군 당진읍 
읍내리 232-33</t>
    <phoneticPr fontId="6" type="noConversion"/>
  </si>
  <si>
    <t>394-2</t>
    <phoneticPr fontId="6" type="noConversion"/>
  </si>
  <si>
    <t>당진군 송악면 반촌리 298</t>
    <phoneticPr fontId="6" type="noConversion"/>
  </si>
  <si>
    <t>395-7</t>
    <phoneticPr fontId="6" type="noConversion"/>
  </si>
  <si>
    <t>395-5</t>
    <phoneticPr fontId="6" type="noConversion"/>
  </si>
  <si>
    <t>395-6</t>
    <phoneticPr fontId="6" type="noConversion"/>
  </si>
  <si>
    <t>853-11</t>
    <phoneticPr fontId="6" type="noConversion"/>
  </si>
  <si>
    <t>853-18</t>
    <phoneticPr fontId="6" type="noConversion"/>
  </si>
  <si>
    <t>853-10</t>
    <phoneticPr fontId="6" type="noConversion"/>
  </si>
  <si>
    <t>853-9</t>
    <phoneticPr fontId="6" type="noConversion"/>
  </si>
  <si>
    <t>833-8</t>
    <phoneticPr fontId="6" type="noConversion"/>
  </si>
  <si>
    <t>833-11</t>
    <phoneticPr fontId="6" type="noConversion"/>
  </si>
  <si>
    <t>833-7</t>
    <phoneticPr fontId="6" type="noConversion"/>
  </si>
  <si>
    <t>833-10</t>
    <phoneticPr fontId="6" type="noConversion"/>
  </si>
  <si>
    <t>833-1</t>
    <phoneticPr fontId="6" type="noConversion"/>
  </si>
  <si>
    <t>833-9</t>
    <phoneticPr fontId="6" type="noConversion"/>
  </si>
  <si>
    <t>853-1</t>
    <phoneticPr fontId="6" type="noConversion"/>
  </si>
  <si>
    <t>853-14</t>
    <phoneticPr fontId="6" type="noConversion"/>
  </si>
  <si>
    <t>853</t>
    <phoneticPr fontId="6" type="noConversion"/>
  </si>
  <si>
    <t>853-13</t>
    <phoneticPr fontId="6" type="noConversion"/>
  </si>
  <si>
    <t>853-12</t>
    <phoneticPr fontId="6" type="noConversion"/>
  </si>
  <si>
    <t>766-24</t>
    <phoneticPr fontId="6" type="noConversion"/>
  </si>
  <si>
    <t>766-6</t>
    <phoneticPr fontId="6" type="noConversion"/>
  </si>
  <si>
    <t>766-26</t>
    <phoneticPr fontId="6" type="noConversion"/>
  </si>
  <si>
    <t>766-11</t>
    <phoneticPr fontId="6" type="noConversion"/>
  </si>
  <si>
    <t>766-29</t>
    <phoneticPr fontId="6" type="noConversion"/>
  </si>
  <si>
    <t>766-8</t>
    <phoneticPr fontId="6" type="noConversion"/>
  </si>
  <si>
    <t>766-28</t>
    <phoneticPr fontId="6" type="noConversion"/>
  </si>
  <si>
    <t>766-30</t>
    <phoneticPr fontId="6" type="noConversion"/>
  </si>
  <si>
    <t>765-3</t>
    <phoneticPr fontId="6" type="noConversion"/>
  </si>
  <si>
    <t>765-10</t>
    <phoneticPr fontId="6" type="noConversion"/>
  </si>
  <si>
    <t>765-2</t>
    <phoneticPr fontId="6" type="noConversion"/>
  </si>
  <si>
    <t>765-8</t>
    <phoneticPr fontId="6" type="noConversion"/>
  </si>
  <si>
    <t>762-1</t>
    <phoneticPr fontId="6" type="noConversion"/>
  </si>
  <si>
    <t>762-4</t>
    <phoneticPr fontId="6" type="noConversion"/>
  </si>
  <si>
    <t>761-1</t>
    <phoneticPr fontId="6" type="noConversion"/>
  </si>
  <si>
    <t>761-3</t>
    <phoneticPr fontId="6" type="noConversion"/>
  </si>
  <si>
    <t>767-1</t>
    <phoneticPr fontId="6" type="noConversion"/>
  </si>
  <si>
    <t>767-4</t>
    <phoneticPr fontId="6" type="noConversion"/>
  </si>
  <si>
    <t>768-1</t>
    <phoneticPr fontId="6" type="noConversion"/>
  </si>
  <si>
    <t>768-2</t>
    <phoneticPr fontId="6" type="noConversion"/>
  </si>
  <si>
    <t>760-1</t>
    <phoneticPr fontId="6" type="noConversion"/>
  </si>
  <si>
    <t>760-2</t>
    <phoneticPr fontId="6" type="noConversion"/>
  </si>
  <si>
    <t>769-1</t>
    <phoneticPr fontId="6" type="noConversion"/>
  </si>
  <si>
    <t>757-1</t>
    <phoneticPr fontId="6" type="noConversion"/>
  </si>
  <si>
    <t>757-4</t>
    <phoneticPr fontId="6" type="noConversion"/>
  </si>
  <si>
    <t>770-3</t>
    <phoneticPr fontId="6" type="noConversion"/>
  </si>
  <si>
    <t>776-8</t>
    <phoneticPr fontId="6" type="noConversion"/>
  </si>
  <si>
    <t>770-4</t>
    <phoneticPr fontId="6" type="noConversion"/>
  </si>
  <si>
    <t>770-5</t>
    <phoneticPr fontId="6" type="noConversion"/>
  </si>
  <si>
    <t>776-10</t>
    <phoneticPr fontId="6" type="noConversion"/>
  </si>
  <si>
    <t>776-6</t>
    <phoneticPr fontId="6" type="noConversion"/>
  </si>
  <si>
    <t>780-1</t>
    <phoneticPr fontId="6" type="noConversion"/>
  </si>
  <si>
    <t>783-2</t>
    <phoneticPr fontId="6" type="noConversion"/>
  </si>
  <si>
    <t>783-5</t>
    <phoneticPr fontId="6" type="noConversion"/>
  </si>
  <si>
    <t>529-4</t>
    <phoneticPr fontId="6" type="noConversion"/>
  </si>
  <si>
    <t>529-8</t>
    <phoneticPr fontId="6" type="noConversion"/>
  </si>
  <si>
    <t>인천 연수구 동춘동 920-1 
대우3차아파트 101-203</t>
    <phoneticPr fontId="6" type="noConversion"/>
  </si>
  <si>
    <t>529-3</t>
    <phoneticPr fontId="6" type="noConversion"/>
  </si>
  <si>
    <t>529-6</t>
    <phoneticPr fontId="6" type="noConversion"/>
  </si>
  <si>
    <t>545</t>
    <phoneticPr fontId="6" type="noConversion"/>
  </si>
  <si>
    <t>545-1</t>
    <phoneticPr fontId="6" type="noConversion"/>
  </si>
  <si>
    <t>서울특별시 동작구 신대방동
565 우성아파트 17-701</t>
    <phoneticPr fontId="6" type="noConversion"/>
  </si>
  <si>
    <t>544</t>
    <phoneticPr fontId="6" type="noConversion"/>
  </si>
  <si>
    <t>544-1</t>
    <phoneticPr fontId="6" type="noConversion"/>
  </si>
  <si>
    <t>542</t>
    <phoneticPr fontId="6" type="noConversion"/>
  </si>
  <si>
    <t>542-1</t>
    <phoneticPr fontId="6" type="noConversion"/>
  </si>
  <si>
    <t>540</t>
    <phoneticPr fontId="6" type="noConversion"/>
  </si>
  <si>
    <t>540-1</t>
    <phoneticPr fontId="6" type="noConversion"/>
  </si>
  <si>
    <t>660</t>
    <phoneticPr fontId="6" type="noConversion"/>
  </si>
  <si>
    <t>541</t>
    <phoneticPr fontId="6" type="noConversion"/>
  </si>
  <si>
    <t>541-1</t>
    <phoneticPr fontId="6" type="noConversion"/>
  </si>
  <si>
    <t>당진군 송악읍 가학리 552</t>
    <phoneticPr fontId="6" type="noConversion"/>
  </si>
  <si>
    <t>491</t>
    <phoneticPr fontId="6" type="noConversion"/>
  </si>
  <si>
    <t>491-1</t>
    <phoneticPr fontId="6" type="noConversion"/>
  </si>
  <si>
    <t>490</t>
    <phoneticPr fontId="6" type="noConversion"/>
  </si>
  <si>
    <t>490-3</t>
    <phoneticPr fontId="6" type="noConversion"/>
  </si>
  <si>
    <t>당진군 송악면 가학리 423</t>
    <phoneticPr fontId="6" type="noConversion"/>
  </si>
  <si>
    <t>490-2</t>
    <phoneticPr fontId="6" type="noConversion"/>
  </si>
  <si>
    <t>489-2</t>
    <phoneticPr fontId="6" type="noConversion"/>
  </si>
  <si>
    <t>충청남도 당진군 당진읍 원당리 
1226 파크빌아파트 104-1106</t>
    <phoneticPr fontId="6" type="noConversion"/>
  </si>
  <si>
    <t>580-8</t>
    <phoneticPr fontId="6" type="noConversion"/>
  </si>
  <si>
    <t>580-9</t>
    <phoneticPr fontId="6" type="noConversion"/>
  </si>
  <si>
    <t>489-4</t>
    <phoneticPr fontId="6" type="noConversion"/>
  </si>
  <si>
    <t>당진군 당진읍 읍내리 1061 
하늘채아파트 109-402</t>
    <phoneticPr fontId="6" type="noConversion"/>
  </si>
  <si>
    <t>489-6</t>
    <phoneticPr fontId="6" type="noConversion"/>
  </si>
  <si>
    <t>579</t>
    <phoneticPr fontId="6" type="noConversion"/>
  </si>
  <si>
    <t>579-2</t>
    <phoneticPr fontId="6" type="noConversion"/>
  </si>
  <si>
    <t>581-2</t>
    <phoneticPr fontId="6" type="noConversion"/>
  </si>
  <si>
    <t>581-21</t>
    <phoneticPr fontId="6" type="noConversion"/>
  </si>
  <si>
    <t>당진군 송악면 가학리 585</t>
    <phoneticPr fontId="6" type="noConversion"/>
  </si>
  <si>
    <t>581-4</t>
    <phoneticPr fontId="6" type="noConversion"/>
  </si>
  <si>
    <t>581-22</t>
    <phoneticPr fontId="6" type="noConversion"/>
  </si>
  <si>
    <t>581-16</t>
    <phoneticPr fontId="6" type="noConversion"/>
  </si>
  <si>
    <t>581-23</t>
    <phoneticPr fontId="6" type="noConversion"/>
  </si>
  <si>
    <t>충청남도 당진군 당진읍 수청리
986 오션오피스텔 505호</t>
    <phoneticPr fontId="6" type="noConversion"/>
  </si>
  <si>
    <t>475-21</t>
    <phoneticPr fontId="6" type="noConversion"/>
  </si>
  <si>
    <t>475-33</t>
    <phoneticPr fontId="6" type="noConversion"/>
  </si>
  <si>
    <t>489-3</t>
    <phoneticPr fontId="6" type="noConversion"/>
  </si>
  <si>
    <t>489-5</t>
    <phoneticPr fontId="6" type="noConversion"/>
  </si>
  <si>
    <t>488-2</t>
    <phoneticPr fontId="6" type="noConversion"/>
  </si>
  <si>
    <t>477-1</t>
    <phoneticPr fontId="6" type="noConversion"/>
  </si>
  <si>
    <t>477-7</t>
    <phoneticPr fontId="6" type="noConversion"/>
  </si>
  <si>
    <t>477-8</t>
    <phoneticPr fontId="6" type="noConversion"/>
  </si>
  <si>
    <t>487-4</t>
    <phoneticPr fontId="6" type="noConversion"/>
  </si>
  <si>
    <t>487-6</t>
    <phoneticPr fontId="6" type="noConversion"/>
  </si>
  <si>
    <t>서울 송파구 잠실동 101-2
우성아파트 26-1301</t>
    <phoneticPr fontId="6" type="noConversion"/>
  </si>
  <si>
    <t>487-7</t>
    <phoneticPr fontId="6" type="noConversion"/>
  </si>
  <si>
    <t>487-2</t>
    <phoneticPr fontId="6" type="noConversion"/>
  </si>
  <si>
    <t>487-5</t>
    <phoneticPr fontId="6" type="noConversion"/>
  </si>
  <si>
    <t>서울 송파구 잠실동 101-2 
우성아파트 26-1301</t>
    <phoneticPr fontId="6" type="noConversion"/>
  </si>
  <si>
    <t>477-3</t>
    <phoneticPr fontId="6" type="noConversion"/>
  </si>
  <si>
    <t>477-6</t>
    <phoneticPr fontId="6" type="noConversion"/>
  </si>
  <si>
    <t>477-12</t>
    <phoneticPr fontId="6" type="noConversion"/>
  </si>
  <si>
    <t>경상북도 포항시 남구 
해도동 208-2</t>
    <phoneticPr fontId="6" type="noConversion"/>
  </si>
  <si>
    <t>477-4</t>
    <phoneticPr fontId="6" type="noConversion"/>
  </si>
  <si>
    <t>477-9</t>
    <phoneticPr fontId="6" type="noConversion"/>
  </si>
  <si>
    <t>477-11</t>
    <phoneticPr fontId="6" type="noConversion"/>
  </si>
  <si>
    <t>479-16</t>
    <phoneticPr fontId="6" type="noConversion"/>
  </si>
  <si>
    <t>479-9</t>
    <phoneticPr fontId="6" type="noConversion"/>
  </si>
  <si>
    <t>479-21</t>
    <phoneticPr fontId="6" type="noConversion"/>
  </si>
  <si>
    <t>479-8</t>
    <phoneticPr fontId="6" type="noConversion"/>
  </si>
  <si>
    <t>479-7</t>
    <phoneticPr fontId="6" type="noConversion"/>
  </si>
  <si>
    <t>479-20</t>
    <phoneticPr fontId="6" type="noConversion"/>
  </si>
  <si>
    <t>산53</t>
    <phoneticPr fontId="6" type="noConversion"/>
  </si>
  <si>
    <t>529-2</t>
    <phoneticPr fontId="6" type="noConversion"/>
  </si>
  <si>
    <t>529-5</t>
    <phoneticPr fontId="6" type="noConversion"/>
  </si>
  <si>
    <t>530</t>
    <phoneticPr fontId="6" type="noConversion"/>
  </si>
  <si>
    <t>530-1</t>
    <phoneticPr fontId="6" type="noConversion"/>
  </si>
  <si>
    <t>531-1</t>
    <phoneticPr fontId="6" type="noConversion"/>
  </si>
  <si>
    <t>한국
농어촌공사</t>
    <phoneticPr fontId="6" type="noConversion"/>
  </si>
  <si>
    <t>경기도 의왕시 포일동 487</t>
    <phoneticPr fontId="6" type="noConversion"/>
  </si>
  <si>
    <t>531</t>
    <phoneticPr fontId="6" type="noConversion"/>
  </si>
  <si>
    <t>531-2</t>
    <phoneticPr fontId="6" type="noConversion"/>
  </si>
  <si>
    <t>당진군 순성면 성북리 503</t>
    <phoneticPr fontId="6" type="noConversion"/>
  </si>
  <si>
    <t>661</t>
    <phoneticPr fontId="6" type="noConversion"/>
  </si>
  <si>
    <t>539</t>
    <phoneticPr fontId="6" type="noConversion"/>
  </si>
  <si>
    <t>539-1</t>
    <phoneticPr fontId="6" type="noConversion"/>
  </si>
  <si>
    <t>538</t>
    <phoneticPr fontId="6" type="noConversion"/>
  </si>
  <si>
    <t>538-1</t>
    <phoneticPr fontId="6" type="noConversion"/>
  </si>
  <si>
    <t>500</t>
    <phoneticPr fontId="6" type="noConversion"/>
  </si>
  <si>
    <t>500-1</t>
    <phoneticPr fontId="6" type="noConversion"/>
  </si>
  <si>
    <t>당진군 송산면 가학리 537</t>
    <phoneticPr fontId="6" type="noConversion"/>
  </si>
  <si>
    <t>492-5</t>
    <phoneticPr fontId="6" type="noConversion"/>
  </si>
  <si>
    <t>492-9</t>
    <phoneticPr fontId="6" type="noConversion"/>
  </si>
  <si>
    <t>서울 강남구 역삼동 763-1 
진달래아파트 17-809</t>
    <phoneticPr fontId="6" type="noConversion"/>
  </si>
  <si>
    <t>497</t>
    <phoneticPr fontId="6" type="noConversion"/>
  </si>
  <si>
    <t>497-1</t>
    <phoneticPr fontId="6" type="noConversion"/>
  </si>
  <si>
    <t>경기도 광주시 송정동 367-7 
대주파크빌 101-801</t>
    <phoneticPr fontId="6" type="noConversion"/>
  </si>
  <si>
    <t>492-3</t>
    <phoneticPr fontId="6" type="noConversion"/>
  </si>
  <si>
    <t>492-8</t>
    <phoneticPr fontId="6" type="noConversion"/>
  </si>
  <si>
    <t>당진군 송산면 가학리 485</t>
    <phoneticPr fontId="6" type="noConversion"/>
  </si>
  <si>
    <t>492-4</t>
    <phoneticPr fontId="6" type="noConversion"/>
  </si>
  <si>
    <t>당진군 당진읍 읍내리 20-11</t>
    <phoneticPr fontId="6" type="noConversion"/>
  </si>
  <si>
    <t>488-3</t>
    <phoneticPr fontId="6" type="noConversion"/>
  </si>
  <si>
    <t>487-3</t>
    <phoneticPr fontId="6" type="noConversion"/>
  </si>
  <si>
    <t>486-3</t>
    <phoneticPr fontId="6" type="noConversion"/>
  </si>
  <si>
    <t>496</t>
    <phoneticPr fontId="6" type="noConversion"/>
  </si>
  <si>
    <t>496-2</t>
    <phoneticPr fontId="6" type="noConversion"/>
  </si>
  <si>
    <t>서울특별시 강서구 염창동 263 
태진한솔아파트 101-1503</t>
    <phoneticPr fontId="6" type="noConversion"/>
  </si>
  <si>
    <t>492-6</t>
    <phoneticPr fontId="6" type="noConversion"/>
  </si>
  <si>
    <t>495-3</t>
    <phoneticPr fontId="6" type="noConversion"/>
  </si>
  <si>
    <t>493</t>
    <phoneticPr fontId="6" type="noConversion"/>
  </si>
  <si>
    <t>486-2</t>
    <phoneticPr fontId="6" type="noConversion"/>
  </si>
  <si>
    <t>당진군 송악면 가학리 485</t>
    <phoneticPr fontId="6" type="noConversion"/>
  </si>
  <si>
    <t>658</t>
    <phoneticPr fontId="6" type="noConversion"/>
  </si>
  <si>
    <t>493-1</t>
    <phoneticPr fontId="6" type="noConversion"/>
  </si>
  <si>
    <t>494-1</t>
    <phoneticPr fontId="6" type="noConversion"/>
  </si>
  <si>
    <t>494-3</t>
    <phoneticPr fontId="6" type="noConversion"/>
  </si>
  <si>
    <t>기지시리</t>
    <phoneticPr fontId="6" type="noConversion"/>
  </si>
  <si>
    <t>485-3</t>
    <phoneticPr fontId="6" type="noConversion"/>
  </si>
  <si>
    <t>485-6</t>
    <phoneticPr fontId="6" type="noConversion"/>
  </si>
  <si>
    <t>서울 서초구 방배동 1038 
대우효령아파트 105-1103</t>
    <phoneticPr fontId="6" type="noConversion"/>
  </si>
  <si>
    <t>485-7</t>
    <phoneticPr fontId="6" type="noConversion"/>
  </si>
  <si>
    <t>485-8</t>
    <phoneticPr fontId="6" type="noConversion"/>
  </si>
  <si>
    <t>서산군 성연면 고함리 381</t>
    <phoneticPr fontId="6" type="noConversion"/>
  </si>
  <si>
    <t>485-1</t>
    <phoneticPr fontId="6" type="noConversion"/>
  </si>
  <si>
    <t>485</t>
    <phoneticPr fontId="6" type="noConversion"/>
  </si>
  <si>
    <t>479-15</t>
    <phoneticPr fontId="6" type="noConversion"/>
  </si>
  <si>
    <t>485-2</t>
    <phoneticPr fontId="6" type="noConversion"/>
  </si>
  <si>
    <t>485-5</t>
    <phoneticPr fontId="6" type="noConversion"/>
  </si>
  <si>
    <t>479-14</t>
    <phoneticPr fontId="6" type="noConversion"/>
  </si>
  <si>
    <t>483-5</t>
    <phoneticPr fontId="6" type="noConversion"/>
  </si>
  <si>
    <t>483-7</t>
    <phoneticPr fontId="6" type="noConversion"/>
  </si>
  <si>
    <t>479-3</t>
    <phoneticPr fontId="6" type="noConversion"/>
  </si>
  <si>
    <t>479-11</t>
    <phoneticPr fontId="6" type="noConversion"/>
  </si>
  <si>
    <t>479-2</t>
    <phoneticPr fontId="6" type="noConversion"/>
  </si>
  <si>
    <t>479-4</t>
    <phoneticPr fontId="6" type="noConversion"/>
  </si>
  <si>
    <t>479-6</t>
    <phoneticPr fontId="6" type="noConversion"/>
  </si>
  <si>
    <t>479-19</t>
    <phoneticPr fontId="6" type="noConversion"/>
  </si>
  <si>
    <t>479-1</t>
    <phoneticPr fontId="6" type="noConversion"/>
  </si>
  <si>
    <t>479-12</t>
    <phoneticPr fontId="6" type="noConversion"/>
  </si>
  <si>
    <t>479-5</t>
    <phoneticPr fontId="6" type="noConversion"/>
  </si>
  <si>
    <t>479-18</t>
    <phoneticPr fontId="6" type="noConversion"/>
  </si>
  <si>
    <t>서울 강남구 역삼동 713-7 
개나리아파트 30-801</t>
    <phoneticPr fontId="6" type="noConversion"/>
  </si>
  <si>
    <t>462</t>
    <phoneticPr fontId="6" type="noConversion"/>
  </si>
  <si>
    <t>462-1</t>
    <phoneticPr fontId="6" type="noConversion"/>
  </si>
  <si>
    <t>당진군 송악면 가학리 480</t>
    <phoneticPr fontId="6" type="noConversion"/>
  </si>
  <si>
    <t>481-6</t>
    <phoneticPr fontId="6" type="noConversion"/>
  </si>
  <si>
    <t>481-10</t>
    <phoneticPr fontId="6" type="noConversion"/>
  </si>
  <si>
    <t>461</t>
    <phoneticPr fontId="6" type="noConversion"/>
  </si>
  <si>
    <t>461-3</t>
    <phoneticPr fontId="6" type="noConversion"/>
  </si>
  <si>
    <t>461-1</t>
    <phoneticPr fontId="6" type="noConversion"/>
  </si>
  <si>
    <t>461-2</t>
    <phoneticPr fontId="6" type="noConversion"/>
  </si>
  <si>
    <t>481-3</t>
    <phoneticPr fontId="6" type="noConversion"/>
  </si>
  <si>
    <t>평택시 안중읍 현화리 821-1 
현대3차아파트 104-1303</t>
    <phoneticPr fontId="6" type="noConversion"/>
  </si>
  <si>
    <t>460-16</t>
    <phoneticPr fontId="6" type="noConversion"/>
  </si>
  <si>
    <t>460-17</t>
    <phoneticPr fontId="6" type="noConversion"/>
  </si>
  <si>
    <t>460-2</t>
    <phoneticPr fontId="6" type="noConversion"/>
  </si>
  <si>
    <t>460-10</t>
    <phoneticPr fontId="6" type="noConversion"/>
  </si>
  <si>
    <t>460</t>
    <phoneticPr fontId="6" type="noConversion"/>
  </si>
  <si>
    <t>460-8</t>
    <phoneticPr fontId="6" type="noConversion"/>
  </si>
  <si>
    <t>460-3</t>
    <phoneticPr fontId="6" type="noConversion"/>
  </si>
  <si>
    <t>460-11</t>
    <phoneticPr fontId="6" type="noConversion"/>
  </si>
  <si>
    <t>460-5</t>
    <phoneticPr fontId="6" type="noConversion"/>
  </si>
  <si>
    <t>경기도 화성시 봉담읍 상리 614
청운마을 신안 인스빌 102-103</t>
    <phoneticPr fontId="6" type="noConversion"/>
  </si>
  <si>
    <t>460-6</t>
    <phoneticPr fontId="6" type="noConversion"/>
  </si>
  <si>
    <t>460-12</t>
    <phoneticPr fontId="6" type="noConversion"/>
  </si>
  <si>
    <t>460-13</t>
    <phoneticPr fontId="6" type="noConversion"/>
  </si>
  <si>
    <t>460-14</t>
    <phoneticPr fontId="6" type="noConversion"/>
  </si>
  <si>
    <t>452-13</t>
    <phoneticPr fontId="6" type="noConversion"/>
  </si>
  <si>
    <t>당진군 송악면 가학리 630-4</t>
    <phoneticPr fontId="6" type="noConversion"/>
  </si>
  <si>
    <t>452-4</t>
    <phoneticPr fontId="6" type="noConversion"/>
  </si>
  <si>
    <t>452-12</t>
    <phoneticPr fontId="6" type="noConversion"/>
  </si>
  <si>
    <t>당진시 송악읍 송악로 17번지</t>
    <phoneticPr fontId="6" type="noConversion"/>
  </si>
  <si>
    <t>452</t>
    <phoneticPr fontId="6" type="noConversion"/>
  </si>
  <si>
    <t>452-10</t>
    <phoneticPr fontId="6" type="noConversion"/>
  </si>
  <si>
    <t>452-11</t>
    <phoneticPr fontId="6" type="noConversion"/>
  </si>
  <si>
    <t>452-14</t>
    <phoneticPr fontId="6" type="noConversion"/>
  </si>
  <si>
    <t>452-16</t>
    <phoneticPr fontId="6" type="noConversion"/>
  </si>
  <si>
    <t>452-9</t>
    <phoneticPr fontId="6" type="noConversion"/>
  </si>
  <si>
    <t>447-14</t>
    <phoneticPr fontId="6" type="noConversion"/>
  </si>
  <si>
    <t>447-23</t>
    <phoneticPr fontId="6" type="noConversion"/>
  </si>
  <si>
    <t>인천 중구 신흥동3가 53-4 
항운아파트 14-304</t>
    <phoneticPr fontId="6" type="noConversion"/>
  </si>
  <si>
    <t>447-18</t>
    <phoneticPr fontId="6" type="noConversion"/>
  </si>
  <si>
    <t>447-28</t>
    <phoneticPr fontId="6" type="noConversion"/>
  </si>
  <si>
    <t>당진군 송악면 기지시리 422-3</t>
    <phoneticPr fontId="6" type="noConversion"/>
  </si>
  <si>
    <t>447-29</t>
    <phoneticPr fontId="6" type="noConversion"/>
  </si>
  <si>
    <t>447-16</t>
    <phoneticPr fontId="6" type="noConversion"/>
  </si>
  <si>
    <t>447-25</t>
    <phoneticPr fontId="6" type="noConversion"/>
  </si>
  <si>
    <t>447-11</t>
    <phoneticPr fontId="6" type="noConversion"/>
  </si>
  <si>
    <t>447-17</t>
    <phoneticPr fontId="6" type="noConversion"/>
  </si>
  <si>
    <t>447-26</t>
    <phoneticPr fontId="6" type="noConversion"/>
  </si>
  <si>
    <t>당진군 송악면 틀모시로 892</t>
    <phoneticPr fontId="6" type="noConversion"/>
  </si>
  <si>
    <t>479</t>
    <phoneticPr fontId="6" type="noConversion"/>
  </si>
  <si>
    <t>479-17</t>
    <phoneticPr fontId="6" type="noConversion"/>
  </si>
  <si>
    <t>경상북도 포항시 남구
 해도동 208-2</t>
    <phoneticPr fontId="6" type="noConversion"/>
  </si>
  <si>
    <t>479-13</t>
    <phoneticPr fontId="6" type="noConversion"/>
  </si>
  <si>
    <t>479-10</t>
    <phoneticPr fontId="6" type="noConversion"/>
  </si>
  <si>
    <t>479-22</t>
    <phoneticPr fontId="6" type="noConversion"/>
  </si>
  <si>
    <t>481</t>
    <phoneticPr fontId="6" type="noConversion"/>
  </si>
  <si>
    <t>충청남도 당진군 송악면 
가학리 481</t>
    <phoneticPr fontId="6" type="noConversion"/>
  </si>
  <si>
    <t>481-5</t>
    <phoneticPr fontId="6" type="noConversion"/>
  </si>
  <si>
    <t>481-9</t>
    <phoneticPr fontId="6" type="noConversion"/>
  </si>
  <si>
    <t>서울 영등포구 신길동 4780 
보라경남아너스빌 108-2002</t>
    <phoneticPr fontId="6" type="noConversion"/>
  </si>
  <si>
    <t>481-4</t>
    <phoneticPr fontId="6" type="noConversion"/>
  </si>
  <si>
    <t>481-8</t>
    <phoneticPr fontId="6" type="noConversion"/>
  </si>
  <si>
    <t>수원시 권선구 권선동 1305 
권선대우아파트 324-403</t>
    <phoneticPr fontId="6" type="noConversion"/>
  </si>
  <si>
    <t>481-1</t>
    <phoneticPr fontId="6" type="noConversion"/>
  </si>
  <si>
    <t>481-7</t>
    <phoneticPr fontId="6" type="noConversion"/>
  </si>
  <si>
    <t>481-2</t>
    <phoneticPr fontId="6" type="noConversion"/>
  </si>
  <si>
    <t>451-6</t>
    <phoneticPr fontId="6" type="noConversion"/>
  </si>
  <si>
    <t>451-7</t>
    <phoneticPr fontId="6" type="noConversion"/>
  </si>
  <si>
    <t>448-5</t>
    <phoneticPr fontId="6" type="noConversion"/>
  </si>
  <si>
    <t>448-10</t>
    <phoneticPr fontId="6" type="noConversion"/>
  </si>
  <si>
    <t>448-4</t>
    <phoneticPr fontId="6" type="noConversion"/>
  </si>
  <si>
    <t>448-9</t>
    <phoneticPr fontId="6" type="noConversion"/>
  </si>
  <si>
    <t>448-3</t>
    <phoneticPr fontId="6" type="noConversion"/>
  </si>
  <si>
    <t>448-8</t>
    <phoneticPr fontId="6" type="noConversion"/>
  </si>
  <si>
    <t>광주 서구 풍암동 1093
금호아파트 201-503</t>
    <phoneticPr fontId="6" type="noConversion"/>
  </si>
  <si>
    <t>447-12</t>
    <phoneticPr fontId="6" type="noConversion"/>
  </si>
  <si>
    <t>447-6</t>
    <phoneticPr fontId="6" type="noConversion"/>
  </si>
  <si>
    <t>447-20</t>
    <phoneticPr fontId="6" type="noConversion"/>
  </si>
  <si>
    <t>447-10</t>
    <phoneticPr fontId="6" type="noConversion"/>
  </si>
  <si>
    <t>447-22</t>
    <phoneticPr fontId="6" type="noConversion"/>
  </si>
  <si>
    <t>447-9</t>
    <phoneticPr fontId="6" type="noConversion"/>
  </si>
  <si>
    <t>447-21</t>
    <phoneticPr fontId="6" type="noConversion"/>
  </si>
  <si>
    <t>인천 남구 숭의동 27-48</t>
    <phoneticPr fontId="6" type="noConversion"/>
  </si>
  <si>
    <t>447-19</t>
    <phoneticPr fontId="6" type="noConversion"/>
  </si>
  <si>
    <t>447-30</t>
    <phoneticPr fontId="6" type="noConversion"/>
  </si>
  <si>
    <t>인천 남동구 구월동 260-5 
동아아파트 1-506</t>
    <phoneticPr fontId="6" type="noConversion"/>
  </si>
  <si>
    <t>580-7</t>
    <phoneticPr fontId="6" type="noConversion"/>
  </si>
  <si>
    <t>580-3</t>
    <phoneticPr fontId="6" type="noConversion"/>
  </si>
  <si>
    <t>580-4</t>
    <phoneticPr fontId="6" type="noConversion"/>
  </si>
  <si>
    <t>580-10</t>
    <phoneticPr fontId="6" type="noConversion"/>
  </si>
  <si>
    <t>489-1</t>
    <phoneticPr fontId="6" type="noConversion"/>
  </si>
  <si>
    <t>한진리</t>
    <phoneticPr fontId="6" type="noConversion"/>
  </si>
  <si>
    <t>산76-4</t>
    <phoneticPr fontId="6" type="noConversion"/>
  </si>
  <si>
    <t>서산시 성연면 고남리 381</t>
    <phoneticPr fontId="6" type="noConversion"/>
  </si>
  <si>
    <t>477-2</t>
    <phoneticPr fontId="6" type="noConversion"/>
  </si>
  <si>
    <t>당진군 송악읍 기지시리 274</t>
    <phoneticPr fontId="6" type="noConversion"/>
  </si>
  <si>
    <t>당진시 송악읍 반촌리</t>
    <phoneticPr fontId="6" type="noConversion"/>
  </si>
  <si>
    <t>당진시 송산면 부곡리</t>
    <phoneticPr fontId="6" type="noConversion"/>
  </si>
  <si>
    <t>170-7</t>
    <phoneticPr fontId="6" type="noConversion"/>
  </si>
  <si>
    <t>170-10</t>
    <phoneticPr fontId="6" type="noConversion"/>
  </si>
  <si>
    <t>553</t>
    <phoneticPr fontId="6" type="noConversion"/>
  </si>
  <si>
    <t>553-2</t>
    <phoneticPr fontId="6" type="noConversion"/>
  </si>
  <si>
    <t>170-4</t>
    <phoneticPr fontId="6" type="noConversion"/>
  </si>
  <si>
    <t>170-11</t>
    <phoneticPr fontId="6" type="noConversion"/>
  </si>
  <si>
    <t>170-1</t>
    <phoneticPr fontId="6" type="noConversion"/>
  </si>
  <si>
    <t>170-2</t>
    <phoneticPr fontId="6" type="noConversion"/>
  </si>
  <si>
    <t>170-9</t>
    <phoneticPr fontId="6" type="noConversion"/>
  </si>
  <si>
    <t>당진군 당진읍 행정리 326</t>
    <phoneticPr fontId="6" type="noConversion"/>
  </si>
  <si>
    <t>591-2</t>
    <phoneticPr fontId="6" type="noConversion"/>
  </si>
  <si>
    <t>169-1</t>
    <phoneticPr fontId="6" type="noConversion"/>
  </si>
  <si>
    <t>169-8</t>
    <phoneticPr fontId="6" type="noConversion"/>
  </si>
  <si>
    <t>169-4</t>
    <phoneticPr fontId="6" type="noConversion"/>
  </si>
  <si>
    <t>169-5</t>
    <phoneticPr fontId="6" type="noConversion"/>
  </si>
  <si>
    <t>169-6</t>
    <phoneticPr fontId="6" type="noConversion"/>
  </si>
  <si>
    <t>169-7</t>
    <phoneticPr fontId="6" type="noConversion"/>
  </si>
  <si>
    <t>산35-3</t>
    <phoneticPr fontId="6" type="noConversion"/>
  </si>
  <si>
    <t>168-1</t>
    <phoneticPr fontId="6" type="noConversion"/>
  </si>
  <si>
    <t>168-2</t>
    <phoneticPr fontId="6" type="noConversion"/>
  </si>
  <si>
    <t>147-4</t>
    <phoneticPr fontId="6" type="noConversion"/>
  </si>
  <si>
    <t>147-15</t>
    <phoneticPr fontId="6" type="noConversion"/>
  </si>
  <si>
    <t>147-3</t>
    <phoneticPr fontId="6" type="noConversion"/>
  </si>
  <si>
    <t>147-14</t>
    <phoneticPr fontId="6" type="noConversion"/>
  </si>
  <si>
    <t>150</t>
    <phoneticPr fontId="6" type="noConversion"/>
  </si>
  <si>
    <t>150-1</t>
    <phoneticPr fontId="6" type="noConversion"/>
  </si>
  <si>
    <t>당진군 송산면 부곡리 87</t>
    <phoneticPr fontId="6" type="noConversion"/>
  </si>
  <si>
    <t>148-2</t>
    <phoneticPr fontId="6" type="noConversion"/>
  </si>
  <si>
    <t>149-2</t>
    <phoneticPr fontId="6" type="noConversion"/>
  </si>
  <si>
    <t>149-5</t>
    <phoneticPr fontId="6" type="noConversion"/>
  </si>
  <si>
    <t>153</t>
    <phoneticPr fontId="6" type="noConversion"/>
  </si>
  <si>
    <t>153-4</t>
    <phoneticPr fontId="6" type="noConversion"/>
  </si>
  <si>
    <t>서울특별시 송파구 방이동 89 올림픽
선수, 기자촌 아파트 231-901</t>
    <phoneticPr fontId="6" type="noConversion"/>
  </si>
  <si>
    <t>152</t>
    <phoneticPr fontId="6" type="noConversion"/>
  </si>
  <si>
    <t>152-1</t>
    <phoneticPr fontId="6" type="noConversion"/>
  </si>
  <si>
    <t>안양시 동안구 관양동 1399-4</t>
    <phoneticPr fontId="6" type="noConversion"/>
  </si>
  <si>
    <t>588</t>
    <phoneticPr fontId="6" type="noConversion"/>
  </si>
  <si>
    <t>153-2</t>
    <phoneticPr fontId="6" type="noConversion"/>
  </si>
  <si>
    <t>153-6</t>
    <phoneticPr fontId="6" type="noConversion"/>
  </si>
  <si>
    <t>591-1</t>
    <phoneticPr fontId="6" type="noConversion"/>
  </si>
  <si>
    <t>591-4</t>
    <phoneticPr fontId="6" type="noConversion"/>
  </si>
  <si>
    <t>서산시 예천동 507-73</t>
    <phoneticPr fontId="6" type="noConversion"/>
  </si>
  <si>
    <t>591</t>
    <phoneticPr fontId="6" type="noConversion"/>
  </si>
  <si>
    <t>591-9</t>
    <phoneticPr fontId="6" type="noConversion"/>
  </si>
  <si>
    <t>591-5</t>
    <phoneticPr fontId="6" type="noConversion"/>
  </si>
  <si>
    <t>591-6</t>
    <phoneticPr fontId="6" type="noConversion"/>
  </si>
  <si>
    <t>591-8</t>
    <phoneticPr fontId="6" type="noConversion"/>
  </si>
  <si>
    <t>147-13</t>
    <phoneticPr fontId="6" type="noConversion"/>
  </si>
  <si>
    <t>147-16</t>
    <phoneticPr fontId="6" type="noConversion"/>
  </si>
  <si>
    <t>서울 강남구 역삼동 656-17 
금강연립 가-301</t>
    <phoneticPr fontId="6" type="noConversion"/>
  </si>
  <si>
    <t>147-8</t>
    <phoneticPr fontId="6" type="noConversion"/>
  </si>
  <si>
    <t>147-12</t>
    <phoneticPr fontId="6" type="noConversion"/>
  </si>
  <si>
    <t>147-7</t>
    <phoneticPr fontId="6" type="noConversion"/>
  </si>
  <si>
    <t>147-11</t>
    <phoneticPr fontId="6" type="noConversion"/>
  </si>
  <si>
    <t>서울 강남구 삼성동 47-12</t>
    <phoneticPr fontId="6" type="noConversion"/>
  </si>
  <si>
    <t>147-2</t>
    <phoneticPr fontId="6" type="noConversion"/>
  </si>
  <si>
    <t>147-10</t>
    <phoneticPr fontId="6" type="noConversion"/>
  </si>
  <si>
    <t>147</t>
    <phoneticPr fontId="6" type="noConversion"/>
  </si>
  <si>
    <t>147-9</t>
    <phoneticPr fontId="6" type="noConversion"/>
  </si>
  <si>
    <t>146-2</t>
    <phoneticPr fontId="6" type="noConversion"/>
  </si>
  <si>
    <t>146-4</t>
    <phoneticPr fontId="6" type="noConversion"/>
  </si>
  <si>
    <t>146-1</t>
    <phoneticPr fontId="6" type="noConversion"/>
  </si>
  <si>
    <t>146-3</t>
    <phoneticPr fontId="6" type="noConversion"/>
  </si>
  <si>
    <t>144</t>
    <phoneticPr fontId="6" type="noConversion"/>
  </si>
  <si>
    <t>144-1</t>
    <phoneticPr fontId="6" type="noConversion"/>
  </si>
  <si>
    <t>148-1</t>
    <phoneticPr fontId="6" type="noConversion"/>
  </si>
  <si>
    <t>148-3</t>
    <phoneticPr fontId="6" type="noConversion"/>
  </si>
  <si>
    <t>149-3</t>
    <phoneticPr fontId="6" type="noConversion"/>
  </si>
  <si>
    <t>당진군 송산면 부곡리 145</t>
    <phoneticPr fontId="6" type="noConversion"/>
  </si>
  <si>
    <t>149-1</t>
    <phoneticPr fontId="6" type="noConversion"/>
  </si>
  <si>
    <t>149-4</t>
    <phoneticPr fontId="6" type="noConversion"/>
  </si>
  <si>
    <t>156</t>
    <phoneticPr fontId="6" type="noConversion"/>
  </si>
  <si>
    <t>156-1</t>
    <phoneticPr fontId="6" type="noConversion"/>
  </si>
  <si>
    <t>155</t>
    <phoneticPr fontId="6" type="noConversion"/>
  </si>
  <si>
    <t>155-1</t>
    <phoneticPr fontId="6" type="noConversion"/>
  </si>
  <si>
    <t>154</t>
    <phoneticPr fontId="6" type="noConversion"/>
  </si>
  <si>
    <t>161-2</t>
    <phoneticPr fontId="6" type="noConversion"/>
  </si>
  <si>
    <t>162</t>
    <phoneticPr fontId="6" type="noConversion"/>
  </si>
  <si>
    <t>당진군 송악면 기지시리 320</t>
    <phoneticPr fontId="6" type="noConversion"/>
  </si>
  <si>
    <t>106-1</t>
    <phoneticPr fontId="6" type="noConversion"/>
  </si>
  <si>
    <t>99</t>
    <phoneticPr fontId="6" type="noConversion"/>
  </si>
  <si>
    <t>99-1</t>
    <phoneticPr fontId="6" type="noConversion"/>
  </si>
  <si>
    <t>100-3</t>
    <phoneticPr fontId="6" type="noConversion"/>
  </si>
  <si>
    <t>98-8</t>
    <phoneticPr fontId="6" type="noConversion"/>
  </si>
  <si>
    <t xml:space="preserve">충청남도 당진군 송산면
 부곡리 86-3 </t>
    <phoneticPr fontId="6" type="noConversion"/>
  </si>
  <si>
    <t>100-4</t>
    <phoneticPr fontId="6" type="noConversion"/>
  </si>
  <si>
    <t>103-1</t>
    <phoneticPr fontId="6" type="noConversion"/>
  </si>
  <si>
    <t>101-1</t>
    <phoneticPr fontId="6" type="noConversion"/>
  </si>
  <si>
    <t>101-3</t>
    <phoneticPr fontId="6" type="noConversion"/>
  </si>
  <si>
    <t>충청남도 당진군 부곡리 86-3</t>
    <phoneticPr fontId="6" type="noConversion"/>
  </si>
  <si>
    <t>103-2</t>
    <phoneticPr fontId="6" type="noConversion"/>
  </si>
  <si>
    <t>103-3</t>
    <phoneticPr fontId="6" type="noConversion"/>
  </si>
  <si>
    <t>당진군 송산면 부곡리 104</t>
    <phoneticPr fontId="6" type="noConversion"/>
  </si>
  <si>
    <t>104-1</t>
    <phoneticPr fontId="6" type="noConversion"/>
  </si>
  <si>
    <t>104-2</t>
    <phoneticPr fontId="6" type="noConversion"/>
  </si>
  <si>
    <t>당진군 송산면 명산리 485</t>
    <phoneticPr fontId="6" type="noConversion"/>
  </si>
  <si>
    <t>93-1</t>
    <phoneticPr fontId="6" type="noConversion"/>
  </si>
  <si>
    <t>93-2</t>
    <phoneticPr fontId="6" type="noConversion"/>
  </si>
  <si>
    <t>93-4</t>
    <phoneticPr fontId="6" type="noConversion"/>
  </si>
  <si>
    <t>88-13</t>
    <phoneticPr fontId="6" type="noConversion"/>
  </si>
  <si>
    <t>88-8</t>
    <phoneticPr fontId="6" type="noConversion"/>
  </si>
  <si>
    <t>91</t>
    <phoneticPr fontId="6" type="noConversion"/>
  </si>
  <si>
    <t>91-1</t>
    <phoneticPr fontId="6" type="noConversion"/>
  </si>
  <si>
    <t>서울특별시 영등포구 여의도동
41 대교아파트 5-1210</t>
    <phoneticPr fontId="6" type="noConversion"/>
  </si>
  <si>
    <t>서울 강남구 방배동 850-23</t>
    <phoneticPr fontId="6" type="noConversion"/>
  </si>
  <si>
    <t>88-16</t>
    <phoneticPr fontId="6" type="noConversion"/>
  </si>
  <si>
    <t>88-17</t>
    <phoneticPr fontId="6" type="noConversion"/>
  </si>
  <si>
    <t>86</t>
    <phoneticPr fontId="6" type="noConversion"/>
  </si>
  <si>
    <t>86-5</t>
    <phoneticPr fontId="6" type="noConversion"/>
  </si>
  <si>
    <t>87</t>
    <phoneticPr fontId="6" type="noConversion"/>
  </si>
  <si>
    <t>87-1</t>
    <phoneticPr fontId="6" type="noConversion"/>
  </si>
  <si>
    <t>당진군 합덕읍 운산리 572</t>
    <phoneticPr fontId="6" type="noConversion"/>
  </si>
  <si>
    <t>160</t>
    <phoneticPr fontId="6" type="noConversion"/>
  </si>
  <si>
    <t>160-1</t>
    <phoneticPr fontId="6" type="noConversion"/>
  </si>
  <si>
    <t>159</t>
    <phoneticPr fontId="6" type="noConversion"/>
  </si>
  <si>
    <t>159-1</t>
    <phoneticPr fontId="6" type="noConversion"/>
  </si>
  <si>
    <t>161</t>
    <phoneticPr fontId="6" type="noConversion"/>
  </si>
  <si>
    <t>158</t>
    <phoneticPr fontId="6" type="noConversion"/>
  </si>
  <si>
    <t>158-1</t>
    <phoneticPr fontId="6" type="noConversion"/>
  </si>
  <si>
    <t>110-2</t>
    <phoneticPr fontId="6" type="noConversion"/>
  </si>
  <si>
    <t>110-6</t>
    <phoneticPr fontId="6" type="noConversion"/>
  </si>
  <si>
    <t>110-7</t>
    <phoneticPr fontId="6" type="noConversion"/>
  </si>
  <si>
    <t>107</t>
    <phoneticPr fontId="6" type="noConversion"/>
  </si>
  <si>
    <t>109</t>
    <phoneticPr fontId="6" type="noConversion"/>
  </si>
  <si>
    <t>109-1</t>
    <phoneticPr fontId="6" type="noConversion"/>
  </si>
  <si>
    <t>108-1</t>
    <phoneticPr fontId="6" type="noConversion"/>
  </si>
  <si>
    <t>108-3</t>
    <phoneticPr fontId="6" type="noConversion"/>
  </si>
  <si>
    <t>108-2</t>
    <phoneticPr fontId="6" type="noConversion"/>
  </si>
  <si>
    <t>105-2</t>
    <phoneticPr fontId="6" type="noConversion"/>
  </si>
  <si>
    <t>105-4</t>
    <phoneticPr fontId="6" type="noConversion"/>
  </si>
  <si>
    <t>106-2</t>
    <phoneticPr fontId="6" type="noConversion"/>
  </si>
  <si>
    <t>105-1</t>
    <phoneticPr fontId="6" type="noConversion"/>
  </si>
  <si>
    <t>105-3</t>
    <phoneticPr fontId="6" type="noConversion"/>
  </si>
  <si>
    <t>104</t>
    <phoneticPr fontId="6" type="noConversion"/>
  </si>
  <si>
    <t>88-4</t>
    <phoneticPr fontId="6" type="noConversion"/>
  </si>
  <si>
    <t>88-10</t>
    <phoneticPr fontId="6" type="noConversion"/>
  </si>
  <si>
    <t>대전광역시 서구 정림동
 641-1 늘푸른아파트 102-201</t>
    <phoneticPr fontId="6" type="noConversion"/>
  </si>
  <si>
    <t>88-3</t>
    <phoneticPr fontId="6" type="noConversion"/>
  </si>
  <si>
    <t>88-9</t>
    <phoneticPr fontId="6" type="noConversion"/>
  </si>
  <si>
    <t>11</t>
    <phoneticPr fontId="6" type="noConversion"/>
  </si>
  <si>
    <t>98-4</t>
    <phoneticPr fontId="6" type="noConversion"/>
  </si>
  <si>
    <t>98-12</t>
    <phoneticPr fontId="6" type="noConversion"/>
  </si>
  <si>
    <t>98-3</t>
    <phoneticPr fontId="6" type="noConversion"/>
  </si>
  <si>
    <t>98-11</t>
    <phoneticPr fontId="6" type="noConversion"/>
  </si>
  <si>
    <t>85-7</t>
    <phoneticPr fontId="6" type="noConversion"/>
  </si>
  <si>
    <t>85-10</t>
    <phoneticPr fontId="6" type="noConversion"/>
  </si>
  <si>
    <t>98-10</t>
    <phoneticPr fontId="6" type="noConversion"/>
  </si>
  <si>
    <t>98-9</t>
    <phoneticPr fontId="6" type="noConversion"/>
  </si>
  <si>
    <t>98-5</t>
    <phoneticPr fontId="6" type="noConversion"/>
  </si>
  <si>
    <t>98-13</t>
    <phoneticPr fontId="6" type="noConversion"/>
  </si>
  <si>
    <t>98-15</t>
    <phoneticPr fontId="6" type="noConversion"/>
  </si>
  <si>
    <t>98-7</t>
    <phoneticPr fontId="6" type="noConversion"/>
  </si>
  <si>
    <t>98-17</t>
    <phoneticPr fontId="6" type="noConversion"/>
  </si>
  <si>
    <t>98-6</t>
    <phoneticPr fontId="6" type="noConversion"/>
  </si>
  <si>
    <t>98-16</t>
    <phoneticPr fontId="6" type="noConversion"/>
  </si>
  <si>
    <t>99-10</t>
    <phoneticPr fontId="6" type="noConversion"/>
  </si>
  <si>
    <t>99-17</t>
    <phoneticPr fontId="6" type="noConversion"/>
  </si>
  <si>
    <t>99-16</t>
    <phoneticPr fontId="6" type="noConversion"/>
  </si>
  <si>
    <t>99-21</t>
    <phoneticPr fontId="6" type="noConversion"/>
  </si>
  <si>
    <t>99-12</t>
    <phoneticPr fontId="6" type="noConversion"/>
  </si>
  <si>
    <t>99-18</t>
    <phoneticPr fontId="6" type="noConversion"/>
  </si>
  <si>
    <t>97-1</t>
    <phoneticPr fontId="6" type="noConversion"/>
  </si>
  <si>
    <t>97-4</t>
    <phoneticPr fontId="6" type="noConversion"/>
  </si>
  <si>
    <t>97-3</t>
    <phoneticPr fontId="6" type="noConversion"/>
  </si>
  <si>
    <t>99-6</t>
    <phoneticPr fontId="6" type="noConversion"/>
  </si>
  <si>
    <t>99-14</t>
    <phoneticPr fontId="6" type="noConversion"/>
  </si>
  <si>
    <t>85-6</t>
    <phoneticPr fontId="6" type="noConversion"/>
  </si>
  <si>
    <t>85-9</t>
    <phoneticPr fontId="6" type="noConversion"/>
  </si>
  <si>
    <t>85-5</t>
    <phoneticPr fontId="6" type="noConversion"/>
  </si>
  <si>
    <t>85-8</t>
    <phoneticPr fontId="6" type="noConversion"/>
  </si>
  <si>
    <t>98</t>
    <phoneticPr fontId="6" type="noConversion"/>
  </si>
  <si>
    <t>97-2</t>
    <phoneticPr fontId="6" type="noConversion"/>
  </si>
  <si>
    <t>97-5</t>
    <phoneticPr fontId="6" type="noConversion"/>
  </si>
  <si>
    <t>99-8</t>
    <phoneticPr fontId="6" type="noConversion"/>
  </si>
  <si>
    <t>99-15</t>
    <phoneticPr fontId="6" type="noConversion"/>
  </si>
  <si>
    <t>99-9</t>
    <phoneticPr fontId="6" type="noConversion"/>
  </si>
  <si>
    <t>99-13</t>
    <phoneticPr fontId="6" type="noConversion"/>
  </si>
  <si>
    <t>99-20</t>
    <phoneticPr fontId="6" type="noConversion"/>
  </si>
  <si>
    <t>99-19</t>
    <phoneticPr fontId="6" type="noConversion"/>
  </si>
  <si>
    <t>110</t>
    <phoneticPr fontId="6" type="noConversion"/>
  </si>
  <si>
    <t>110-1</t>
    <phoneticPr fontId="6" type="noConversion"/>
  </si>
  <si>
    <t>110-3</t>
    <phoneticPr fontId="6" type="noConversion"/>
  </si>
  <si>
    <t>144-2</t>
    <phoneticPr fontId="6" type="noConversion"/>
  </si>
  <si>
    <t>251-1</t>
    <phoneticPr fontId="6" type="noConversion"/>
  </si>
  <si>
    <t>251-5</t>
    <phoneticPr fontId="6" type="noConversion"/>
  </si>
  <si>
    <t>251-4</t>
    <phoneticPr fontId="6" type="noConversion"/>
  </si>
  <si>
    <t>250</t>
    <phoneticPr fontId="6" type="noConversion"/>
  </si>
  <si>
    <t>250-2</t>
    <phoneticPr fontId="6" type="noConversion"/>
  </si>
  <si>
    <t>128-5</t>
    <phoneticPr fontId="6" type="noConversion"/>
  </si>
  <si>
    <t>128-6</t>
    <phoneticPr fontId="6" type="noConversion"/>
  </si>
  <si>
    <t>250-1</t>
    <phoneticPr fontId="6" type="noConversion"/>
  </si>
  <si>
    <t>250-3</t>
    <phoneticPr fontId="6" type="noConversion"/>
  </si>
  <si>
    <t>252</t>
    <phoneticPr fontId="6" type="noConversion"/>
  </si>
  <si>
    <t>251-3</t>
    <phoneticPr fontId="6" type="noConversion"/>
  </si>
  <si>
    <t>252-3</t>
    <phoneticPr fontId="6" type="noConversion"/>
  </si>
  <si>
    <t>253-8</t>
    <phoneticPr fontId="6" type="noConversion"/>
  </si>
  <si>
    <t>478-14</t>
    <phoneticPr fontId="6" type="noConversion"/>
  </si>
  <si>
    <t>248-6</t>
    <phoneticPr fontId="6" type="noConversion"/>
  </si>
  <si>
    <t>248-9</t>
    <phoneticPr fontId="6" type="noConversion"/>
  </si>
  <si>
    <t>248-7</t>
    <phoneticPr fontId="6" type="noConversion"/>
  </si>
  <si>
    <t>253-1</t>
    <phoneticPr fontId="6" type="noConversion"/>
  </si>
  <si>
    <t>247</t>
    <phoneticPr fontId="6" type="noConversion"/>
  </si>
  <si>
    <t>247-1</t>
    <phoneticPr fontId="6" type="noConversion"/>
  </si>
  <si>
    <t>253-3</t>
    <phoneticPr fontId="6" type="noConversion"/>
  </si>
  <si>
    <t>246-3</t>
    <phoneticPr fontId="6" type="noConversion"/>
  </si>
  <si>
    <t>246-5</t>
    <phoneticPr fontId="6" type="noConversion"/>
  </si>
  <si>
    <t>243-3</t>
    <phoneticPr fontId="6" type="noConversion"/>
  </si>
  <si>
    <t>243-9</t>
    <phoneticPr fontId="6" type="noConversion"/>
  </si>
  <si>
    <t>245-1</t>
    <phoneticPr fontId="6" type="noConversion"/>
  </si>
  <si>
    <t>245-5</t>
    <phoneticPr fontId="6" type="noConversion"/>
  </si>
  <si>
    <t>478-6</t>
    <phoneticPr fontId="6" type="noConversion"/>
  </si>
  <si>
    <t>260-2</t>
    <phoneticPr fontId="6" type="noConversion"/>
  </si>
  <si>
    <t>260-5</t>
    <phoneticPr fontId="6" type="noConversion"/>
  </si>
  <si>
    <t>263</t>
    <phoneticPr fontId="6" type="noConversion"/>
  </si>
  <si>
    <t>263-2</t>
    <phoneticPr fontId="6" type="noConversion"/>
  </si>
  <si>
    <t>259-5</t>
    <phoneticPr fontId="6" type="noConversion"/>
  </si>
  <si>
    <t>268-1</t>
    <phoneticPr fontId="6" type="noConversion"/>
  </si>
  <si>
    <t>269-5</t>
    <phoneticPr fontId="6" type="noConversion"/>
  </si>
  <si>
    <t>440</t>
    <phoneticPr fontId="6" type="noConversion"/>
  </si>
  <si>
    <t>440-1</t>
    <phoneticPr fontId="6" type="noConversion"/>
  </si>
  <si>
    <t>154-2</t>
    <phoneticPr fontId="6" type="noConversion"/>
  </si>
  <si>
    <t>154-1</t>
    <phoneticPr fontId="6" type="noConversion"/>
  </si>
  <si>
    <t>154-10</t>
    <phoneticPr fontId="6" type="noConversion"/>
  </si>
  <si>
    <t>476</t>
    <phoneticPr fontId="6" type="noConversion"/>
  </si>
  <si>
    <t>476-1</t>
    <phoneticPr fontId="6" type="noConversion"/>
  </si>
  <si>
    <t>476-4</t>
    <phoneticPr fontId="6" type="noConversion"/>
  </si>
  <si>
    <t>151-1</t>
    <phoneticPr fontId="6" type="noConversion"/>
  </si>
  <si>
    <t>151</t>
    <phoneticPr fontId="6" type="noConversion"/>
  </si>
  <si>
    <t>151-3</t>
    <phoneticPr fontId="6" type="noConversion"/>
  </si>
  <si>
    <t>151-4</t>
    <phoneticPr fontId="6" type="noConversion"/>
  </si>
  <si>
    <t>150-2</t>
    <phoneticPr fontId="6" type="noConversion"/>
  </si>
  <si>
    <t>150-3</t>
    <phoneticPr fontId="6" type="noConversion"/>
  </si>
  <si>
    <t>148-4</t>
    <phoneticPr fontId="6" type="noConversion"/>
  </si>
  <si>
    <t>148-6</t>
    <phoneticPr fontId="6" type="noConversion"/>
  </si>
  <si>
    <t>148</t>
    <phoneticPr fontId="6" type="noConversion"/>
  </si>
  <si>
    <t>148-5</t>
    <phoneticPr fontId="6" type="noConversion"/>
  </si>
  <si>
    <t>106-8</t>
    <phoneticPr fontId="6" type="noConversion"/>
  </si>
  <si>
    <t>106</t>
    <phoneticPr fontId="6" type="noConversion"/>
  </si>
  <si>
    <t>106-5</t>
    <phoneticPr fontId="6" type="noConversion"/>
  </si>
  <si>
    <t>106-3</t>
    <phoneticPr fontId="6" type="noConversion"/>
  </si>
  <si>
    <t>107-3</t>
    <phoneticPr fontId="6" type="noConversion"/>
  </si>
  <si>
    <t>108</t>
    <phoneticPr fontId="6" type="noConversion"/>
  </si>
  <si>
    <t>107-4</t>
    <phoneticPr fontId="6" type="noConversion"/>
  </si>
  <si>
    <t>107-6</t>
    <phoneticPr fontId="6" type="noConversion"/>
  </si>
  <si>
    <t>107-5</t>
    <phoneticPr fontId="6" type="noConversion"/>
  </si>
  <si>
    <t>145-2</t>
    <phoneticPr fontId="6" type="noConversion"/>
  </si>
  <si>
    <t>146</t>
    <phoneticPr fontId="6" type="noConversion"/>
  </si>
  <si>
    <t>145</t>
    <phoneticPr fontId="6" type="noConversion"/>
  </si>
  <si>
    <t>146-7</t>
    <phoneticPr fontId="6" type="noConversion"/>
  </si>
  <si>
    <t>146-8</t>
    <phoneticPr fontId="6" type="noConversion"/>
  </si>
  <si>
    <t>181-5</t>
    <phoneticPr fontId="6" type="noConversion"/>
  </si>
  <si>
    <t>181-4</t>
    <phoneticPr fontId="6" type="noConversion"/>
  </si>
  <si>
    <t>182-8</t>
    <phoneticPr fontId="6" type="noConversion"/>
  </si>
  <si>
    <t>233-4</t>
    <phoneticPr fontId="6" type="noConversion"/>
  </si>
  <si>
    <t>182-9</t>
    <phoneticPr fontId="6" type="noConversion"/>
  </si>
  <si>
    <t>233-3</t>
    <phoneticPr fontId="6" type="noConversion"/>
  </si>
  <si>
    <t>233-2</t>
    <phoneticPr fontId="6" type="noConversion"/>
  </si>
  <si>
    <t>233-7</t>
    <phoneticPr fontId="6" type="noConversion"/>
  </si>
  <si>
    <t>233-5</t>
    <phoneticPr fontId="6" type="noConversion"/>
  </si>
  <si>
    <t>233-9</t>
    <phoneticPr fontId="6" type="noConversion"/>
  </si>
  <si>
    <t>233-10</t>
    <phoneticPr fontId="6" type="noConversion"/>
  </si>
  <si>
    <t>233-6</t>
    <phoneticPr fontId="6" type="noConversion"/>
  </si>
  <si>
    <t>233-11</t>
    <phoneticPr fontId="6" type="noConversion"/>
  </si>
  <si>
    <t>233-1</t>
    <phoneticPr fontId="6" type="noConversion"/>
  </si>
  <si>
    <t>233</t>
    <phoneticPr fontId="6" type="noConversion"/>
  </si>
  <si>
    <t>233-8</t>
    <phoneticPr fontId="6" type="noConversion"/>
  </si>
  <si>
    <t>230-1</t>
    <phoneticPr fontId="6" type="noConversion"/>
  </si>
  <si>
    <t>230-3</t>
    <phoneticPr fontId="6" type="noConversion"/>
  </si>
  <si>
    <t>230-2</t>
    <phoneticPr fontId="6" type="noConversion"/>
  </si>
  <si>
    <t>230-4</t>
    <phoneticPr fontId="6" type="noConversion"/>
  </si>
  <si>
    <t>234-1</t>
    <phoneticPr fontId="6" type="noConversion"/>
  </si>
  <si>
    <t>234-5</t>
    <phoneticPr fontId="6" type="noConversion"/>
  </si>
  <si>
    <t>236</t>
    <phoneticPr fontId="6" type="noConversion"/>
  </si>
  <si>
    <t>232</t>
    <phoneticPr fontId="6" type="noConversion"/>
  </si>
  <si>
    <t>232-7</t>
    <phoneticPr fontId="6" type="noConversion"/>
  </si>
  <si>
    <t>237</t>
    <phoneticPr fontId="6" type="noConversion"/>
  </si>
  <si>
    <t>237-2</t>
    <phoneticPr fontId="6" type="noConversion"/>
  </si>
  <si>
    <t>237-6</t>
    <phoneticPr fontId="6" type="noConversion"/>
  </si>
  <si>
    <t>237-4</t>
    <phoneticPr fontId="6" type="noConversion"/>
  </si>
  <si>
    <t>237-1</t>
    <phoneticPr fontId="6" type="noConversion"/>
  </si>
  <si>
    <t>237-3</t>
    <phoneticPr fontId="6" type="noConversion"/>
  </si>
  <si>
    <t>232-2</t>
    <phoneticPr fontId="6" type="noConversion"/>
  </si>
  <si>
    <t>232-8</t>
    <phoneticPr fontId="6" type="noConversion"/>
  </si>
  <si>
    <t>236-2</t>
    <phoneticPr fontId="6" type="noConversion"/>
  </si>
  <si>
    <t>236-3</t>
    <phoneticPr fontId="6" type="noConversion"/>
  </si>
  <si>
    <t>236-1</t>
    <phoneticPr fontId="6" type="noConversion"/>
  </si>
  <si>
    <t>235</t>
    <phoneticPr fontId="6" type="noConversion"/>
  </si>
  <si>
    <t>235-1</t>
    <phoneticPr fontId="6" type="noConversion"/>
  </si>
  <si>
    <t>281</t>
    <phoneticPr fontId="6" type="noConversion"/>
  </si>
  <si>
    <t>281-1</t>
    <phoneticPr fontId="6" type="noConversion"/>
  </si>
  <si>
    <t>238-1</t>
    <phoneticPr fontId="6" type="noConversion"/>
  </si>
  <si>
    <t>238-2</t>
    <phoneticPr fontId="6" type="noConversion"/>
  </si>
  <si>
    <t>238-3</t>
    <phoneticPr fontId="6" type="noConversion"/>
  </si>
  <si>
    <t>239</t>
    <phoneticPr fontId="6" type="noConversion"/>
  </si>
  <si>
    <t>239-1</t>
    <phoneticPr fontId="6" type="noConversion"/>
  </si>
  <si>
    <t>241</t>
    <phoneticPr fontId="6" type="noConversion"/>
  </si>
  <si>
    <t>241-2</t>
    <phoneticPr fontId="6" type="noConversion"/>
  </si>
  <si>
    <t>241-1</t>
    <phoneticPr fontId="6" type="noConversion"/>
  </si>
  <si>
    <t>241-4</t>
    <phoneticPr fontId="6" type="noConversion"/>
  </si>
  <si>
    <t>241-5</t>
    <phoneticPr fontId="6" type="noConversion"/>
  </si>
  <si>
    <t>242</t>
    <phoneticPr fontId="6" type="noConversion"/>
  </si>
  <si>
    <t>242-2</t>
    <phoneticPr fontId="6" type="noConversion"/>
  </si>
  <si>
    <t>282-6</t>
    <phoneticPr fontId="6" type="noConversion"/>
  </si>
  <si>
    <t>282-10</t>
    <phoneticPr fontId="6" type="noConversion"/>
  </si>
  <si>
    <t>282-1</t>
    <phoneticPr fontId="6" type="noConversion"/>
  </si>
  <si>
    <t>282-8</t>
    <phoneticPr fontId="6" type="noConversion"/>
  </si>
  <si>
    <t>282-4</t>
    <phoneticPr fontId="6" type="noConversion"/>
  </si>
  <si>
    <t>282-3</t>
    <phoneticPr fontId="6" type="noConversion"/>
  </si>
  <si>
    <t>282-9</t>
    <phoneticPr fontId="6" type="noConversion"/>
  </si>
  <si>
    <t>282-5</t>
    <phoneticPr fontId="6" type="noConversion"/>
  </si>
  <si>
    <t>283</t>
    <phoneticPr fontId="6" type="noConversion"/>
  </si>
  <si>
    <t>283-1</t>
    <phoneticPr fontId="6" type="noConversion"/>
  </si>
  <si>
    <t>282</t>
    <phoneticPr fontId="6" type="noConversion"/>
  </si>
  <si>
    <t>282-7</t>
    <phoneticPr fontId="6" type="noConversion"/>
  </si>
  <si>
    <t>303</t>
    <phoneticPr fontId="6" type="noConversion"/>
  </si>
  <si>
    <t>305</t>
    <phoneticPr fontId="6" type="noConversion"/>
  </si>
  <si>
    <t>306</t>
    <phoneticPr fontId="6" type="noConversion"/>
  </si>
  <si>
    <t>306-1</t>
    <phoneticPr fontId="6" type="noConversion"/>
  </si>
  <si>
    <t>313</t>
    <phoneticPr fontId="6" type="noConversion"/>
  </si>
  <si>
    <t>313-1</t>
    <phoneticPr fontId="6" type="noConversion"/>
  </si>
  <si>
    <t>312-1</t>
    <phoneticPr fontId="6" type="noConversion"/>
  </si>
  <si>
    <t>312-5</t>
    <phoneticPr fontId="6" type="noConversion"/>
  </si>
  <si>
    <t>312-4</t>
    <phoneticPr fontId="6" type="noConversion"/>
  </si>
  <si>
    <t>312-3</t>
    <phoneticPr fontId="6" type="noConversion"/>
  </si>
  <si>
    <t>312</t>
    <phoneticPr fontId="6" type="noConversion"/>
  </si>
  <si>
    <t>311-1</t>
    <phoneticPr fontId="6" type="noConversion"/>
  </si>
  <si>
    <t>311-8</t>
    <phoneticPr fontId="6" type="noConversion"/>
  </si>
  <si>
    <t>311-9</t>
    <phoneticPr fontId="6" type="noConversion"/>
  </si>
  <si>
    <t>309</t>
    <phoneticPr fontId="6" type="noConversion"/>
  </si>
  <si>
    <t>309-6</t>
    <phoneticPr fontId="6" type="noConversion"/>
  </si>
  <si>
    <t>308-2</t>
    <phoneticPr fontId="6" type="noConversion"/>
  </si>
  <si>
    <t>308-4</t>
    <phoneticPr fontId="6" type="noConversion"/>
  </si>
  <si>
    <t>310-2</t>
    <phoneticPr fontId="6" type="noConversion"/>
  </si>
  <si>
    <t>310-10</t>
    <phoneticPr fontId="6" type="noConversion"/>
  </si>
  <si>
    <t>308-3</t>
    <phoneticPr fontId="6" type="noConversion"/>
  </si>
  <si>
    <t>310-6</t>
    <phoneticPr fontId="6" type="noConversion"/>
  </si>
  <si>
    <t>310-14</t>
    <phoneticPr fontId="6" type="noConversion"/>
  </si>
  <si>
    <t>310-4</t>
    <phoneticPr fontId="6" type="noConversion"/>
  </si>
  <si>
    <t>310-16</t>
    <phoneticPr fontId="6" type="noConversion"/>
  </si>
  <si>
    <t>304-8</t>
    <phoneticPr fontId="6" type="noConversion"/>
  </si>
  <si>
    <t>304-10</t>
    <phoneticPr fontId="6" type="noConversion"/>
  </si>
  <si>
    <t>304-9</t>
    <phoneticPr fontId="6" type="noConversion"/>
  </si>
  <si>
    <t>304-11</t>
    <phoneticPr fontId="6" type="noConversion"/>
  </si>
  <si>
    <t>304-2</t>
    <phoneticPr fontId="6" type="noConversion"/>
  </si>
  <si>
    <t>304-7</t>
    <phoneticPr fontId="6" type="noConversion"/>
  </si>
  <si>
    <t>304-1</t>
    <phoneticPr fontId="6" type="noConversion"/>
  </si>
  <si>
    <t>304-6</t>
    <phoneticPr fontId="6" type="noConversion"/>
  </si>
  <si>
    <t>304-4</t>
    <phoneticPr fontId="6" type="noConversion"/>
  </si>
  <si>
    <t>304-3</t>
    <phoneticPr fontId="6" type="noConversion"/>
  </si>
  <si>
    <t>307-1</t>
    <phoneticPr fontId="6" type="noConversion"/>
  </si>
  <si>
    <t>307-4</t>
    <phoneticPr fontId="6" type="noConversion"/>
  </si>
  <si>
    <t>307</t>
    <phoneticPr fontId="6" type="noConversion"/>
  </si>
  <si>
    <t>307-2</t>
    <phoneticPr fontId="6" type="noConversion"/>
  </si>
  <si>
    <t>308-1</t>
    <phoneticPr fontId="6" type="noConversion"/>
  </si>
  <si>
    <t>307-3</t>
    <phoneticPr fontId="6" type="noConversion"/>
  </si>
  <si>
    <t>산10-1</t>
    <phoneticPr fontId="6" type="noConversion"/>
  </si>
  <si>
    <t>489</t>
    <phoneticPr fontId="6" type="noConversion"/>
  </si>
  <si>
    <t>310-1</t>
    <phoneticPr fontId="6" type="noConversion"/>
  </si>
  <si>
    <t>310-9</t>
    <phoneticPr fontId="6" type="noConversion"/>
  </si>
  <si>
    <t>310-7</t>
    <phoneticPr fontId="6" type="noConversion"/>
  </si>
  <si>
    <t>310-15</t>
    <phoneticPr fontId="6" type="noConversion"/>
  </si>
  <si>
    <t>합 계</t>
    <phoneticPr fontId="6" type="noConversion"/>
  </si>
  <si>
    <t>92-6</t>
    <phoneticPr fontId="6" type="noConversion"/>
  </si>
  <si>
    <t>103-5</t>
    <phoneticPr fontId="6" type="noConversion"/>
  </si>
  <si>
    <t>101-8</t>
    <phoneticPr fontId="6" type="noConversion"/>
  </si>
  <si>
    <t>101-4</t>
    <phoneticPr fontId="6" type="noConversion"/>
  </si>
  <si>
    <t>92-7</t>
    <phoneticPr fontId="6" type="noConversion"/>
  </si>
  <si>
    <t>101-2</t>
    <phoneticPr fontId="6" type="noConversion"/>
  </si>
  <si>
    <t>101-10</t>
    <phoneticPr fontId="6" type="noConversion"/>
  </si>
  <si>
    <t>101-6</t>
    <phoneticPr fontId="6" type="noConversion"/>
  </si>
  <si>
    <t>95-2</t>
    <phoneticPr fontId="6" type="noConversion"/>
  </si>
  <si>
    <t>461-13</t>
    <phoneticPr fontId="6" type="noConversion"/>
  </si>
  <si>
    <t>96</t>
    <phoneticPr fontId="6" type="noConversion"/>
  </si>
  <si>
    <t>463</t>
    <phoneticPr fontId="6" type="noConversion"/>
  </si>
  <si>
    <t>81-1</t>
    <phoneticPr fontId="6" type="noConversion"/>
  </si>
  <si>
    <t>81-2</t>
    <phoneticPr fontId="6" type="noConversion"/>
  </si>
  <si>
    <t>80-1</t>
    <phoneticPr fontId="6" type="noConversion"/>
  </si>
  <si>
    <t>232-3</t>
    <phoneticPr fontId="6" type="noConversion"/>
  </si>
  <si>
    <t>232-1</t>
    <phoneticPr fontId="6" type="noConversion"/>
  </si>
  <si>
    <t>252-1</t>
    <phoneticPr fontId="6" type="noConversion"/>
  </si>
  <si>
    <t>732-4</t>
    <phoneticPr fontId="6" type="noConversion"/>
  </si>
  <si>
    <t>732-5</t>
    <phoneticPr fontId="6" type="noConversion"/>
  </si>
  <si>
    <t>319</t>
    <phoneticPr fontId="6" type="noConversion"/>
  </si>
  <si>
    <t>242-6</t>
    <phoneticPr fontId="6" type="noConversion"/>
  </si>
  <si>
    <t>242-3</t>
    <phoneticPr fontId="6" type="noConversion"/>
  </si>
  <si>
    <t>242-4</t>
    <phoneticPr fontId="6" type="noConversion"/>
  </si>
  <si>
    <t>242-5</t>
    <phoneticPr fontId="6" type="noConversion"/>
  </si>
  <si>
    <t>228-8</t>
    <phoneticPr fontId="6" type="noConversion"/>
  </si>
  <si>
    <t>227</t>
    <phoneticPr fontId="6" type="noConversion"/>
  </si>
  <si>
    <t>322</t>
    <phoneticPr fontId="6" type="noConversion"/>
  </si>
  <si>
    <t>228-50</t>
    <phoneticPr fontId="6" type="noConversion"/>
  </si>
  <si>
    <t>228-49</t>
    <phoneticPr fontId="6" type="noConversion"/>
  </si>
  <si>
    <t>736</t>
    <phoneticPr fontId="6" type="noConversion"/>
  </si>
  <si>
    <t>228-24</t>
    <phoneticPr fontId="6" type="noConversion"/>
  </si>
  <si>
    <t>228-43</t>
    <phoneticPr fontId="6" type="noConversion"/>
  </si>
  <si>
    <t>228-41</t>
    <phoneticPr fontId="6" type="noConversion"/>
  </si>
  <si>
    <t>228-3</t>
    <phoneticPr fontId="6" type="noConversion"/>
  </si>
  <si>
    <t>228-4</t>
    <phoneticPr fontId="6" type="noConversion"/>
  </si>
  <si>
    <t>228-59</t>
    <phoneticPr fontId="6" type="noConversion"/>
  </si>
  <si>
    <t>228-17</t>
    <phoneticPr fontId="6" type="noConversion"/>
  </si>
  <si>
    <t>228-19</t>
    <phoneticPr fontId="6" type="noConversion"/>
  </si>
  <si>
    <t>228-18</t>
    <phoneticPr fontId="6" type="noConversion"/>
  </si>
  <si>
    <t>228-16</t>
    <phoneticPr fontId="6" type="noConversion"/>
  </si>
  <si>
    <t>228-55</t>
    <phoneticPr fontId="6" type="noConversion"/>
  </si>
  <si>
    <t>228-25</t>
    <phoneticPr fontId="6" type="noConversion"/>
  </si>
  <si>
    <t>228-20</t>
    <phoneticPr fontId="6" type="noConversion"/>
  </si>
  <si>
    <t>232-5</t>
    <phoneticPr fontId="6" type="noConversion"/>
  </si>
  <si>
    <t>232-4</t>
    <phoneticPr fontId="6" type="noConversion"/>
  </si>
  <si>
    <t>232-9</t>
    <phoneticPr fontId="6" type="noConversion"/>
  </si>
  <si>
    <t>320</t>
    <phoneticPr fontId="6" type="noConversion"/>
  </si>
  <si>
    <t>242-7</t>
    <phoneticPr fontId="6" type="noConversion"/>
  </si>
  <si>
    <t>323</t>
    <phoneticPr fontId="6" type="noConversion"/>
  </si>
  <si>
    <t>42-2</t>
    <phoneticPr fontId="6" type="noConversion"/>
  </si>
  <si>
    <t>장</t>
    <phoneticPr fontId="6" type="noConversion"/>
  </si>
  <si>
    <t>228-1</t>
    <phoneticPr fontId="6" type="noConversion"/>
  </si>
  <si>
    <t>74-2</t>
    <phoneticPr fontId="6" type="noConversion"/>
  </si>
  <si>
    <t>74-1</t>
    <phoneticPr fontId="6" type="noConversion"/>
  </si>
  <si>
    <t>73-5</t>
    <phoneticPr fontId="6" type="noConversion"/>
  </si>
  <si>
    <t>44-7</t>
    <phoneticPr fontId="6" type="noConversion"/>
  </si>
  <si>
    <t>73-9</t>
    <phoneticPr fontId="6" type="noConversion"/>
  </si>
  <si>
    <t>73-7</t>
    <phoneticPr fontId="6" type="noConversion"/>
  </si>
  <si>
    <t>73-6</t>
    <phoneticPr fontId="6" type="noConversion"/>
  </si>
  <si>
    <t>778</t>
    <phoneticPr fontId="6" type="noConversion"/>
  </si>
  <si>
    <t>49-1</t>
    <phoneticPr fontId="6" type="noConversion"/>
  </si>
  <si>
    <t>228-67</t>
    <phoneticPr fontId="6" type="noConversion"/>
  </si>
  <si>
    <t>228-71</t>
    <phoneticPr fontId="6" type="noConversion"/>
  </si>
  <si>
    <t>228-70</t>
    <phoneticPr fontId="6" type="noConversion"/>
  </si>
  <si>
    <t>228-15</t>
    <phoneticPr fontId="6" type="noConversion"/>
  </si>
  <si>
    <t>228-69</t>
    <phoneticPr fontId="6" type="noConversion"/>
  </si>
  <si>
    <t>228-54</t>
    <phoneticPr fontId="6" type="noConversion"/>
  </si>
  <si>
    <t>228-63</t>
    <phoneticPr fontId="6" type="noConversion"/>
  </si>
  <si>
    <t>228-64</t>
    <phoneticPr fontId="6" type="noConversion"/>
  </si>
  <si>
    <t>228-65</t>
    <phoneticPr fontId="6" type="noConversion"/>
  </si>
  <si>
    <t>228-62</t>
    <phoneticPr fontId="6" type="noConversion"/>
  </si>
  <si>
    <t>228-68</t>
    <phoneticPr fontId="6" type="noConversion"/>
  </si>
  <si>
    <t>228-13</t>
    <phoneticPr fontId="6" type="noConversion"/>
  </si>
  <si>
    <t>228-12</t>
    <phoneticPr fontId="6" type="noConversion"/>
  </si>
  <si>
    <t>228-11</t>
    <phoneticPr fontId="6" type="noConversion"/>
  </si>
  <si>
    <t>78-1</t>
    <phoneticPr fontId="6" type="noConversion"/>
  </si>
  <si>
    <t>79-2</t>
    <phoneticPr fontId="6" type="noConversion"/>
  </si>
  <si>
    <t>80-2</t>
    <phoneticPr fontId="6" type="noConversion"/>
  </si>
  <si>
    <t>81-6</t>
    <phoneticPr fontId="6" type="noConversion"/>
  </si>
  <si>
    <t>81-7</t>
    <phoneticPr fontId="6" type="noConversion"/>
  </si>
  <si>
    <t>81-8</t>
    <phoneticPr fontId="6" type="noConversion"/>
  </si>
  <si>
    <t>81-17</t>
    <phoneticPr fontId="6" type="noConversion"/>
  </si>
  <si>
    <t>81-16</t>
    <phoneticPr fontId="6" type="noConversion"/>
  </si>
  <si>
    <t>81-30</t>
    <phoneticPr fontId="6" type="noConversion"/>
  </si>
  <si>
    <t>산22-4</t>
    <phoneticPr fontId="6" type="noConversion"/>
  </si>
  <si>
    <t>산22-5</t>
    <phoneticPr fontId="6" type="noConversion"/>
  </si>
  <si>
    <t>529-7</t>
    <phoneticPr fontId="6" type="noConversion"/>
  </si>
  <si>
    <t>553-27</t>
    <phoneticPr fontId="6" type="noConversion"/>
  </si>
  <si>
    <t>553-37</t>
    <phoneticPr fontId="6" type="noConversion"/>
  </si>
  <si>
    <t>529-1</t>
    <phoneticPr fontId="6" type="noConversion"/>
  </si>
  <si>
    <t>668-3</t>
    <phoneticPr fontId="6" type="noConversion"/>
  </si>
  <si>
    <t>147-1</t>
    <phoneticPr fontId="6" type="noConversion"/>
  </si>
  <si>
    <t>720</t>
    <phoneticPr fontId="6" type="noConversion"/>
  </si>
  <si>
    <t>149</t>
    <phoneticPr fontId="6" type="noConversion"/>
  </si>
  <si>
    <t>81-3</t>
    <phoneticPr fontId="6" type="noConversion"/>
  </si>
  <si>
    <t>81-4</t>
    <phoneticPr fontId="6" type="noConversion"/>
  </si>
  <si>
    <t>553-34</t>
    <phoneticPr fontId="6" type="noConversion"/>
  </si>
  <si>
    <t>530-5</t>
    <phoneticPr fontId="6" type="noConversion"/>
  </si>
  <si>
    <t>530-4</t>
    <phoneticPr fontId="6" type="noConversion"/>
  </si>
  <si>
    <t>553-33</t>
    <phoneticPr fontId="6" type="noConversion"/>
  </si>
  <si>
    <t>530-3</t>
    <phoneticPr fontId="6" type="noConversion"/>
  </si>
  <si>
    <t>530-2</t>
    <phoneticPr fontId="6" type="noConversion"/>
  </si>
  <si>
    <t>774</t>
    <phoneticPr fontId="6" type="noConversion"/>
  </si>
  <si>
    <t>773</t>
    <phoneticPr fontId="6" type="noConversion"/>
  </si>
  <si>
    <t>519-34</t>
    <phoneticPr fontId="6" type="noConversion"/>
  </si>
  <si>
    <t>520-7</t>
    <phoneticPr fontId="6" type="noConversion"/>
  </si>
  <si>
    <t>516-10</t>
    <phoneticPr fontId="6" type="noConversion"/>
  </si>
  <si>
    <t>516-9</t>
    <phoneticPr fontId="6" type="noConversion"/>
  </si>
  <si>
    <t>516-8</t>
    <phoneticPr fontId="6" type="noConversion"/>
  </si>
  <si>
    <t>516-7</t>
    <phoneticPr fontId="6" type="noConversion"/>
  </si>
  <si>
    <t>516-6</t>
    <phoneticPr fontId="6" type="noConversion"/>
  </si>
  <si>
    <t>516-5</t>
    <phoneticPr fontId="6" type="noConversion"/>
  </si>
  <si>
    <t>516-4</t>
    <phoneticPr fontId="6" type="noConversion"/>
  </si>
  <si>
    <t>516-3</t>
    <phoneticPr fontId="6" type="noConversion"/>
  </si>
  <si>
    <t>516-2</t>
    <phoneticPr fontId="6" type="noConversion"/>
  </si>
  <si>
    <t>516-1</t>
    <phoneticPr fontId="6" type="noConversion"/>
  </si>
  <si>
    <t>775-2</t>
    <phoneticPr fontId="6" type="noConversion"/>
  </si>
  <si>
    <t>517-5</t>
    <phoneticPr fontId="6" type="noConversion"/>
  </si>
  <si>
    <t>517-4</t>
    <phoneticPr fontId="6" type="noConversion"/>
  </si>
  <si>
    <t>519-37</t>
    <phoneticPr fontId="6" type="noConversion"/>
  </si>
  <si>
    <t>517-3</t>
    <phoneticPr fontId="6" type="noConversion"/>
  </si>
  <si>
    <t>517-2</t>
    <phoneticPr fontId="6" type="noConversion"/>
  </si>
  <si>
    <t>517-1</t>
    <phoneticPr fontId="6" type="noConversion"/>
  </si>
  <si>
    <t>812-5</t>
    <phoneticPr fontId="6" type="noConversion"/>
  </si>
  <si>
    <t>739</t>
    <phoneticPr fontId="6" type="noConversion"/>
  </si>
  <si>
    <t>750</t>
    <phoneticPr fontId="6" type="noConversion"/>
  </si>
  <si>
    <t>749</t>
    <phoneticPr fontId="6" type="noConversion"/>
  </si>
  <si>
    <t>741-4</t>
    <phoneticPr fontId="6" type="noConversion"/>
  </si>
  <si>
    <t>619-1</t>
    <phoneticPr fontId="6" type="noConversion"/>
  </si>
  <si>
    <t>719-1</t>
    <phoneticPr fontId="6" type="noConversion"/>
  </si>
  <si>
    <t>828</t>
    <phoneticPr fontId="6" type="noConversion"/>
  </si>
  <si>
    <t>719</t>
    <phoneticPr fontId="6" type="noConversion"/>
  </si>
  <si>
    <t>721-12</t>
    <phoneticPr fontId="6" type="noConversion"/>
  </si>
  <si>
    <t>721-11</t>
    <phoneticPr fontId="6" type="noConversion"/>
  </si>
  <si>
    <t>721-3</t>
    <phoneticPr fontId="6" type="noConversion"/>
  </si>
  <si>
    <t>751</t>
    <phoneticPr fontId="6" type="noConversion"/>
  </si>
  <si>
    <t>752</t>
    <phoneticPr fontId="6" type="noConversion"/>
  </si>
  <si>
    <t>749-1</t>
    <phoneticPr fontId="6" type="noConversion"/>
  </si>
  <si>
    <t>748</t>
    <phoneticPr fontId="6" type="noConversion"/>
  </si>
  <si>
    <t>당진시 송산면 도문리</t>
    <phoneticPr fontId="24" type="noConversion"/>
  </si>
  <si>
    <t>당초 소유자</t>
    <phoneticPr fontId="6" type="noConversion"/>
  </si>
  <si>
    <t>당초 소유자</t>
    <phoneticPr fontId="6" type="noConversion"/>
  </si>
  <si>
    <t>변경 소유자</t>
    <phoneticPr fontId="6" type="noConversion"/>
  </si>
  <si>
    <t>당초</t>
    <phoneticPr fontId="6" type="noConversion"/>
  </si>
  <si>
    <t>당초</t>
    <phoneticPr fontId="6" type="noConversion"/>
  </si>
  <si>
    <t>변경</t>
    <phoneticPr fontId="6" type="noConversion"/>
  </si>
  <si>
    <t>변경</t>
    <phoneticPr fontId="6" type="noConversion"/>
  </si>
  <si>
    <t>당진시 송악읍 옛터골길102-1</t>
    <phoneticPr fontId="6" type="noConversion"/>
  </si>
  <si>
    <t>당진군 송악읍 영금절골길120-31</t>
    <phoneticPr fontId="6" type="noConversion"/>
  </si>
  <si>
    <t>경기도 안산시 상록구 안산천동로1길 29, 213동 303호(월피동,현대아파트)</t>
    <phoneticPr fontId="6" type="noConversion"/>
  </si>
  <si>
    <t>용인시 처인구 금학로349번길33-4, 나/108(김량장동,공신연립)</t>
    <phoneticPr fontId="6" type="noConversion"/>
  </si>
  <si>
    <t>당진시 무수동7길 124,103동801호(읍내동, 하늘채아파트)</t>
    <phoneticPr fontId="6" type="noConversion"/>
  </si>
  <si>
    <t>당진시 송악읍 옛터골길102-7</t>
    <phoneticPr fontId="6" type="noConversion"/>
  </si>
  <si>
    <t>우강면 부장리 229</t>
    <phoneticPr fontId="6" type="noConversion"/>
  </si>
  <si>
    <t>당진시 송악읍 부동길 189-17</t>
    <phoneticPr fontId="6" type="noConversion"/>
  </si>
  <si>
    <t>당진시 송악읍 광양사길198</t>
    <phoneticPr fontId="6" type="noConversion"/>
  </si>
  <si>
    <t>제척</t>
    <phoneticPr fontId="6" type="noConversion"/>
  </si>
  <si>
    <t>당진군 송악면 도고머리길46-56</t>
    <phoneticPr fontId="6" type="noConversion"/>
  </si>
  <si>
    <t>종</t>
    <phoneticPr fontId="6" type="noConversion"/>
  </si>
  <si>
    <t>경북포항시남구연일읍유강길9번길37-11,401동1002호(강변유강코아루4단지 노블)</t>
    <phoneticPr fontId="6" type="noConversion"/>
  </si>
  <si>
    <t>461-4</t>
    <phoneticPr fontId="6" type="noConversion"/>
  </si>
  <si>
    <t>인천광역시 서구 솔빛로 93, 502동802호(경서동, 청라skview)</t>
    <phoneticPr fontId="6" type="noConversion"/>
  </si>
  <si>
    <t>경기도 고양시 일산동구 
마두동 745</t>
    <phoneticPr fontId="6" type="noConversion"/>
  </si>
  <si>
    <t>1884 북쪽 알바라도 스트릿 
로스엔젤레스 캘리포니아 미국</t>
    <phoneticPr fontId="6" type="noConversion"/>
  </si>
  <si>
    <t>452-3</t>
    <phoneticPr fontId="6" type="noConversion"/>
  </si>
  <si>
    <t>452-5</t>
    <phoneticPr fontId="6" type="noConversion"/>
  </si>
  <si>
    <t>452-7</t>
    <phoneticPr fontId="6" type="noConversion"/>
  </si>
  <si>
    <t>452-8</t>
    <phoneticPr fontId="6" type="noConversion"/>
  </si>
  <si>
    <t>인천시 남구 주안동 1014 
협신상가 에이동 6호</t>
    <phoneticPr fontId="6" type="noConversion"/>
  </si>
  <si>
    <t>서욽특별시 은평구 갈현동
423-3 대신홈타운 301</t>
    <phoneticPr fontId="6" type="noConversion"/>
  </si>
  <si>
    <t>충청남도 당진군 당진읍
대덕리 501</t>
    <phoneticPr fontId="6" type="noConversion"/>
  </si>
  <si>
    <t>충청남도 당진군 송산면
 부곡리 160</t>
    <phoneticPr fontId="6" type="noConversion"/>
  </si>
  <si>
    <t>당진군 송악면 가학리 524</t>
    <phoneticPr fontId="6" type="noConversion"/>
  </si>
  <si>
    <t>충청남도 당진군 송악읍
 가교리 14</t>
    <phoneticPr fontId="6" type="noConversion"/>
  </si>
  <si>
    <t>당진시</t>
    <phoneticPr fontId="6" type="noConversion"/>
  </si>
  <si>
    <t>당진시 송산면 연방축길119-5</t>
    <phoneticPr fontId="6" type="noConversion"/>
  </si>
  <si>
    <t>당진시 송산면 삼월리 126-1</t>
    <phoneticPr fontId="6" type="noConversion"/>
  </si>
  <si>
    <t>153-3</t>
    <phoneticPr fontId="6" type="noConversion"/>
  </si>
  <si>
    <t>당진시 읍내동 306-8한국농어촌공사당진지사</t>
    <phoneticPr fontId="6" type="noConversion"/>
  </si>
  <si>
    <t>801-10</t>
    <phoneticPr fontId="6" type="noConversion"/>
  </si>
  <si>
    <t>국토교통부</t>
    <phoneticPr fontId="6" type="noConversion"/>
  </si>
  <si>
    <t>839-1</t>
    <phoneticPr fontId="6" type="noConversion"/>
  </si>
  <si>
    <t>391-9</t>
    <phoneticPr fontId="6" type="noConversion"/>
  </si>
  <si>
    <t>당진시읍내동306-8한국농어촌공사당진지사</t>
    <phoneticPr fontId="6" type="noConversion"/>
  </si>
  <si>
    <t>153-1</t>
    <phoneticPr fontId="6" type="noConversion"/>
  </si>
  <si>
    <t>153-8</t>
    <phoneticPr fontId="6" type="noConversion"/>
  </si>
  <si>
    <t>당진군 순성면 나산리 539</t>
    <phoneticPr fontId="6" type="noConversion"/>
  </si>
  <si>
    <t>161-1</t>
    <phoneticPr fontId="6" type="noConversion"/>
  </si>
  <si>
    <t>161-3</t>
    <phoneticPr fontId="6" type="noConversion"/>
  </si>
  <si>
    <t>592</t>
    <phoneticPr fontId="6" type="noConversion"/>
  </si>
  <si>
    <t>592-1</t>
    <phoneticPr fontId="6" type="noConversion"/>
  </si>
  <si>
    <t>88-5</t>
    <phoneticPr fontId="6" type="noConversion"/>
  </si>
  <si>
    <t>821-1</t>
    <phoneticPr fontId="6" type="noConversion"/>
  </si>
  <si>
    <t>연세대학교</t>
    <phoneticPr fontId="6" type="noConversion"/>
  </si>
  <si>
    <t>791-9</t>
    <phoneticPr fontId="6" type="noConversion"/>
  </si>
  <si>
    <t>87-5합병</t>
    <phoneticPr fontId="6" type="noConversion"/>
  </si>
  <si>
    <t>건설부</t>
    <phoneticPr fontId="6" type="noConversion"/>
  </si>
  <si>
    <t>87-5 합병</t>
    <phoneticPr fontId="6" type="noConversion"/>
  </si>
  <si>
    <t>88-34합병</t>
    <phoneticPr fontId="6" type="noConversion"/>
  </si>
  <si>
    <t>866-38</t>
    <phoneticPr fontId="6" type="noConversion"/>
  </si>
  <si>
    <t xml:space="preserve"> </t>
    <phoneticPr fontId="6" type="noConversion"/>
  </si>
  <si>
    <t>827-18</t>
    <phoneticPr fontId="6" type="noConversion"/>
  </si>
  <si>
    <t>817-1</t>
    <phoneticPr fontId="6" type="noConversion"/>
  </si>
  <si>
    <t>산88-5</t>
    <phoneticPr fontId="6" type="noConversion"/>
  </si>
  <si>
    <t>838-2</t>
    <phoneticPr fontId="6" type="noConversion"/>
  </si>
  <si>
    <t>제주특별자치도 서귀포시 
성산읍 수산리 2790-17</t>
    <phoneticPr fontId="6" type="noConversion"/>
  </si>
  <si>
    <t>838-12</t>
    <phoneticPr fontId="6" type="noConversion"/>
  </si>
  <si>
    <t>당진군 송악면 반촌리 838</t>
    <phoneticPr fontId="6" type="noConversion"/>
  </si>
  <si>
    <t>866</t>
    <phoneticPr fontId="6" type="noConversion"/>
  </si>
  <si>
    <t>841-1</t>
    <phoneticPr fontId="6" type="noConversion"/>
  </si>
  <si>
    <t>839</t>
    <phoneticPr fontId="6" type="noConversion"/>
  </si>
  <si>
    <t>866-33</t>
    <phoneticPr fontId="6" type="noConversion"/>
  </si>
  <si>
    <t>789-11</t>
    <phoneticPr fontId="6" type="noConversion"/>
  </si>
  <si>
    <t>866-8</t>
    <phoneticPr fontId="6" type="noConversion"/>
  </si>
  <si>
    <t>866-42</t>
    <phoneticPr fontId="6" type="noConversion"/>
  </si>
  <si>
    <t>866-37</t>
    <phoneticPr fontId="6" type="noConversion"/>
  </si>
  <si>
    <t>478-24</t>
    <phoneticPr fontId="6" type="noConversion"/>
  </si>
  <si>
    <t>478-19</t>
    <phoneticPr fontId="6" type="noConversion"/>
  </si>
  <si>
    <t>478-22</t>
    <phoneticPr fontId="6" type="noConversion"/>
  </si>
  <si>
    <t>478-25</t>
    <phoneticPr fontId="6" type="noConversion"/>
  </si>
  <si>
    <t>478-27</t>
    <phoneticPr fontId="6" type="noConversion"/>
  </si>
  <si>
    <t>478-29</t>
    <phoneticPr fontId="6" type="noConversion"/>
  </si>
  <si>
    <t>480-2</t>
    <phoneticPr fontId="6" type="noConversion"/>
  </si>
  <si>
    <t>478-31</t>
    <phoneticPr fontId="6" type="noConversion"/>
  </si>
  <si>
    <t>478-21</t>
    <phoneticPr fontId="6" type="noConversion"/>
  </si>
  <si>
    <t>478-33</t>
    <phoneticPr fontId="6" type="noConversion"/>
  </si>
  <si>
    <t>478-35</t>
    <phoneticPr fontId="6" type="noConversion"/>
  </si>
  <si>
    <t>259-8</t>
    <phoneticPr fontId="6" type="noConversion"/>
  </si>
  <si>
    <t>268-3</t>
    <phoneticPr fontId="6" type="noConversion"/>
  </si>
  <si>
    <t>269-6</t>
    <phoneticPr fontId="6" type="noConversion"/>
  </si>
  <si>
    <t>743</t>
    <phoneticPr fontId="6" type="noConversion"/>
  </si>
  <si>
    <t>743-5</t>
    <phoneticPr fontId="6" type="noConversion"/>
  </si>
  <si>
    <t>744</t>
    <phoneticPr fontId="6" type="noConversion"/>
  </si>
  <si>
    <t>746-5</t>
    <phoneticPr fontId="6" type="noConversion"/>
  </si>
  <si>
    <t>746-32</t>
    <phoneticPr fontId="6" type="noConversion"/>
  </si>
  <si>
    <t>745</t>
    <phoneticPr fontId="6" type="noConversion"/>
  </si>
  <si>
    <t>746-4</t>
    <phoneticPr fontId="6" type="noConversion"/>
  </si>
  <si>
    <t>746-31</t>
    <phoneticPr fontId="6" type="noConversion"/>
  </si>
  <si>
    <t>746-1</t>
    <phoneticPr fontId="6" type="noConversion"/>
  </si>
  <si>
    <t>746-30</t>
    <phoneticPr fontId="6" type="noConversion"/>
  </si>
  <si>
    <t>746-8</t>
    <phoneticPr fontId="6" type="noConversion"/>
  </si>
  <si>
    <t>746-27</t>
    <phoneticPr fontId="6" type="noConversion"/>
  </si>
  <si>
    <t>587-6</t>
    <phoneticPr fontId="6" type="noConversion"/>
  </si>
  <si>
    <t>716-4</t>
    <phoneticPr fontId="6" type="noConversion"/>
  </si>
  <si>
    <t>716</t>
    <phoneticPr fontId="6" type="noConversion"/>
  </si>
  <si>
    <t>721-25</t>
    <phoneticPr fontId="6" type="noConversion"/>
  </si>
  <si>
    <t>812-13</t>
    <phoneticPr fontId="6" type="noConversion"/>
  </si>
  <si>
    <t>716-5</t>
    <phoneticPr fontId="6" type="noConversion"/>
  </si>
  <si>
    <t>분할</t>
    <phoneticPr fontId="6" type="noConversion"/>
  </si>
  <si>
    <t>산49-1</t>
    <phoneticPr fontId="6" type="noConversion"/>
  </si>
  <si>
    <t>임</t>
    <phoneticPr fontId="6" type="noConversion"/>
  </si>
  <si>
    <t>안기재</t>
    <phoneticPr fontId="6" type="noConversion"/>
  </si>
  <si>
    <t>광명시 하안동 681 
고층주공아파트 207-602</t>
    <phoneticPr fontId="24" type="noConversion"/>
  </si>
  <si>
    <t>378-6</t>
    <phoneticPr fontId="6" type="noConversion"/>
  </si>
  <si>
    <t>375</t>
    <phoneticPr fontId="6" type="noConversion"/>
  </si>
  <si>
    <t>서울특별시 서대문구 북가좌동
336-13</t>
    <phoneticPr fontId="6" type="noConversion"/>
  </si>
  <si>
    <t>서울특별시 중구 을지로2가
50</t>
    <phoneticPr fontId="6" type="noConversion"/>
  </si>
  <si>
    <t>근저당권</t>
    <phoneticPr fontId="6" type="noConversion"/>
  </si>
  <si>
    <t xml:space="preserve"> 답</t>
    <phoneticPr fontId="6" type="noConversion"/>
  </si>
  <si>
    <t xml:space="preserve"> 도</t>
    <phoneticPr fontId="6" type="noConversion"/>
  </si>
  <si>
    <t xml:space="preserve"> 대</t>
    <phoneticPr fontId="6" type="noConversion"/>
  </si>
  <si>
    <t xml:space="preserve"> 수</t>
    <phoneticPr fontId="6" type="noConversion"/>
  </si>
  <si>
    <t xml:space="preserve"> 전</t>
    <phoneticPr fontId="6" type="noConversion"/>
  </si>
  <si>
    <t xml:space="preserve"> 임</t>
    <phoneticPr fontId="6" type="noConversion"/>
  </si>
  <si>
    <t xml:space="preserve"> 구</t>
    <phoneticPr fontId="6" type="noConversion"/>
  </si>
  <si>
    <t>661-1</t>
    <phoneticPr fontId="6" type="noConversion"/>
  </si>
  <si>
    <t>송악읍 기지시리 324-2</t>
    <phoneticPr fontId="6" type="noConversion"/>
  </si>
  <si>
    <t>누락</t>
    <phoneticPr fontId="6" type="noConversion"/>
  </si>
  <si>
    <t>282-2</t>
    <phoneticPr fontId="6" type="noConversion"/>
  </si>
  <si>
    <t>180-1</t>
    <phoneticPr fontId="6" type="noConversion"/>
  </si>
  <si>
    <t>180-3</t>
    <phoneticPr fontId="6" type="noConversion"/>
  </si>
  <si>
    <t>180</t>
    <phoneticPr fontId="6" type="noConversion"/>
  </si>
  <si>
    <t>180-2</t>
    <phoneticPr fontId="6" type="noConversion"/>
  </si>
  <si>
    <t>141-4</t>
    <phoneticPr fontId="6" type="noConversion"/>
  </si>
  <si>
    <t>140-3</t>
    <phoneticPr fontId="6" type="noConversion"/>
  </si>
  <si>
    <t>140-1</t>
    <phoneticPr fontId="6" type="noConversion"/>
  </si>
  <si>
    <t>당진군 송산면 상거리 205</t>
    <phoneticPr fontId="6" type="noConversion"/>
  </si>
  <si>
    <t>공유자</t>
    <phoneticPr fontId="6" type="noConversion"/>
  </si>
  <si>
    <t>140-2</t>
    <phoneticPr fontId="6" type="noConversion"/>
  </si>
  <si>
    <t>141-7</t>
    <phoneticPr fontId="6" type="noConversion"/>
  </si>
  <si>
    <t>141-2</t>
    <phoneticPr fontId="6" type="noConversion"/>
  </si>
  <si>
    <t>141-8</t>
    <phoneticPr fontId="6" type="noConversion"/>
  </si>
  <si>
    <t>141-3</t>
    <phoneticPr fontId="6" type="noConversion"/>
  </si>
  <si>
    <t>141-1</t>
    <phoneticPr fontId="6" type="noConversion"/>
  </si>
  <si>
    <t>141-9</t>
    <phoneticPr fontId="6" type="noConversion"/>
  </si>
  <si>
    <t>141-5</t>
    <phoneticPr fontId="6" type="noConversion"/>
  </si>
  <si>
    <t>141-10</t>
    <phoneticPr fontId="6" type="noConversion"/>
  </si>
  <si>
    <t>141-6</t>
    <phoneticPr fontId="6" type="noConversion"/>
  </si>
  <si>
    <t>234-3</t>
    <phoneticPr fontId="6" type="noConversion"/>
  </si>
  <si>
    <t>234-6</t>
    <phoneticPr fontId="6" type="noConversion"/>
  </si>
  <si>
    <t>234-2</t>
    <phoneticPr fontId="6" type="noConversion"/>
  </si>
  <si>
    <t>243-7</t>
    <phoneticPr fontId="6" type="noConversion"/>
  </si>
  <si>
    <t>243-8</t>
    <phoneticPr fontId="6" type="noConversion"/>
  </si>
  <si>
    <t>245-4</t>
    <phoneticPr fontId="6" type="noConversion"/>
  </si>
  <si>
    <t>245-7</t>
    <phoneticPr fontId="6" type="noConversion"/>
  </si>
  <si>
    <t>143</t>
    <phoneticPr fontId="6" type="noConversion"/>
  </si>
  <si>
    <t>143-2</t>
    <phoneticPr fontId="6" type="noConversion"/>
  </si>
  <si>
    <t>146-5</t>
    <phoneticPr fontId="6" type="noConversion"/>
  </si>
  <si>
    <t>146-6</t>
    <phoneticPr fontId="6" type="noConversion"/>
  </si>
  <si>
    <t>142</t>
    <phoneticPr fontId="6" type="noConversion"/>
  </si>
  <si>
    <t>142-2</t>
    <phoneticPr fontId="6" type="noConversion"/>
  </si>
  <si>
    <t>480-4</t>
    <phoneticPr fontId="6" type="noConversion"/>
  </si>
  <si>
    <t>106-7</t>
    <phoneticPr fontId="6" type="noConversion"/>
  </si>
  <si>
    <t>106-10</t>
    <phoneticPr fontId="6" type="noConversion"/>
  </si>
  <si>
    <t>106-9</t>
    <phoneticPr fontId="6" type="noConversion"/>
  </si>
  <si>
    <t>106-4</t>
    <phoneticPr fontId="6" type="noConversion"/>
  </si>
  <si>
    <t>105</t>
    <phoneticPr fontId="6" type="noConversion"/>
  </si>
  <si>
    <t>319-2</t>
    <phoneticPr fontId="6" type="noConversion"/>
  </si>
  <si>
    <t>668-8</t>
    <phoneticPr fontId="6" type="noConversion"/>
  </si>
  <si>
    <t>747</t>
    <phoneticPr fontId="6" type="noConversion"/>
  </si>
  <si>
    <t>811</t>
    <phoneticPr fontId="6" type="noConversion"/>
  </si>
  <si>
    <t>746-3</t>
    <phoneticPr fontId="6" type="noConversion"/>
  </si>
  <si>
    <t>379-1</t>
    <phoneticPr fontId="6" type="noConversion"/>
  </si>
  <si>
    <t>746</t>
    <phoneticPr fontId="6" type="noConversion"/>
  </si>
  <si>
    <t>746-21</t>
    <phoneticPr fontId="6" type="noConversion"/>
  </si>
  <si>
    <t>746-26</t>
    <phoneticPr fontId="6" type="noConversion"/>
  </si>
  <si>
    <t>396-10</t>
    <phoneticPr fontId="6" type="noConversion"/>
  </si>
  <si>
    <t>721-15</t>
    <phoneticPr fontId="6" type="noConversion"/>
  </si>
  <si>
    <t>721-9</t>
    <phoneticPr fontId="6" type="noConversion"/>
  </si>
  <si>
    <t>721-8</t>
    <phoneticPr fontId="6" type="noConversion"/>
  </si>
  <si>
    <t>586-1</t>
    <phoneticPr fontId="6" type="noConversion"/>
  </si>
  <si>
    <t>587-5</t>
    <phoneticPr fontId="6" type="noConversion"/>
  </si>
  <si>
    <t>716-11</t>
    <phoneticPr fontId="6" type="noConversion"/>
  </si>
  <si>
    <t>721-7</t>
    <phoneticPr fontId="6" type="noConversion"/>
  </si>
  <si>
    <t>서울특별시 강남구 역삼동 823</t>
    <phoneticPr fontId="6" type="noConversion"/>
  </si>
  <si>
    <t>721-14</t>
    <phoneticPr fontId="6" type="noConversion"/>
  </si>
  <si>
    <t>소재지</t>
    <phoneticPr fontId="24" type="noConversion"/>
  </si>
  <si>
    <t>당진시 송악읍 가학리</t>
    <phoneticPr fontId="6" type="noConversion"/>
  </si>
  <si>
    <t>660-1</t>
    <phoneticPr fontId="6" type="noConversion"/>
  </si>
  <si>
    <t>660-3</t>
    <phoneticPr fontId="6" type="noConversion"/>
  </si>
  <si>
    <t>안산시 상록구 본오동 
872-20 우성아파트 1-1009</t>
    <phoneticPr fontId="6" type="noConversion"/>
  </si>
  <si>
    <t>서울 동대문구 묵동 154-16</t>
    <phoneticPr fontId="6" type="noConversion"/>
  </si>
  <si>
    <t>588-1</t>
    <phoneticPr fontId="6" type="noConversion"/>
  </si>
  <si>
    <t>161-4</t>
    <phoneticPr fontId="6" type="noConversion"/>
  </si>
  <si>
    <t>161-6</t>
    <phoneticPr fontId="6" type="noConversion"/>
  </si>
  <si>
    <t>80</t>
    <phoneticPr fontId="6" type="noConversion"/>
  </si>
  <si>
    <t>82</t>
    <phoneticPr fontId="6" type="noConversion"/>
  </si>
  <si>
    <t>당진시 송산면 상거리</t>
    <phoneticPr fontId="6" type="noConversion"/>
  </si>
  <si>
    <t>수원시 팔달구 매탄동 1162
임광아파트 7-1506</t>
    <phoneticPr fontId="6" type="noConversion"/>
  </si>
  <si>
    <t>서울 동대문구 제기동 900</t>
    <phoneticPr fontId="6" type="noConversion"/>
  </si>
  <si>
    <t>당진군 송산면 부곡리 산23</t>
    <phoneticPr fontId="6" type="noConversion"/>
  </si>
  <si>
    <t>서울 송파구 오금동 18-15</t>
    <phoneticPr fontId="6" type="noConversion"/>
  </si>
  <si>
    <t>당진군 합덕읍 운산리 1-33</t>
    <phoneticPr fontId="6" type="noConversion"/>
  </si>
  <si>
    <t>당진시 송산면 상거리 168</t>
    <phoneticPr fontId="6" type="noConversion"/>
  </si>
  <si>
    <t>당진군 송산면 유곡리 15</t>
    <phoneticPr fontId="6" type="noConversion"/>
  </si>
  <si>
    <t>서울 송파구 가락동 165
가락한라아파트 8-409</t>
    <phoneticPr fontId="6" type="noConversion"/>
  </si>
  <si>
    <t>당진군 송산면 상거길 16</t>
    <phoneticPr fontId="6" type="noConversion"/>
  </si>
  <si>
    <t>당진시 읍내동306-8한국농어촌고사당진지사</t>
    <phoneticPr fontId="6" type="noConversion"/>
  </si>
  <si>
    <t>당진군 송산면 도문리 153</t>
    <phoneticPr fontId="6" type="noConversion"/>
  </si>
  <si>
    <t>인천 계양구 작전동 388-2
동보아파트 101-1301</t>
    <phoneticPr fontId="6" type="noConversion"/>
  </si>
  <si>
    <t>당진군 송산면 상거리 241</t>
    <phoneticPr fontId="6" type="noConversion"/>
  </si>
  <si>
    <t>수원시 권선구 세류동 224</t>
    <phoneticPr fontId="6" type="noConversion"/>
  </si>
  <si>
    <t>수원시 팔달구 인계동 985-26</t>
    <phoneticPr fontId="6" type="noConversion"/>
  </si>
  <si>
    <t>충청남도 당진군 당진읍 
읍내리 495-4 -501</t>
    <phoneticPr fontId="6" type="noConversion"/>
  </si>
  <si>
    <t>당진군 송산면 삼월리 208-4</t>
    <phoneticPr fontId="6" type="noConversion"/>
  </si>
  <si>
    <t>수원시 영통구 매탄동 1280 
주공그린빌 402-1401</t>
    <phoneticPr fontId="6" type="noConversion"/>
  </si>
  <si>
    <t>당진군 송산면 상거리 204</t>
    <phoneticPr fontId="6" type="noConversion"/>
  </si>
  <si>
    <t>당진군 송산면 상거리 192</t>
    <phoneticPr fontId="6" type="noConversion"/>
  </si>
  <si>
    <t>83</t>
    <phoneticPr fontId="6" type="noConversion"/>
  </si>
  <si>
    <t>84</t>
    <phoneticPr fontId="6" type="noConversion"/>
  </si>
  <si>
    <t>당진군 송산면 상거리 327</t>
    <phoneticPr fontId="6" type="noConversion"/>
  </si>
  <si>
    <t>89</t>
    <phoneticPr fontId="6" type="noConversion"/>
  </si>
  <si>
    <t>90</t>
    <phoneticPr fontId="6" type="noConversion"/>
  </si>
  <si>
    <t>93</t>
    <phoneticPr fontId="6" type="noConversion"/>
  </si>
  <si>
    <t>당진시 원당로 51-10,101동1202)원당동,한라비발디아파트</t>
    <phoneticPr fontId="6" type="noConversion"/>
  </si>
  <si>
    <t>94</t>
    <phoneticPr fontId="6" type="noConversion"/>
  </si>
  <si>
    <t>당진시 무수동옛길 99, 104동902호 (읍내동 남산공원 휴먼빌아파트)</t>
    <phoneticPr fontId="6" type="noConversion"/>
  </si>
  <si>
    <t>당진군 송산면 상거리 194</t>
    <phoneticPr fontId="6" type="noConversion"/>
  </si>
  <si>
    <t>당진시 송산면 연방축길 264</t>
    <phoneticPr fontId="6" type="noConversion"/>
  </si>
  <si>
    <t>당진시 송산면 연방축길 317-27</t>
    <phoneticPr fontId="6" type="noConversion"/>
  </si>
  <si>
    <t>서울 강서구 공항동 51-74</t>
    <phoneticPr fontId="6" type="noConversion"/>
  </si>
  <si>
    <t>당진군 송산면 상거리 210</t>
    <phoneticPr fontId="6" type="noConversion"/>
  </si>
  <si>
    <t>당진군 송산면 상거리 237</t>
    <phoneticPr fontId="6" type="noConversion"/>
  </si>
  <si>
    <t>당진군 송산면 상거리 291-1</t>
    <phoneticPr fontId="6" type="noConversion"/>
  </si>
  <si>
    <t>인천 연수구 동춘동 925-7
삼환아파트 118-104</t>
    <phoneticPr fontId="6" type="noConversion"/>
  </si>
  <si>
    <t>당진군 송산면 상거리 236</t>
    <phoneticPr fontId="6" type="noConversion"/>
  </si>
  <si>
    <t>서울 서대문구 연희동 218-24</t>
    <phoneticPr fontId="6" type="noConversion"/>
  </si>
  <si>
    <t>대전 동구 자양동 201
동아아파트 103-802</t>
    <phoneticPr fontId="6" type="noConversion"/>
  </si>
  <si>
    <t>당진군 당진읍 원당리 1172
파크빌2차아파트 201-502</t>
    <phoneticPr fontId="6" type="noConversion"/>
  </si>
  <si>
    <t>당진군 송산면 상거리 312</t>
    <phoneticPr fontId="6" type="noConversion"/>
  </si>
  <si>
    <t>당진군 송산면 금암리 11
대상아파트 105-1403</t>
    <phoneticPr fontId="6" type="noConversion"/>
  </si>
  <si>
    <t>당진군 송산면 상거리 308-3</t>
    <phoneticPr fontId="6" type="noConversion"/>
  </si>
  <si>
    <t>당진군 송산면 상거리 395</t>
    <phoneticPr fontId="6" type="noConversion"/>
  </si>
  <si>
    <t>당진군 송산면 상거리 417</t>
    <phoneticPr fontId="6" type="noConversion"/>
  </si>
  <si>
    <t>당진군 송산면 상거리 334</t>
    <phoneticPr fontId="6" type="noConversion"/>
  </si>
  <si>
    <t>187</t>
    <phoneticPr fontId="6" type="noConversion"/>
  </si>
  <si>
    <t>190</t>
    <phoneticPr fontId="6" type="noConversion"/>
  </si>
  <si>
    <t>191</t>
    <phoneticPr fontId="6" type="noConversion"/>
  </si>
  <si>
    <t>192</t>
    <phoneticPr fontId="6" type="noConversion"/>
  </si>
  <si>
    <t>농수산부</t>
    <phoneticPr fontId="6" type="noConversion"/>
  </si>
  <si>
    <t>당진군 당진읍 시곡리 150</t>
    <phoneticPr fontId="6" type="noConversion"/>
  </si>
  <si>
    <t>196</t>
    <phoneticPr fontId="6" type="noConversion"/>
  </si>
  <si>
    <t>197</t>
    <phoneticPr fontId="6" type="noConversion"/>
  </si>
  <si>
    <t>200</t>
    <phoneticPr fontId="6" type="noConversion"/>
  </si>
  <si>
    <t>201</t>
    <phoneticPr fontId="6" type="noConversion"/>
  </si>
  <si>
    <t>202</t>
    <phoneticPr fontId="6" type="noConversion"/>
  </si>
  <si>
    <t>203</t>
    <phoneticPr fontId="6" type="noConversion"/>
  </si>
  <si>
    <t>204</t>
    <phoneticPr fontId="6" type="noConversion"/>
  </si>
  <si>
    <t>당진시 송산면 삼월리</t>
    <phoneticPr fontId="6" type="noConversion"/>
  </si>
  <si>
    <t>92-9</t>
    <phoneticPr fontId="6" type="noConversion"/>
  </si>
  <si>
    <t>당진군 송산면 도문리 162</t>
    <phoneticPr fontId="6" type="noConversion"/>
  </si>
  <si>
    <t>103-7</t>
    <phoneticPr fontId="6" type="noConversion"/>
  </si>
  <si>
    <t>당진군 신평면 매산로236-1</t>
    <phoneticPr fontId="6" type="noConversion"/>
  </si>
  <si>
    <t>101-17</t>
    <phoneticPr fontId="6" type="noConversion"/>
  </si>
  <si>
    <t>당진시 송산면 삼화길 24</t>
    <phoneticPr fontId="6" type="noConversion"/>
  </si>
  <si>
    <t>101-13</t>
    <phoneticPr fontId="6" type="noConversion"/>
  </si>
  <si>
    <t>101-15</t>
    <phoneticPr fontId="6" type="noConversion"/>
  </si>
  <si>
    <t>92-10</t>
    <phoneticPr fontId="6" type="noConversion"/>
  </si>
  <si>
    <t>92-11</t>
    <phoneticPr fontId="6" type="noConversion"/>
  </si>
  <si>
    <t>101-12</t>
    <phoneticPr fontId="6" type="noConversion"/>
  </si>
  <si>
    <t>101-18</t>
    <phoneticPr fontId="6" type="noConversion"/>
  </si>
  <si>
    <t>101-16</t>
    <phoneticPr fontId="6" type="noConversion"/>
  </si>
  <si>
    <t>서울시 강남구 선릉로126번길22,109동801호(삼성동,롯데캐슬르페미어</t>
    <phoneticPr fontId="6" type="noConversion"/>
  </si>
  <si>
    <t>101-11</t>
    <phoneticPr fontId="6" type="noConversion"/>
  </si>
  <si>
    <t>당진군 송산면송산로469-8</t>
    <phoneticPr fontId="6" type="noConversion"/>
  </si>
  <si>
    <t>100-5</t>
    <phoneticPr fontId="6" type="noConversion"/>
  </si>
  <si>
    <t>서울시 관악구 미성동 1563-85 미래아파트403호</t>
    <phoneticPr fontId="6" type="noConversion"/>
  </si>
  <si>
    <t>96-2</t>
    <phoneticPr fontId="6" type="noConversion"/>
  </si>
  <si>
    <t>당진군 송산면 삼월리 115</t>
    <phoneticPr fontId="6" type="noConversion"/>
  </si>
  <si>
    <t>463-1</t>
    <phoneticPr fontId="6" type="noConversion"/>
  </si>
  <si>
    <t>463-3</t>
    <phoneticPr fontId="6" type="noConversion"/>
  </si>
  <si>
    <t>88-7</t>
    <phoneticPr fontId="6" type="noConversion"/>
  </si>
  <si>
    <t>당진시 읍내동 306-8 한국농어촌공사당진지사</t>
    <phoneticPr fontId="6" type="noConversion"/>
  </si>
  <si>
    <t>88-15</t>
    <phoneticPr fontId="6" type="noConversion"/>
  </si>
  <si>
    <t>90-3</t>
    <phoneticPr fontId="6" type="noConversion"/>
  </si>
  <si>
    <t>당진군 송산면 도문로 4</t>
    <phoneticPr fontId="6" type="noConversion"/>
  </si>
  <si>
    <t>88-14</t>
    <phoneticPr fontId="6" type="noConversion"/>
  </si>
  <si>
    <t>91-3</t>
    <phoneticPr fontId="6" type="noConversion"/>
  </si>
  <si>
    <t>91-5</t>
    <phoneticPr fontId="6" type="noConversion"/>
  </si>
  <si>
    <t>88-12</t>
    <phoneticPr fontId="6" type="noConversion"/>
  </si>
  <si>
    <t>86-3</t>
    <phoneticPr fontId="6" type="noConversion"/>
  </si>
  <si>
    <t>86-10</t>
    <phoneticPr fontId="6" type="noConversion"/>
  </si>
  <si>
    <t>당진시 송산면 창택길39-2</t>
    <phoneticPr fontId="6" type="noConversion"/>
  </si>
  <si>
    <t>당진군 송산면 송산로520</t>
    <phoneticPr fontId="6" type="noConversion"/>
  </si>
  <si>
    <t>85-2</t>
    <phoneticPr fontId="6" type="noConversion"/>
  </si>
  <si>
    <t>85-13</t>
    <phoneticPr fontId="6" type="noConversion"/>
  </si>
  <si>
    <t>서울시 양천구 신정로11길 63, 304/1105(신정동 푸른마을아파트)</t>
    <phoneticPr fontId="6" type="noConversion"/>
  </si>
  <si>
    <t>85-1</t>
    <phoneticPr fontId="6" type="noConversion"/>
  </si>
  <si>
    <t>85-11</t>
    <phoneticPr fontId="6" type="noConversion"/>
  </si>
  <si>
    <t>서울 구로구 구로동 409-30</t>
    <phoneticPr fontId="6" type="noConversion"/>
  </si>
  <si>
    <t>464-4</t>
    <phoneticPr fontId="6" type="noConversion"/>
  </si>
  <si>
    <t>464-6</t>
    <phoneticPr fontId="6" type="noConversion"/>
  </si>
  <si>
    <t>84-2</t>
    <phoneticPr fontId="6" type="noConversion"/>
  </si>
  <si>
    <t>95-4</t>
    <phoneticPr fontId="6" type="noConversion"/>
  </si>
  <si>
    <t>92-5</t>
    <phoneticPr fontId="6" type="noConversion"/>
  </si>
  <si>
    <t>92-8</t>
    <phoneticPr fontId="6" type="noConversion"/>
  </si>
  <si>
    <t>95-1</t>
    <phoneticPr fontId="6" type="noConversion"/>
  </si>
  <si>
    <t>95-5</t>
    <phoneticPr fontId="6" type="noConversion"/>
  </si>
  <si>
    <t>당진시 무수동7길203-23,303호(읍내동 한아름1차)</t>
    <phoneticPr fontId="6" type="noConversion"/>
  </si>
  <si>
    <t>95-7</t>
    <phoneticPr fontId="6" type="noConversion"/>
  </si>
  <si>
    <t>100-6</t>
    <phoneticPr fontId="6" type="noConversion"/>
  </si>
  <si>
    <t>당진군 송산면 삼월리 164</t>
    <phoneticPr fontId="6" type="noConversion"/>
  </si>
  <si>
    <t>충청남도 당진시 송산면 상거중앙길102</t>
    <phoneticPr fontId="6" type="noConversion"/>
  </si>
  <si>
    <t>94-1</t>
    <phoneticPr fontId="6" type="noConversion"/>
  </si>
  <si>
    <t>90-2</t>
    <phoneticPr fontId="6" type="noConversion"/>
  </si>
  <si>
    <t>90-4</t>
    <phoneticPr fontId="6" type="noConversion"/>
  </si>
  <si>
    <t>68-11</t>
    <phoneticPr fontId="6" type="noConversion"/>
  </si>
  <si>
    <t>89-3</t>
    <phoneticPr fontId="6" type="noConversion"/>
  </si>
  <si>
    <t>86-2</t>
    <phoneticPr fontId="6" type="noConversion"/>
  </si>
  <si>
    <t>86-8</t>
    <phoneticPr fontId="6" type="noConversion"/>
  </si>
  <si>
    <t>당진시 송산면 창택길 12-21</t>
    <phoneticPr fontId="6" type="noConversion"/>
  </si>
  <si>
    <t>86-6</t>
    <phoneticPr fontId="6" type="noConversion"/>
  </si>
  <si>
    <t>86-9</t>
    <phoneticPr fontId="6" type="noConversion"/>
  </si>
  <si>
    <t>71-6</t>
    <phoneticPr fontId="6" type="noConversion"/>
  </si>
  <si>
    <t>71-9</t>
    <phoneticPr fontId="6" type="noConversion"/>
  </si>
  <si>
    <t>당진시 송산면 송산로 499-11</t>
    <phoneticPr fontId="6" type="noConversion"/>
  </si>
  <si>
    <t>86-11</t>
    <phoneticPr fontId="6" type="noConversion"/>
  </si>
  <si>
    <t>당진시 읍내동306-8 한국농어촌공사 당진지사</t>
    <phoneticPr fontId="6" type="noConversion"/>
  </si>
  <si>
    <t>464-1</t>
    <phoneticPr fontId="6" type="noConversion"/>
  </si>
  <si>
    <t>464-5</t>
    <phoneticPr fontId="6" type="noConversion"/>
  </si>
  <si>
    <t>82-1</t>
    <phoneticPr fontId="6" type="noConversion"/>
  </si>
  <si>
    <t>82-3</t>
    <phoneticPr fontId="6" type="noConversion"/>
  </si>
  <si>
    <t>82-2</t>
    <phoneticPr fontId="6" type="noConversion"/>
  </si>
  <si>
    <t>당진시 읍내동 276-12</t>
    <phoneticPr fontId="6" type="noConversion"/>
  </si>
  <si>
    <t>80-4</t>
    <phoneticPr fontId="6" type="noConversion"/>
  </si>
  <si>
    <t>당진군 송산면 삼화길 116-7</t>
    <phoneticPr fontId="6" type="noConversion"/>
  </si>
  <si>
    <t>190-1</t>
    <phoneticPr fontId="6" type="noConversion"/>
  </si>
  <si>
    <t>대구시 서구 국채보상로34길12,111/2003호</t>
    <phoneticPr fontId="6" type="noConversion"/>
  </si>
  <si>
    <t>189-1</t>
    <phoneticPr fontId="6" type="noConversion"/>
  </si>
  <si>
    <t>189-3</t>
    <phoneticPr fontId="6" type="noConversion"/>
  </si>
  <si>
    <t>당진시 송산면 164, 106동 903호(대상아파트)</t>
    <phoneticPr fontId="6" type="noConversion"/>
  </si>
  <si>
    <t>188-1</t>
    <phoneticPr fontId="6" type="noConversion"/>
  </si>
  <si>
    <t>188-3</t>
    <phoneticPr fontId="6" type="noConversion"/>
  </si>
  <si>
    <t>당진시 송산면 삼화길 80-1</t>
    <phoneticPr fontId="6" type="noConversion"/>
  </si>
  <si>
    <t>187-1</t>
    <phoneticPr fontId="6" type="noConversion"/>
  </si>
  <si>
    <t>460-4</t>
    <phoneticPr fontId="6" type="noConversion"/>
  </si>
  <si>
    <t>197-1</t>
    <phoneticPr fontId="6" type="noConversion"/>
  </si>
  <si>
    <t>당진군 송산면 삼화길 92-6</t>
    <phoneticPr fontId="6" type="noConversion"/>
  </si>
  <si>
    <t>203-1</t>
    <phoneticPr fontId="6" type="noConversion"/>
  </si>
  <si>
    <t>당진군 송산면 삼화길 116-4</t>
    <phoneticPr fontId="6" type="noConversion"/>
  </si>
  <si>
    <t>206-3</t>
    <phoneticPr fontId="6" type="noConversion"/>
  </si>
  <si>
    <t>206-4</t>
    <phoneticPr fontId="6" type="noConversion"/>
  </si>
  <si>
    <t>당진군 송산면 삼월리 205</t>
    <phoneticPr fontId="6" type="noConversion"/>
  </si>
  <si>
    <t>201-2</t>
    <phoneticPr fontId="6" type="noConversion"/>
  </si>
  <si>
    <t>당진시 송산면 송산로164, 107/1504(대상아파트)</t>
    <phoneticPr fontId="6" type="noConversion"/>
  </si>
  <si>
    <t>200-1</t>
    <phoneticPr fontId="6" type="noConversion"/>
  </si>
  <si>
    <t>서울시 광진구 능동로90, 에이동5001(자양동,더클래식500)</t>
    <phoneticPr fontId="6" type="noConversion"/>
  </si>
  <si>
    <t>231</t>
    <phoneticPr fontId="6" type="noConversion"/>
  </si>
  <si>
    <t>231-1</t>
    <phoneticPr fontId="6" type="noConversion"/>
  </si>
  <si>
    <t>226</t>
    <phoneticPr fontId="6" type="noConversion"/>
  </si>
  <si>
    <t>226-1</t>
    <phoneticPr fontId="6" type="noConversion"/>
  </si>
  <si>
    <t>당진시 역천로 608-54(용연동)</t>
    <phoneticPr fontId="6" type="noConversion"/>
  </si>
  <si>
    <t>225</t>
    <phoneticPr fontId="6" type="noConversion"/>
  </si>
  <si>
    <t>225-1</t>
    <phoneticPr fontId="6" type="noConversion"/>
  </si>
  <si>
    <t>삼월리 225</t>
    <phoneticPr fontId="6" type="noConversion"/>
  </si>
  <si>
    <t>224</t>
    <phoneticPr fontId="6" type="noConversion"/>
  </si>
  <si>
    <t>224-1</t>
    <phoneticPr fontId="6" type="noConversion"/>
  </si>
  <si>
    <t>경기 평택시 세교3로8,560
향촌현대아파트 105-104</t>
    <phoneticPr fontId="6" type="noConversion"/>
  </si>
  <si>
    <t>224-2</t>
    <phoneticPr fontId="6" type="noConversion"/>
  </si>
  <si>
    <t>223</t>
    <phoneticPr fontId="6" type="noConversion"/>
  </si>
  <si>
    <t>223-1</t>
    <phoneticPr fontId="6" type="noConversion"/>
  </si>
  <si>
    <t>당진군 송산면 삼월리 225</t>
    <phoneticPr fontId="6" type="noConversion"/>
  </si>
  <si>
    <t>222</t>
    <phoneticPr fontId="6" type="noConversion"/>
  </si>
  <si>
    <t>222-2</t>
    <phoneticPr fontId="6" type="noConversion"/>
  </si>
  <si>
    <t>당진시 송산면 송산로 164, 105/1314호(대상아파트)</t>
    <phoneticPr fontId="6" type="noConversion"/>
  </si>
  <si>
    <t>219</t>
    <phoneticPr fontId="6" type="noConversion"/>
  </si>
  <si>
    <t>219-1</t>
    <phoneticPr fontId="6" type="noConversion"/>
  </si>
  <si>
    <t>218</t>
    <phoneticPr fontId="6" type="noConversion"/>
  </si>
  <si>
    <t>당진군 송산면 송산로 572-11</t>
    <phoneticPr fontId="6" type="noConversion"/>
  </si>
  <si>
    <t>460-7</t>
    <phoneticPr fontId="6" type="noConversion"/>
  </si>
  <si>
    <t>272-1</t>
    <phoneticPr fontId="6" type="noConversion"/>
  </si>
  <si>
    <t>과천시 과천동 235-3</t>
    <phoneticPr fontId="6" type="noConversion"/>
  </si>
  <si>
    <t>458</t>
    <phoneticPr fontId="6" type="noConversion"/>
  </si>
  <si>
    <t>458-1</t>
    <phoneticPr fontId="6" type="noConversion"/>
  </si>
  <si>
    <t>270-3</t>
    <phoneticPr fontId="6" type="noConversion"/>
  </si>
  <si>
    <t>270-4</t>
    <phoneticPr fontId="6" type="noConversion"/>
  </si>
  <si>
    <t>당진군 송산면 삼월리 269</t>
    <phoneticPr fontId="6" type="noConversion"/>
  </si>
  <si>
    <t>270-2</t>
    <phoneticPr fontId="6" type="noConversion"/>
  </si>
  <si>
    <t>466</t>
    <phoneticPr fontId="6" type="noConversion"/>
  </si>
  <si>
    <t>466-1</t>
    <phoneticPr fontId="6" type="noConversion"/>
  </si>
  <si>
    <t>273-6</t>
    <phoneticPr fontId="6" type="noConversion"/>
  </si>
  <si>
    <t>273-8</t>
    <phoneticPr fontId="6" type="noConversion"/>
  </si>
  <si>
    <t>당진군 송산면삼무로10-1</t>
    <phoneticPr fontId="6" type="noConversion"/>
  </si>
  <si>
    <t>268-2</t>
    <phoneticPr fontId="6" type="noConversion"/>
  </si>
  <si>
    <t>268-5</t>
    <phoneticPr fontId="6" type="noConversion"/>
  </si>
  <si>
    <t>273-4</t>
    <phoneticPr fontId="6" type="noConversion"/>
  </si>
  <si>
    <t>273-7</t>
    <phoneticPr fontId="6" type="noConversion"/>
  </si>
  <si>
    <t>당진군 송산면 삼무로10-1</t>
    <phoneticPr fontId="6" type="noConversion"/>
  </si>
  <si>
    <t>283-2</t>
    <phoneticPr fontId="6" type="noConversion"/>
  </si>
  <si>
    <t>283-3</t>
    <phoneticPr fontId="6" type="noConversion"/>
  </si>
  <si>
    <t>서울시 은평구 진관동25번지 은평뉴타운래미안921/802호</t>
    <phoneticPr fontId="6" type="noConversion"/>
  </si>
  <si>
    <t>당진시 동산길 47 (사기소동)</t>
    <phoneticPr fontId="6" type="noConversion"/>
  </si>
  <si>
    <t>서울 은평구 백련산로38, 207/1003호(응암동 백련산 힐스테이트)</t>
    <phoneticPr fontId="6" type="noConversion"/>
  </si>
  <si>
    <t>284-7</t>
    <phoneticPr fontId="6" type="noConversion"/>
  </si>
  <si>
    <t>284-8</t>
    <phoneticPr fontId="6" type="noConversion"/>
  </si>
  <si>
    <t>80-3</t>
    <phoneticPr fontId="6" type="noConversion"/>
  </si>
  <si>
    <t>192-1</t>
    <phoneticPr fontId="6" type="noConversion"/>
  </si>
  <si>
    <t>191-1</t>
    <phoneticPr fontId="6" type="noConversion"/>
  </si>
  <si>
    <t>195-2</t>
    <phoneticPr fontId="6" type="noConversion"/>
  </si>
  <si>
    <t>195-4</t>
    <phoneticPr fontId="6" type="noConversion"/>
  </si>
  <si>
    <t>195-1</t>
    <phoneticPr fontId="6" type="noConversion"/>
  </si>
  <si>
    <t>195-3</t>
    <phoneticPr fontId="6" type="noConversion"/>
  </si>
  <si>
    <t>196-1</t>
    <phoneticPr fontId="6" type="noConversion"/>
  </si>
  <si>
    <t>204-1</t>
    <phoneticPr fontId="6" type="noConversion"/>
  </si>
  <si>
    <t>202-1</t>
    <phoneticPr fontId="6" type="noConversion"/>
  </si>
  <si>
    <t>208-6</t>
    <phoneticPr fontId="6" type="noConversion"/>
  </si>
  <si>
    <t>208-16</t>
    <phoneticPr fontId="6" type="noConversion"/>
  </si>
  <si>
    <t>용인시 처인구 금령로 13번길 13, 106동 1701호(금호어울림아파트)</t>
    <phoneticPr fontId="6" type="noConversion"/>
  </si>
  <si>
    <t>208-2</t>
    <phoneticPr fontId="6" type="noConversion"/>
  </si>
  <si>
    <t>208-14</t>
    <phoneticPr fontId="6" type="noConversion"/>
  </si>
  <si>
    <t>당진시 송산면 송산로 535-6</t>
    <phoneticPr fontId="6" type="noConversion"/>
  </si>
  <si>
    <t>208-15</t>
    <phoneticPr fontId="6" type="noConversion"/>
  </si>
  <si>
    <t>222-1</t>
    <phoneticPr fontId="6" type="noConversion"/>
  </si>
  <si>
    <t>222-3</t>
    <phoneticPr fontId="6" type="noConversion"/>
  </si>
  <si>
    <t>서울시 노원구 동일로 214길 21, 409동 1005호(상계동 주공아파트)</t>
    <phoneticPr fontId="6" type="noConversion"/>
  </si>
  <si>
    <t>217-2</t>
    <phoneticPr fontId="6" type="noConversion"/>
  </si>
  <si>
    <t>217-7</t>
    <phoneticPr fontId="6" type="noConversion"/>
  </si>
  <si>
    <t>272-2</t>
    <phoneticPr fontId="6" type="noConversion"/>
  </si>
  <si>
    <t>279-7</t>
    <phoneticPr fontId="6" type="noConversion"/>
  </si>
  <si>
    <t>279-8</t>
    <phoneticPr fontId="6" type="noConversion"/>
  </si>
  <si>
    <t>271</t>
    <phoneticPr fontId="6" type="noConversion"/>
  </si>
  <si>
    <t>271-1</t>
    <phoneticPr fontId="6" type="noConversion"/>
  </si>
  <si>
    <t>94-2</t>
    <phoneticPr fontId="6" type="noConversion"/>
  </si>
  <si>
    <t>94-3</t>
    <phoneticPr fontId="6" type="noConversion"/>
  </si>
  <si>
    <t>101-14</t>
    <phoneticPr fontId="6" type="noConversion"/>
  </si>
  <si>
    <t>68-17</t>
    <phoneticPr fontId="6" type="noConversion"/>
  </si>
  <si>
    <t>당진시 송산면 무수리</t>
    <phoneticPr fontId="6" type="noConversion"/>
  </si>
  <si>
    <t>262-2</t>
    <phoneticPr fontId="6" type="noConversion"/>
  </si>
  <si>
    <t>인천시 부평구 신트리로46번길 13(부평동)</t>
    <phoneticPr fontId="6" type="noConversion"/>
  </si>
  <si>
    <t>261-2</t>
    <phoneticPr fontId="6" type="noConversion"/>
  </si>
  <si>
    <t>인천시 연수구 원인재로180, 212/801호(연수동 연수2차우성아파트)</t>
    <phoneticPr fontId="6" type="noConversion"/>
  </si>
  <si>
    <t>서울시 영등포구 국회대로 597 101/703호(당산동4가 당산동반도</t>
    <phoneticPr fontId="6" type="noConversion"/>
  </si>
  <si>
    <t>261-6</t>
    <phoneticPr fontId="6" type="noConversion"/>
  </si>
  <si>
    <t>232-15</t>
    <phoneticPr fontId="6" type="noConversion"/>
  </si>
  <si>
    <t>고양시 일산동구 강송로156, 203/101호(마두동, 강촌마을)</t>
    <phoneticPr fontId="6" type="noConversion"/>
  </si>
  <si>
    <t>232-13</t>
    <phoneticPr fontId="6" type="noConversion"/>
  </si>
  <si>
    <t>232-11</t>
    <phoneticPr fontId="6" type="noConversion"/>
  </si>
  <si>
    <t>252-2</t>
    <phoneticPr fontId="6" type="noConversion"/>
  </si>
  <si>
    <t>부천시 원미구 조마루로84, 2607/501호(상동, 하얀마을)</t>
    <phoneticPr fontId="6" type="noConversion"/>
  </si>
  <si>
    <t>732-8</t>
    <phoneticPr fontId="6" type="noConversion"/>
  </si>
  <si>
    <t>732-9</t>
    <phoneticPr fontId="6" type="noConversion"/>
  </si>
  <si>
    <t>319-1</t>
    <phoneticPr fontId="6" type="noConversion"/>
  </si>
  <si>
    <t>대전시 동구 동부로 55-58, 603/706호(판암동 주공아파트)</t>
    <phoneticPr fontId="6" type="noConversion"/>
  </si>
  <si>
    <t>242-9</t>
    <phoneticPr fontId="6" type="noConversion"/>
  </si>
  <si>
    <t>부천시 원미구 원미구 조종로7번길 30(원미동)
삼환아파트 505호</t>
    <phoneticPr fontId="6" type="noConversion"/>
  </si>
  <si>
    <t>242-10</t>
    <phoneticPr fontId="6" type="noConversion"/>
  </si>
  <si>
    <t>242-8</t>
    <phoneticPr fontId="6" type="noConversion"/>
  </si>
  <si>
    <t>당진군 송산면 당산1로 86</t>
    <phoneticPr fontId="6" type="noConversion"/>
  </si>
  <si>
    <t>242-11</t>
    <phoneticPr fontId="6" type="noConversion"/>
  </si>
  <si>
    <t>당진시 당진중앙2로 212-10, 1동 1206호(읍내동 신성아파트)</t>
    <phoneticPr fontId="6" type="noConversion"/>
  </si>
  <si>
    <t>228-74</t>
    <phoneticPr fontId="6" type="noConversion"/>
  </si>
  <si>
    <t>당진시 읍내동306-8한국농어촌공사당진지사</t>
    <phoneticPr fontId="6" type="noConversion"/>
  </si>
  <si>
    <t>당진군 송산면 무수리 210</t>
    <phoneticPr fontId="6" type="noConversion"/>
  </si>
  <si>
    <t>322-1</t>
    <phoneticPr fontId="6" type="noConversion"/>
  </si>
  <si>
    <t>228-92</t>
    <phoneticPr fontId="6" type="noConversion"/>
  </si>
  <si>
    <t>당진시 밤절로104, 309동 801호 (원당동, 그린빌아파트)</t>
    <phoneticPr fontId="6" type="noConversion"/>
  </si>
  <si>
    <t>228-91</t>
    <phoneticPr fontId="6" type="noConversion"/>
  </si>
  <si>
    <t>228-87</t>
    <phoneticPr fontId="6" type="noConversion"/>
  </si>
  <si>
    <t>성남시 분당구 미금일로 22, 207동504호(구미동 까치마을)</t>
    <phoneticPr fontId="6" type="noConversion"/>
  </si>
  <si>
    <t>228-90</t>
    <phoneticPr fontId="6" type="noConversion"/>
  </si>
  <si>
    <t>인천광역시 부평구 일신로14번길 23, 102동 302호(일신동, 풍림아파트)</t>
    <phoneticPr fontId="6" type="noConversion"/>
  </si>
  <si>
    <t>228-89</t>
    <phoneticPr fontId="6" type="noConversion"/>
  </si>
  <si>
    <t>당진시 송악읍 오곡리 335-9</t>
    <phoneticPr fontId="6" type="noConversion"/>
  </si>
  <si>
    <t>228-72</t>
    <phoneticPr fontId="6" type="noConversion"/>
  </si>
  <si>
    <t>충남 당진군 고대면 항곡5길 33-6</t>
    <phoneticPr fontId="6" type="noConversion"/>
  </si>
  <si>
    <t>228-73</t>
    <phoneticPr fontId="6" type="noConversion"/>
  </si>
  <si>
    <t>송산면 무수리 210</t>
    <phoneticPr fontId="6" type="noConversion"/>
  </si>
  <si>
    <t>228-95</t>
    <phoneticPr fontId="6" type="noConversion"/>
  </si>
  <si>
    <t>서울시 은평구 진관4로17, 817동604호(진관동, 은평뉴타운상림마을)</t>
    <phoneticPr fontId="6" type="noConversion"/>
  </si>
  <si>
    <t>228-83</t>
    <phoneticPr fontId="6" type="noConversion"/>
  </si>
  <si>
    <t>228-85</t>
    <phoneticPr fontId="6" type="noConversion"/>
  </si>
  <si>
    <t>경기도 부천시 소사구 안곡로 174번길 51(괴안동)</t>
    <phoneticPr fontId="6" type="noConversion"/>
  </si>
  <si>
    <t>228-84</t>
    <phoneticPr fontId="6" type="noConversion"/>
  </si>
  <si>
    <t>경상북도 구미시 인동43길 22-42, 201동 602호(구평동, 부영아파트)</t>
    <phoneticPr fontId="6" type="noConversion"/>
  </si>
  <si>
    <t>228-82</t>
    <phoneticPr fontId="6" type="noConversion"/>
  </si>
  <si>
    <t>서울 강남구 일원동 615-1
한신아파트 102-105</t>
    <phoneticPr fontId="6" type="noConversion"/>
  </si>
  <si>
    <t>228-94</t>
    <phoneticPr fontId="6" type="noConversion"/>
  </si>
  <si>
    <t>당진시 송산면 송산로 164, 104동 703호(대상아파트)</t>
    <phoneticPr fontId="6" type="noConversion"/>
  </si>
  <si>
    <t>228-88</t>
    <phoneticPr fontId="6" type="noConversion"/>
  </si>
  <si>
    <t>경기도 고양시 일산동구 경의로 33, B동 1411호(백석동, 현대밀라트1)</t>
    <phoneticPr fontId="6" type="noConversion"/>
  </si>
  <si>
    <t>228-86</t>
    <phoneticPr fontId="6" type="noConversion"/>
  </si>
  <si>
    <t>262-3</t>
    <phoneticPr fontId="6" type="noConversion"/>
  </si>
  <si>
    <t>대구광역시 남구 이천로32길 12-2(이천동)</t>
    <phoneticPr fontId="6" type="noConversion"/>
  </si>
  <si>
    <t>263-1</t>
    <phoneticPr fontId="6" type="noConversion"/>
  </si>
  <si>
    <t>당진시 송산면 송산로571-21</t>
    <phoneticPr fontId="6" type="noConversion"/>
  </si>
  <si>
    <t>232-17</t>
    <phoneticPr fontId="6" type="noConversion"/>
  </si>
  <si>
    <t>고양시 일산동구 강송로 156, 203/101호(마두동, 강촌마을)</t>
    <phoneticPr fontId="6" type="noConversion"/>
  </si>
  <si>
    <t>232-16</t>
    <phoneticPr fontId="6" type="noConversion"/>
  </si>
  <si>
    <t>서울시 서초구 반포대로 275, 118/2402호(반포동, 래미안퍼스티지)</t>
    <phoneticPr fontId="6" type="noConversion"/>
  </si>
  <si>
    <t>232-19</t>
    <phoneticPr fontId="6" type="noConversion"/>
  </si>
  <si>
    <t>232-18</t>
    <phoneticPr fontId="6" type="noConversion"/>
  </si>
  <si>
    <t>232-10</t>
    <phoneticPr fontId="6" type="noConversion"/>
  </si>
  <si>
    <t>당진시 송산면 송산로 571-37</t>
    <phoneticPr fontId="6" type="noConversion"/>
  </si>
  <si>
    <t>320-1</t>
    <phoneticPr fontId="6" type="noConversion"/>
  </si>
  <si>
    <t>242-12</t>
    <phoneticPr fontId="6" type="noConversion"/>
  </si>
  <si>
    <t>323-1</t>
    <phoneticPr fontId="6" type="noConversion"/>
  </si>
  <si>
    <t>42-5</t>
    <phoneticPr fontId="6" type="noConversion"/>
  </si>
  <si>
    <t>42-4</t>
    <phoneticPr fontId="6" type="noConversion"/>
  </si>
  <si>
    <t>송산면 무수리 산110-2</t>
    <phoneticPr fontId="6" type="noConversion"/>
  </si>
  <si>
    <t>74-6</t>
    <phoneticPr fontId="6" type="noConversion"/>
  </si>
  <si>
    <t>부산시 동래구 쇠미로 72, 102동 803호(사직동, 사직환나우빌)</t>
    <phoneticPr fontId="6" type="noConversion"/>
  </si>
  <si>
    <t>74-5</t>
    <phoneticPr fontId="6" type="noConversion"/>
  </si>
  <si>
    <t>세종시 조치원읍 도원로16,117동801호(자이아파트)</t>
    <phoneticPr fontId="6" type="noConversion"/>
  </si>
  <si>
    <t>73-10</t>
    <phoneticPr fontId="6" type="noConversion"/>
  </si>
  <si>
    <t>73-15</t>
    <phoneticPr fontId="6" type="noConversion"/>
  </si>
  <si>
    <t>서울시 중랑구 신내로21길 16, 508동 1203호(묵동 신내대림아파트)</t>
    <phoneticPr fontId="6" type="noConversion"/>
  </si>
  <si>
    <t>44-9</t>
    <phoneticPr fontId="6" type="noConversion"/>
  </si>
  <si>
    <t>용인시 성복동 155 성동마을엘지
빌리지1차 101-1003</t>
    <phoneticPr fontId="6" type="noConversion"/>
  </si>
  <si>
    <t>73-16</t>
    <phoneticPr fontId="6" type="noConversion"/>
  </si>
  <si>
    <t>서울시 서초구 잠원로 88, 303동108호(묵동,신내대림아파트)</t>
    <phoneticPr fontId="6" type="noConversion"/>
  </si>
  <si>
    <t>73-13</t>
    <phoneticPr fontId="6" type="noConversion"/>
  </si>
  <si>
    <t>서울시 동대문구 서울시립대로14, 103/1602호(답십리동, 청계한신류플러스)</t>
    <phoneticPr fontId="6" type="noConversion"/>
  </si>
  <si>
    <t>73-11</t>
    <phoneticPr fontId="6" type="noConversion"/>
  </si>
  <si>
    <t>당진시 송산면 당무골길 59-33</t>
    <phoneticPr fontId="6" type="noConversion"/>
  </si>
  <si>
    <t>778-1</t>
    <phoneticPr fontId="6" type="noConversion"/>
  </si>
  <si>
    <t>49-5</t>
    <phoneticPr fontId="6" type="noConversion"/>
  </si>
  <si>
    <t>서울시 용산구 서빙고로 67, 103/3706호(용산동5가 파크타워)</t>
    <phoneticPr fontId="6" type="noConversion"/>
  </si>
  <si>
    <t>49-4</t>
    <phoneticPr fontId="6" type="noConversion"/>
  </si>
  <si>
    <t>당진군 송산면 도문리 277</t>
    <phoneticPr fontId="6" type="noConversion"/>
  </si>
  <si>
    <t>228-100</t>
    <phoneticPr fontId="6" type="noConversion"/>
  </si>
  <si>
    <t>228-81</t>
    <phoneticPr fontId="6" type="noConversion"/>
  </si>
  <si>
    <t>228-93</t>
    <phoneticPr fontId="6" type="noConversion"/>
  </si>
  <si>
    <t>당진시 송산면 막부리길 72-16</t>
    <phoneticPr fontId="6" type="noConversion"/>
  </si>
  <si>
    <t>228-98</t>
    <phoneticPr fontId="6" type="noConversion"/>
  </si>
  <si>
    <t>당진군 송산면 무수로 11-7</t>
    <phoneticPr fontId="6" type="noConversion"/>
  </si>
  <si>
    <t>228-99</t>
    <phoneticPr fontId="6" type="noConversion"/>
  </si>
  <si>
    <t>228-96</t>
    <phoneticPr fontId="6" type="noConversion"/>
  </si>
  <si>
    <t>228-97</t>
    <phoneticPr fontId="6" type="noConversion"/>
  </si>
  <si>
    <t>228-78</t>
    <phoneticPr fontId="6" type="noConversion"/>
  </si>
  <si>
    <t>경상남도 창원시 의창구 도계로 135, 122동 1203호(명서동, 두산위브아파트)</t>
    <phoneticPr fontId="6" type="noConversion"/>
  </si>
  <si>
    <t>228-79</t>
    <phoneticPr fontId="6" type="noConversion"/>
  </si>
  <si>
    <t>228-76</t>
    <phoneticPr fontId="6" type="noConversion"/>
  </si>
  <si>
    <t>인천광역시 서구 가정로 387, 109동 2801호(신현동, 신현e-편한세상·하늘채아파트)</t>
    <phoneticPr fontId="6" type="noConversion"/>
  </si>
  <si>
    <t>228-75</t>
    <phoneticPr fontId="6" type="noConversion"/>
  </si>
  <si>
    <t>당진시 대호만로30-17, 108/704(채운동,대동대숲아파트)</t>
    <phoneticPr fontId="6" type="noConversion"/>
  </si>
  <si>
    <t>78-2</t>
    <phoneticPr fontId="6" type="noConversion"/>
  </si>
  <si>
    <t>당진군 신평면 금천리 386</t>
    <phoneticPr fontId="6" type="noConversion"/>
  </si>
  <si>
    <t>79-3</t>
    <phoneticPr fontId="6" type="noConversion"/>
  </si>
  <si>
    <t>당진시 원당골길31, 101동 909호(원당동, 청구아파트)</t>
    <phoneticPr fontId="6" type="noConversion"/>
  </si>
  <si>
    <t>서울 서초구 방배로 270, 다동 202호(방배동 방배삼호아파트)</t>
    <phoneticPr fontId="6" type="noConversion"/>
  </si>
  <si>
    <t>81-38</t>
    <phoneticPr fontId="6" type="noConversion"/>
  </si>
  <si>
    <t>당진시 읍내동306-8 당진지사</t>
    <phoneticPr fontId="6" type="noConversion"/>
  </si>
  <si>
    <t>당진군 송산면 원무수길 57-5</t>
    <phoneticPr fontId="6" type="noConversion"/>
  </si>
  <si>
    <t>81-39</t>
    <phoneticPr fontId="6" type="noConversion"/>
  </si>
  <si>
    <t>서울특별시 동작구 장승배기로 145-2(노량진동)</t>
    <phoneticPr fontId="6" type="noConversion"/>
  </si>
  <si>
    <t>81-40</t>
    <phoneticPr fontId="6" type="noConversion"/>
  </si>
  <si>
    <t>당진군 당진읍 수청리 781-1
거암빌라 에이-201</t>
    <phoneticPr fontId="6" type="noConversion"/>
  </si>
  <si>
    <t>당진군 송산면 무수리 산22-5</t>
    <phoneticPr fontId="6" type="noConversion"/>
  </si>
  <si>
    <t>81-41</t>
    <phoneticPr fontId="6" type="noConversion"/>
  </si>
  <si>
    <t>충청남도 당진시 송산면 작은벌들길 79-11</t>
    <phoneticPr fontId="6" type="noConversion"/>
  </si>
  <si>
    <t>81-42</t>
    <phoneticPr fontId="6" type="noConversion"/>
  </si>
  <si>
    <t>유곡리 352-2</t>
    <phoneticPr fontId="6" type="noConversion"/>
  </si>
  <si>
    <t>서울 강남구 도곡동 902-8
동신아파트 바-502</t>
    <phoneticPr fontId="6" type="noConversion"/>
  </si>
  <si>
    <t>529-14</t>
    <phoneticPr fontId="6" type="noConversion"/>
  </si>
  <si>
    <t>경기도 의정부시 신촌로36-7(가능동)</t>
    <phoneticPr fontId="6" type="noConversion"/>
  </si>
  <si>
    <t>529-13</t>
    <phoneticPr fontId="6" type="noConversion"/>
  </si>
  <si>
    <t>당진군 송산면 들기물길136-9</t>
    <phoneticPr fontId="6" type="noConversion"/>
  </si>
  <si>
    <t>529-12</t>
    <phoneticPr fontId="6" type="noConversion"/>
  </si>
  <si>
    <t>송산면 무수리 191</t>
    <phoneticPr fontId="6" type="noConversion"/>
  </si>
  <si>
    <t>529-11</t>
    <phoneticPr fontId="6" type="noConversion"/>
  </si>
  <si>
    <t>인천 남구 매소홀로475번길18, 37동1205호(학익동,신동아아파트)</t>
    <phoneticPr fontId="6" type="noConversion"/>
  </si>
  <si>
    <t>529-10</t>
    <phoneticPr fontId="6" type="noConversion"/>
  </si>
  <si>
    <t>당진군 송산면 유곡리 348</t>
    <phoneticPr fontId="6" type="noConversion"/>
  </si>
  <si>
    <t>529-9</t>
    <phoneticPr fontId="6" type="noConversion"/>
  </si>
  <si>
    <t>당진군 송산면 원무수길8-39</t>
    <phoneticPr fontId="6" type="noConversion"/>
  </si>
  <si>
    <t>553-44</t>
    <phoneticPr fontId="6" type="noConversion"/>
  </si>
  <si>
    <t>당진군 송산면 무수리 17</t>
    <phoneticPr fontId="6" type="noConversion"/>
  </si>
  <si>
    <t>668-6</t>
    <phoneticPr fontId="6" type="noConversion"/>
  </si>
  <si>
    <t>서울특별시 강남구 언주로 21, 9동 412호(개포동, 시영아파트)</t>
    <phoneticPr fontId="6" type="noConversion"/>
  </si>
  <si>
    <t>720-3</t>
    <phoneticPr fontId="6" type="noConversion"/>
  </si>
  <si>
    <t>충청남도 당진시 송산면 송산로 725-49</t>
    <phoneticPr fontId="6" type="noConversion"/>
  </si>
  <si>
    <t>81-35</t>
    <phoneticPr fontId="6" type="noConversion"/>
  </si>
  <si>
    <t>81-36</t>
    <phoneticPr fontId="6" type="noConversion"/>
  </si>
  <si>
    <t>81-37</t>
    <phoneticPr fontId="6" type="noConversion"/>
  </si>
  <si>
    <t>81-34</t>
    <phoneticPr fontId="6" type="noConversion"/>
  </si>
  <si>
    <t>553-46</t>
    <phoneticPr fontId="6" type="noConversion"/>
  </si>
  <si>
    <t>530-10</t>
    <phoneticPr fontId="6" type="noConversion"/>
  </si>
  <si>
    <t>당진시 송산면 원무수길23-11</t>
    <phoneticPr fontId="6" type="noConversion"/>
  </si>
  <si>
    <t>530-9</t>
    <phoneticPr fontId="6" type="noConversion"/>
  </si>
  <si>
    <t>당진시 밤절로 104, 311동 802호 (원당동, 그린빌 아파트)</t>
    <phoneticPr fontId="6" type="noConversion"/>
  </si>
  <si>
    <t>553-43</t>
    <phoneticPr fontId="6" type="noConversion"/>
  </si>
  <si>
    <t>530-8</t>
    <phoneticPr fontId="6" type="noConversion"/>
  </si>
  <si>
    <t>530-7</t>
    <phoneticPr fontId="6" type="noConversion"/>
  </si>
  <si>
    <t>당진군 송산면 무수리 55</t>
    <phoneticPr fontId="6" type="noConversion"/>
  </si>
  <si>
    <t>530-6</t>
    <phoneticPr fontId="6" type="noConversion"/>
  </si>
  <si>
    <t>서울시 구로구 고척로49, 203동 1401(오류동 동부골아파트)</t>
    <phoneticPr fontId="6" type="noConversion"/>
  </si>
  <si>
    <t>농림수산부</t>
    <phoneticPr fontId="6" type="noConversion"/>
  </si>
  <si>
    <t>당진시 송산면 유곡리</t>
    <phoneticPr fontId="6" type="noConversion"/>
  </si>
  <si>
    <t>774-1</t>
    <phoneticPr fontId="6" type="noConversion"/>
  </si>
  <si>
    <t>당진군 송산면 송산로 725-49</t>
    <phoneticPr fontId="6" type="noConversion"/>
  </si>
  <si>
    <t>773-3</t>
    <phoneticPr fontId="6" type="noConversion"/>
  </si>
  <si>
    <t>안산시 단원구 고잔동 728
안산고잔3차푸르지오 311-503</t>
    <phoneticPr fontId="6" type="noConversion"/>
  </si>
  <si>
    <t>519-50</t>
    <phoneticPr fontId="6" type="noConversion"/>
  </si>
  <si>
    <t>520-15</t>
    <phoneticPr fontId="6" type="noConversion"/>
  </si>
  <si>
    <t>516-23</t>
    <phoneticPr fontId="6" type="noConversion"/>
  </si>
  <si>
    <t>당진군 송산면 벌띠들길96-11</t>
    <phoneticPr fontId="6" type="noConversion"/>
  </si>
  <si>
    <t>516-22</t>
    <phoneticPr fontId="6" type="noConversion"/>
  </si>
  <si>
    <t>안양시 만안구 박달로539번길 48(박달동)</t>
    <phoneticPr fontId="6" type="noConversion"/>
  </si>
  <si>
    <t>516-20</t>
    <phoneticPr fontId="6" type="noConversion"/>
  </si>
  <si>
    <t>516-18</t>
    <phoneticPr fontId="6" type="noConversion"/>
  </si>
  <si>
    <t>당진군 송산면 송산로725-49</t>
    <phoneticPr fontId="6" type="noConversion"/>
  </si>
  <si>
    <t>516-16</t>
    <phoneticPr fontId="6" type="noConversion"/>
  </si>
  <si>
    <t>경기도 용인시 처인구 양지면 죽양대로2071번길 14</t>
    <phoneticPr fontId="6" type="noConversion"/>
  </si>
  <si>
    <t>516-15</t>
    <phoneticPr fontId="6" type="noConversion"/>
  </si>
  <si>
    <t>경기도 용인시 수지구 상현로58, 252/1003호(상현동,상현마을금호베스트빌2단지)</t>
    <phoneticPr fontId="6" type="noConversion"/>
  </si>
  <si>
    <t>516-14</t>
    <phoneticPr fontId="6" type="noConversion"/>
  </si>
  <si>
    <t>516-13</t>
    <phoneticPr fontId="6" type="noConversion"/>
  </si>
  <si>
    <t>516-12</t>
    <phoneticPr fontId="6" type="noConversion"/>
  </si>
  <si>
    <t>전북 군산시 나운안1길 24, 401동1206호(나운동 나운4차현대아파트)</t>
    <phoneticPr fontId="6" type="noConversion"/>
  </si>
  <si>
    <t>516-11</t>
    <phoneticPr fontId="6" type="noConversion"/>
  </si>
  <si>
    <t>당진군 송산면 유곡리 760-2</t>
    <phoneticPr fontId="6" type="noConversion"/>
  </si>
  <si>
    <t>775-6</t>
    <phoneticPr fontId="6" type="noConversion"/>
  </si>
  <si>
    <t>충청남도 당진군 송산면 
유곡리 776-1</t>
    <phoneticPr fontId="6" type="noConversion"/>
  </si>
  <si>
    <t>517-10</t>
    <phoneticPr fontId="6" type="noConversion"/>
  </si>
  <si>
    <t>부천시 원미구 부흥로237, 1318동1501호(중동, 그린타운)</t>
    <phoneticPr fontId="6" type="noConversion"/>
  </si>
  <si>
    <t>517-9</t>
    <phoneticPr fontId="6" type="noConversion"/>
  </si>
  <si>
    <t>아산시 번영로15,107동801호(방축동, 아산삼환나우빌아파트)</t>
    <phoneticPr fontId="6" type="noConversion"/>
  </si>
  <si>
    <t>519-53</t>
    <phoneticPr fontId="6" type="noConversion"/>
  </si>
  <si>
    <t>517-8</t>
    <phoneticPr fontId="6" type="noConversion"/>
  </si>
  <si>
    <t>당진시 정안로69-34(원당동)</t>
    <phoneticPr fontId="6" type="noConversion"/>
  </si>
  <si>
    <t>517-7</t>
    <phoneticPr fontId="6" type="noConversion"/>
  </si>
  <si>
    <t>인천 계양구 동양로10, 108동907호(박촌동, 한화꿈에그린아파트)</t>
    <phoneticPr fontId="6" type="noConversion"/>
  </si>
  <si>
    <t>517-6</t>
    <phoneticPr fontId="6" type="noConversion"/>
  </si>
  <si>
    <t>739-1</t>
    <phoneticPr fontId="6" type="noConversion"/>
  </si>
  <si>
    <t>전북 익산시 함라면 함낭로114-11</t>
    <phoneticPr fontId="6" type="noConversion"/>
  </si>
  <si>
    <t>당진시 밤절로103, 103동303호(원당동, 원당마을)</t>
    <phoneticPr fontId="6" type="noConversion"/>
  </si>
  <si>
    <t>당진시 송산면 벌띠들길 58</t>
    <phoneticPr fontId="6" type="noConversion"/>
  </si>
  <si>
    <t>당진군 송산면 송산로1001</t>
    <phoneticPr fontId="6" type="noConversion"/>
  </si>
  <si>
    <t>당진군 송산면 송산로 1001</t>
    <phoneticPr fontId="6" type="noConversion"/>
  </si>
  <si>
    <t>당진군 송산면 유곡리 261-2</t>
    <phoneticPr fontId="6" type="noConversion"/>
  </si>
  <si>
    <t>성남시 분당구 분당동 38
샛별마을 313-702</t>
    <phoneticPr fontId="6" type="noConversion"/>
  </si>
  <si>
    <t>741-5</t>
    <phoneticPr fontId="6" type="noConversion"/>
  </si>
  <si>
    <t>당진시 온당동797-4무한사랑김치찌개 문용민(대리인)</t>
    <phoneticPr fontId="6" type="noConversion"/>
  </si>
  <si>
    <t>619-2</t>
    <phoneticPr fontId="6" type="noConversion"/>
  </si>
  <si>
    <t>당진군 송산면 당산2로 32-41</t>
    <phoneticPr fontId="6" type="noConversion"/>
  </si>
  <si>
    <t>719-5</t>
    <phoneticPr fontId="6" type="noConversion"/>
  </si>
  <si>
    <t>창원시 의창구 두대로19, 4동401호(대원동 새경남아파트)</t>
    <phoneticPr fontId="6" type="noConversion"/>
  </si>
  <si>
    <t>828-3</t>
    <phoneticPr fontId="6" type="noConversion"/>
  </si>
  <si>
    <t>당진시 송산면 당산2로 32-41</t>
    <phoneticPr fontId="6" type="noConversion"/>
  </si>
  <si>
    <t>721-18</t>
    <phoneticPr fontId="6" type="noConversion"/>
  </si>
  <si>
    <t>당진군 송산면 유곡리 715</t>
    <phoneticPr fontId="6" type="noConversion"/>
  </si>
  <si>
    <t>721-20</t>
    <phoneticPr fontId="6" type="noConversion"/>
  </si>
  <si>
    <t>721-17</t>
    <phoneticPr fontId="6" type="noConversion"/>
  </si>
  <si>
    <t>기부체납 (현대)</t>
    <phoneticPr fontId="6" type="noConversion"/>
  </si>
  <si>
    <t>721-21</t>
    <phoneticPr fontId="6" type="noConversion"/>
  </si>
  <si>
    <t>751-1</t>
    <phoneticPr fontId="6" type="noConversion"/>
  </si>
  <si>
    <t>752-1</t>
    <phoneticPr fontId="6" type="noConversion"/>
  </si>
  <si>
    <t>경기도 화성시 효행로707번길 106동1204호(안녕동, 아름나을신한미지엔아파트)</t>
    <phoneticPr fontId="6" type="noConversion"/>
  </si>
  <si>
    <t>748-1</t>
    <phoneticPr fontId="6" type="noConversion"/>
  </si>
  <si>
    <t>747-1</t>
    <phoneticPr fontId="6" type="noConversion"/>
  </si>
  <si>
    <t>811-1</t>
    <phoneticPr fontId="6" type="noConversion"/>
  </si>
  <si>
    <t>746-23</t>
    <phoneticPr fontId="6" type="noConversion"/>
  </si>
  <si>
    <t>당진군 송산면 유곡리 751</t>
    <phoneticPr fontId="6" type="noConversion"/>
  </si>
  <si>
    <t>379-3</t>
    <phoneticPr fontId="6" type="noConversion"/>
  </si>
  <si>
    <t>당진군 송산면 유곡리 269</t>
    <phoneticPr fontId="6" type="noConversion"/>
  </si>
  <si>
    <t>당진군 송산면 유곡리 746-6</t>
    <phoneticPr fontId="6" type="noConversion"/>
  </si>
  <si>
    <t>379-4</t>
    <phoneticPr fontId="6" type="noConversion"/>
  </si>
  <si>
    <t>379-6</t>
    <phoneticPr fontId="6" type="noConversion"/>
  </si>
  <si>
    <t>746-29</t>
    <phoneticPr fontId="6" type="noConversion"/>
  </si>
  <si>
    <t>송산면 유곡리 746-6</t>
    <phoneticPr fontId="6" type="noConversion"/>
  </si>
  <si>
    <t>당진군 송악읍 복운리 1629-3
신성미소지움1단지아파트101-703</t>
    <phoneticPr fontId="6" type="noConversion"/>
  </si>
  <si>
    <t>추가</t>
    <phoneticPr fontId="6" type="noConversion"/>
  </si>
  <si>
    <t>746-7</t>
    <phoneticPr fontId="6" type="noConversion"/>
  </si>
  <si>
    <t>송산면 송산로 765-18, 103/407 현대제철 숙소</t>
    <phoneticPr fontId="6" type="noConversion"/>
  </si>
  <si>
    <t>남동농업협동조합</t>
    <phoneticPr fontId="6" type="noConversion"/>
  </si>
  <si>
    <t>인천시 남동구 장승로 28</t>
    <phoneticPr fontId="6" type="noConversion"/>
  </si>
  <si>
    <t>지상권,근저당</t>
    <phoneticPr fontId="6" type="noConversion"/>
  </si>
  <si>
    <t>721-10</t>
    <phoneticPr fontId="6" type="noConversion"/>
  </si>
  <si>
    <t>송산면 송산로 765-18</t>
    <phoneticPr fontId="6" type="noConversion"/>
  </si>
  <si>
    <t>716-6</t>
    <phoneticPr fontId="6" type="noConversion"/>
  </si>
  <si>
    <t>산75-5</t>
    <phoneticPr fontId="6" type="noConversion"/>
  </si>
  <si>
    <t>716-2</t>
    <phoneticPr fontId="6" type="noConversion"/>
  </si>
  <si>
    <t>716-7</t>
    <phoneticPr fontId="6" type="noConversion"/>
  </si>
  <si>
    <t>소 계</t>
    <phoneticPr fontId="6" type="noConversion"/>
  </si>
  <si>
    <t>사용 또는 수용할 토지 세목조서</t>
    <phoneticPr fontId="6" type="noConversion"/>
  </si>
  <si>
    <t>조*호</t>
    <phoneticPr fontId="6" type="noConversion"/>
  </si>
  <si>
    <t>이*규</t>
    <phoneticPr fontId="6" type="noConversion"/>
  </si>
  <si>
    <t>윤*원
외 1인</t>
    <phoneticPr fontId="6" type="noConversion"/>
  </si>
  <si>
    <t>김*진</t>
    <phoneticPr fontId="6" type="noConversion"/>
  </si>
  <si>
    <t>손*식</t>
    <phoneticPr fontId="6" type="noConversion"/>
  </si>
  <si>
    <t>윤*서</t>
    <phoneticPr fontId="6" type="noConversion"/>
  </si>
  <si>
    <t>유*환</t>
    <phoneticPr fontId="6" type="noConversion"/>
  </si>
  <si>
    <t>윤*호</t>
    <phoneticPr fontId="6" type="noConversion"/>
  </si>
  <si>
    <t>윤*보</t>
    <phoneticPr fontId="6" type="noConversion"/>
  </si>
  <si>
    <t>㈜****신탁</t>
    <phoneticPr fontId="6" type="noConversion"/>
  </si>
  <si>
    <t>신*철</t>
    <phoneticPr fontId="6" type="noConversion"/>
  </si>
  <si>
    <t>신*철
외 1인</t>
    <phoneticPr fontId="6" type="noConversion"/>
  </si>
  <si>
    <t>조*자</t>
    <phoneticPr fontId="6" type="noConversion"/>
  </si>
  <si>
    <t>한*수
외 1인</t>
    <phoneticPr fontId="6" type="noConversion"/>
  </si>
  <si>
    <t>윤*홍
외 5인</t>
    <phoneticPr fontId="6" type="noConversion"/>
  </si>
  <si>
    <t>윤*순</t>
    <phoneticPr fontId="6" type="noConversion"/>
  </si>
  <si>
    <t>김*학
외 1인</t>
    <phoneticPr fontId="6" type="noConversion"/>
  </si>
  <si>
    <t>편*범</t>
    <phoneticPr fontId="6" type="noConversion"/>
  </si>
  <si>
    <t>심*만
외 1인</t>
    <phoneticPr fontId="6" type="noConversion"/>
  </si>
  <si>
    <t>주식회사****호텔</t>
    <phoneticPr fontId="6" type="noConversion"/>
  </si>
  <si>
    <t>이*희</t>
    <phoneticPr fontId="6" type="noConversion"/>
  </si>
  <si>
    <t>이*용</t>
    <phoneticPr fontId="6" type="noConversion"/>
  </si>
  <si>
    <t>서*경</t>
    <phoneticPr fontId="6" type="noConversion"/>
  </si>
  <si>
    <t>조*희</t>
    <phoneticPr fontId="6" type="noConversion"/>
  </si>
  <si>
    <t>김*준</t>
    <phoneticPr fontId="6" type="noConversion"/>
  </si>
  <si>
    <t>김*복</t>
    <phoneticPr fontId="6" type="noConversion"/>
  </si>
  <si>
    <t>이*주</t>
    <phoneticPr fontId="6" type="noConversion"/>
  </si>
  <si>
    <t>박*화</t>
    <phoneticPr fontId="6" type="noConversion"/>
  </si>
  <si>
    <t>김*관</t>
    <phoneticPr fontId="6" type="noConversion"/>
  </si>
  <si>
    <t>이*호</t>
    <phoneticPr fontId="6" type="noConversion"/>
  </si>
  <si>
    <t>엄*섭
외 2인</t>
    <phoneticPr fontId="6" type="noConversion"/>
  </si>
  <si>
    <t>곽*관</t>
    <phoneticPr fontId="6" type="noConversion"/>
  </si>
  <si>
    <t>****협동조합</t>
    <phoneticPr fontId="6" type="noConversion"/>
  </si>
  <si>
    <t>윤*수</t>
    <phoneticPr fontId="6" type="noConversion"/>
  </si>
  <si>
    <t>김*학</t>
    <phoneticPr fontId="6" type="noConversion"/>
  </si>
  <si>
    <t>김*회</t>
    <phoneticPr fontId="6" type="noConversion"/>
  </si>
  <si>
    <t>김*원</t>
    <phoneticPr fontId="6" type="noConversion"/>
  </si>
  <si>
    <t>㈜**
금속산업</t>
    <phoneticPr fontId="6" type="noConversion"/>
  </si>
  <si>
    <t>김*임</t>
    <phoneticPr fontId="6" type="noConversion"/>
  </si>
  <si>
    <t>한국농어촌공사</t>
    <phoneticPr fontId="6" type="noConversion"/>
  </si>
  <si>
    <t>유*정
외 1인</t>
    <phoneticPr fontId="6" type="noConversion"/>
  </si>
  <si>
    <t>최*분</t>
    <phoneticPr fontId="6" type="noConversion"/>
  </si>
  <si>
    <t>박*규</t>
    <phoneticPr fontId="6" type="noConversion"/>
  </si>
  <si>
    <t>엄*봉
외 1인</t>
    <phoneticPr fontId="6" type="noConversion"/>
  </si>
  <si>
    <t>순흥*씨판
서공판종중</t>
    <phoneticPr fontId="6" type="noConversion"/>
  </si>
  <si>
    <t>이*석</t>
    <phoneticPr fontId="6" type="noConversion"/>
  </si>
  <si>
    <t>박*호</t>
    <phoneticPr fontId="6" type="noConversion"/>
  </si>
  <si>
    <t>㈜*진</t>
    <phoneticPr fontId="6" type="noConversion"/>
  </si>
  <si>
    <t>박*운</t>
    <phoneticPr fontId="6" type="noConversion"/>
  </si>
  <si>
    <t>박*운
외 1인</t>
    <phoneticPr fontId="6" type="noConversion"/>
  </si>
  <si>
    <t>이*범
외 9인</t>
    <phoneticPr fontId="6" type="noConversion"/>
  </si>
  <si>
    <t>이*범</t>
    <phoneticPr fontId="6" type="noConversion"/>
  </si>
  <si>
    <t>이*식</t>
    <phoneticPr fontId="6" type="noConversion"/>
  </si>
  <si>
    <t>양*병</t>
    <phoneticPr fontId="6" type="noConversion"/>
  </si>
  <si>
    <t>이*수</t>
    <phoneticPr fontId="6" type="noConversion"/>
  </si>
  <si>
    <t>최*순</t>
    <phoneticPr fontId="6" type="noConversion"/>
  </si>
  <si>
    <t>유*준</t>
    <phoneticPr fontId="6" type="noConversion"/>
  </si>
  <si>
    <t>윤*창</t>
    <phoneticPr fontId="6" type="noConversion"/>
  </si>
  <si>
    <t>정*숙</t>
    <phoneticPr fontId="6" type="noConversion"/>
  </si>
  <si>
    <t>**
기업은행</t>
    <phoneticPr fontId="6" type="noConversion"/>
  </si>
  <si>
    <t>이*천</t>
    <phoneticPr fontId="6" type="noConversion"/>
  </si>
  <si>
    <t>이*천
외 1인</t>
    <phoneticPr fontId="6" type="noConversion"/>
  </si>
  <si>
    <t>윤*호
외 2인</t>
    <phoneticPr fontId="6" type="noConversion"/>
  </si>
  <si>
    <t>이*순</t>
    <phoneticPr fontId="6" type="noConversion"/>
  </si>
  <si>
    <t>황*봉</t>
    <phoneticPr fontId="6" type="noConversion"/>
  </si>
  <si>
    <t>문*희
외 16인</t>
    <phoneticPr fontId="6" type="noConversion"/>
  </si>
  <si>
    <t>유*애</t>
    <phoneticPr fontId="6" type="noConversion"/>
  </si>
  <si>
    <t>김*배</t>
    <phoneticPr fontId="6" type="noConversion"/>
  </si>
  <si>
    <t>㈜**엔
지니어링</t>
    <phoneticPr fontId="6" type="noConversion"/>
  </si>
  <si>
    <t>임*국</t>
    <phoneticPr fontId="6" type="noConversion"/>
  </si>
  <si>
    <t>윤*연</t>
    <phoneticPr fontId="6" type="noConversion"/>
  </si>
  <si>
    <t>이*자</t>
    <phoneticPr fontId="6" type="noConversion"/>
  </si>
  <si>
    <t>김*곤</t>
    <phoneticPr fontId="6" type="noConversion"/>
  </si>
  <si>
    <t>조*길</t>
    <phoneticPr fontId="6" type="noConversion"/>
  </si>
  <si>
    <t>전*범</t>
    <phoneticPr fontId="6" type="noConversion"/>
  </si>
  <si>
    <t>최*지</t>
    <phoneticPr fontId="6" type="noConversion"/>
  </si>
  <si>
    <t>전*진</t>
    <phoneticPr fontId="6" type="noConversion"/>
  </si>
  <si>
    <t>김*진
외2인</t>
    <phoneticPr fontId="6" type="noConversion"/>
  </si>
  <si>
    <t>이*휘</t>
    <phoneticPr fontId="6" type="noConversion"/>
  </si>
  <si>
    <t>박*숙</t>
    <phoneticPr fontId="6" type="noConversion"/>
  </si>
  <si>
    <t>이*태
외 1인</t>
    <phoneticPr fontId="6" type="noConversion"/>
  </si>
  <si>
    <t>이*의</t>
    <phoneticPr fontId="6" type="noConversion"/>
  </si>
  <si>
    <t>김*목</t>
    <phoneticPr fontId="6" type="noConversion"/>
  </si>
  <si>
    <t>김*열</t>
    <phoneticPr fontId="6" type="noConversion"/>
  </si>
  <si>
    <t>임*지</t>
    <phoneticPr fontId="6" type="noConversion"/>
  </si>
  <si>
    <t>허*재</t>
    <phoneticPr fontId="6" type="noConversion"/>
  </si>
  <si>
    <t>강*기</t>
    <phoneticPr fontId="6" type="noConversion"/>
  </si>
  <si>
    <t>한*순</t>
    <phoneticPr fontId="6" type="noConversion"/>
  </si>
  <si>
    <t>김*주</t>
    <phoneticPr fontId="6" type="noConversion"/>
  </si>
  <si>
    <t>김*경
외 5인</t>
    <phoneticPr fontId="6" type="noConversion"/>
  </si>
  <si>
    <t>김*경</t>
    <phoneticPr fontId="6" type="noConversion"/>
  </si>
  <si>
    <t>김*웅
외 2인</t>
    <phoneticPr fontId="6" type="noConversion"/>
  </si>
  <si>
    <t>강*기
외 9인</t>
    <phoneticPr fontId="6" type="noConversion"/>
  </si>
  <si>
    <t>방*열</t>
    <phoneticPr fontId="6" type="noConversion"/>
  </si>
  <si>
    <t>허*재
외 8인</t>
    <phoneticPr fontId="6" type="noConversion"/>
  </si>
  <si>
    <t>정*옥</t>
    <phoneticPr fontId="6" type="noConversion"/>
  </si>
  <si>
    <t>최*묵</t>
    <phoneticPr fontId="6" type="noConversion"/>
  </si>
  <si>
    <t>이*</t>
    <phoneticPr fontId="6" type="noConversion"/>
  </si>
  <si>
    <t>남**우</t>
    <phoneticPr fontId="6" type="noConversion"/>
  </si>
  <si>
    <t>정*만</t>
    <phoneticPr fontId="6" type="noConversion"/>
  </si>
  <si>
    <t>윤*길</t>
    <phoneticPr fontId="6" type="noConversion"/>
  </si>
  <si>
    <t>양*옥</t>
    <phoneticPr fontId="6" type="noConversion"/>
  </si>
  <si>
    <t>김*미
외 1인</t>
    <phoneticPr fontId="6" type="noConversion"/>
  </si>
  <si>
    <t>임*숙</t>
    <phoneticPr fontId="6" type="noConversion"/>
  </si>
  <si>
    <t>김*선
외 1인</t>
    <phoneticPr fontId="6" type="noConversion"/>
  </si>
  <si>
    <t>노*호</t>
    <phoneticPr fontId="6" type="noConversion"/>
  </si>
  <si>
    <t>박*우</t>
    <phoneticPr fontId="6" type="noConversion"/>
  </si>
  <si>
    <t>유*성</t>
    <phoneticPr fontId="6" type="noConversion"/>
  </si>
  <si>
    <t>신*석</t>
    <phoneticPr fontId="6" type="noConversion"/>
  </si>
  <si>
    <t>이*종</t>
    <phoneticPr fontId="6" type="noConversion"/>
  </si>
  <si>
    <t>정*진</t>
    <phoneticPr fontId="6" type="noConversion"/>
  </si>
  <si>
    <t>밀***기백
공자흥파종중</t>
    <phoneticPr fontId="6" type="noConversion"/>
  </si>
  <si>
    <t>김*옥</t>
    <phoneticPr fontId="6" type="noConversion"/>
  </si>
  <si>
    <t>김*동</t>
    <phoneticPr fontId="6" type="noConversion"/>
  </si>
  <si>
    <t>이*철
외 1인</t>
    <phoneticPr fontId="6" type="noConversion"/>
  </si>
  <si>
    <t>박*훈</t>
    <phoneticPr fontId="6" type="noConversion"/>
  </si>
  <si>
    <t>김*숙</t>
    <phoneticPr fontId="6" type="noConversion"/>
  </si>
  <si>
    <t>홍*희
외 3인</t>
    <phoneticPr fontId="6" type="noConversion"/>
  </si>
  <si>
    <t>홍*준</t>
    <phoneticPr fontId="6" type="noConversion"/>
  </si>
  <si>
    <t>최*자</t>
    <phoneticPr fontId="6" type="noConversion"/>
  </si>
  <si>
    <t>홍*선</t>
    <phoneticPr fontId="6" type="noConversion"/>
  </si>
  <si>
    <t>홍*륭
외 1인</t>
    <phoneticPr fontId="6" type="noConversion"/>
  </si>
  <si>
    <t>조*근</t>
    <phoneticPr fontId="6" type="noConversion"/>
  </si>
  <si>
    <t>홍*윤</t>
    <phoneticPr fontId="6" type="noConversion"/>
  </si>
  <si>
    <t>홍*덕</t>
    <phoneticPr fontId="6" type="noConversion"/>
  </si>
  <si>
    <t>홍*학
외 2인</t>
    <phoneticPr fontId="6" type="noConversion"/>
  </si>
  <si>
    <t>최*종
외 3인</t>
    <phoneticPr fontId="6" type="noConversion"/>
  </si>
  <si>
    <t>한국
농어촌공사</t>
    <phoneticPr fontId="6" type="noConversion"/>
  </si>
  <si>
    <t>이*우
외 1인</t>
    <phoneticPr fontId="6" type="noConversion"/>
  </si>
  <si>
    <t>김*조</t>
    <phoneticPr fontId="6" type="noConversion"/>
  </si>
  <si>
    <t>박*복
외 1인</t>
    <phoneticPr fontId="6" type="noConversion"/>
  </si>
  <si>
    <t>안*헌</t>
    <phoneticPr fontId="6" type="noConversion"/>
  </si>
  <si>
    <t>송*덕</t>
    <phoneticPr fontId="6" type="noConversion"/>
  </si>
  <si>
    <t>최*이</t>
    <phoneticPr fontId="6" type="noConversion"/>
  </si>
  <si>
    <t>이*선</t>
    <phoneticPr fontId="6" type="noConversion"/>
  </si>
  <si>
    <t>박*현</t>
    <phoneticPr fontId="6" type="noConversion"/>
  </si>
  <si>
    <t>이*서</t>
    <phoneticPr fontId="6" type="noConversion"/>
  </si>
  <si>
    <t>이*희
외 1인</t>
    <phoneticPr fontId="6" type="noConversion"/>
  </si>
  <si>
    <t>이*이</t>
    <phoneticPr fontId="6" type="noConversion"/>
  </si>
  <si>
    <t>홍*민</t>
    <phoneticPr fontId="6" type="noConversion"/>
  </si>
  <si>
    <t>홍*유</t>
    <phoneticPr fontId="6" type="noConversion"/>
  </si>
  <si>
    <t>홍*선
외 2인</t>
    <phoneticPr fontId="6" type="noConversion"/>
  </si>
  <si>
    <t>최*종
외 1인</t>
    <phoneticPr fontId="6" type="noConversion"/>
  </si>
  <si>
    <t>박*열</t>
    <phoneticPr fontId="6" type="noConversion"/>
  </si>
  <si>
    <t>박*찬</t>
    <phoneticPr fontId="6" type="noConversion"/>
  </si>
  <si>
    <t>윤*기</t>
    <phoneticPr fontId="6" type="noConversion"/>
  </si>
  <si>
    <t>박*병</t>
    <phoneticPr fontId="6" type="noConversion"/>
  </si>
  <si>
    <t>이*태</t>
    <phoneticPr fontId="6" type="noConversion"/>
  </si>
  <si>
    <t>장*실</t>
    <phoneticPr fontId="6" type="noConversion"/>
  </si>
  <si>
    <t>덕수**용재공파문중</t>
    <phoneticPr fontId="6" type="noConversion"/>
  </si>
  <si>
    <t>허*</t>
    <phoneticPr fontId="6" type="noConversion"/>
  </si>
  <si>
    <t>덕수**사의공
우파신파종중</t>
    <phoneticPr fontId="6" type="noConversion"/>
  </si>
  <si>
    <t>박*춘</t>
    <phoneticPr fontId="6" type="noConversion"/>
  </si>
  <si>
    <t>정*국
외 1인</t>
    <phoneticPr fontId="6" type="noConversion"/>
  </si>
  <si>
    <t>변*환</t>
    <phoneticPr fontId="6" type="noConversion"/>
  </si>
  <si>
    <t>김*환</t>
    <phoneticPr fontId="6" type="noConversion"/>
  </si>
  <si>
    <t>이*철</t>
    <phoneticPr fontId="6" type="noConversion"/>
  </si>
  <si>
    <t>김*묵</t>
    <phoneticPr fontId="6" type="noConversion"/>
  </si>
  <si>
    <t>이*섭</t>
    <phoneticPr fontId="6" type="noConversion"/>
  </si>
  <si>
    <t>이*화</t>
    <phoneticPr fontId="6" type="noConversion"/>
  </si>
  <si>
    <t>김*하</t>
    <phoneticPr fontId="6" type="noConversion"/>
  </si>
  <si>
    <t>이*찬</t>
    <phoneticPr fontId="6" type="noConversion"/>
  </si>
  <si>
    <t>이*열</t>
    <phoneticPr fontId="6" type="noConversion"/>
  </si>
  <si>
    <t>박*원</t>
    <phoneticPr fontId="6" type="noConversion"/>
  </si>
  <si>
    <t>안*기</t>
    <phoneticPr fontId="6" type="noConversion"/>
  </si>
  <si>
    <t>덕수**용재공파
민성공종회</t>
    <phoneticPr fontId="6" type="noConversion"/>
  </si>
  <si>
    <t>이*만</t>
    <phoneticPr fontId="6" type="noConversion"/>
  </si>
  <si>
    <t>황*섭</t>
    <phoneticPr fontId="6" type="noConversion"/>
  </si>
  <si>
    <t>김*희</t>
    <phoneticPr fontId="6" type="noConversion"/>
  </si>
  <si>
    <t>정*순</t>
    <phoneticPr fontId="6" type="noConversion"/>
  </si>
  <si>
    <t>덕수**진사
공휘주파문중</t>
    <phoneticPr fontId="6" type="noConversion"/>
  </si>
  <si>
    <t>최*걸</t>
    <phoneticPr fontId="6" type="noConversion"/>
  </si>
  <si>
    <t>덕수**학생
공휘현기파문중</t>
    <phoneticPr fontId="6" type="noConversion"/>
  </si>
  <si>
    <t>노*권</t>
    <phoneticPr fontId="6" type="noConversion"/>
  </si>
  <si>
    <t>김*완</t>
    <phoneticPr fontId="6" type="noConversion"/>
  </si>
  <si>
    <t>구*연</t>
    <phoneticPr fontId="6" type="noConversion"/>
  </si>
  <si>
    <t>구*월</t>
    <phoneticPr fontId="6" type="noConversion"/>
  </si>
  <si>
    <t>김*심
외 2인</t>
    <phoneticPr fontId="6" type="noConversion"/>
  </si>
  <si>
    <t>김*용</t>
    <phoneticPr fontId="6" type="noConversion"/>
  </si>
  <si>
    <t>김*묵
외 1인</t>
    <phoneticPr fontId="6" type="noConversion"/>
  </si>
  <si>
    <t>김*훈</t>
    <phoneticPr fontId="6" type="noConversion"/>
  </si>
  <si>
    <t>이*자
외 4인</t>
    <phoneticPr fontId="6" type="noConversion"/>
  </si>
  <si>
    <t>박*순</t>
    <phoneticPr fontId="6" type="noConversion"/>
  </si>
  <si>
    <t>이*남</t>
    <phoneticPr fontId="6" type="noConversion"/>
  </si>
  <si>
    <t>양*두
외 1인</t>
    <phoneticPr fontId="6" type="noConversion"/>
  </si>
  <si>
    <t>최*숙
외 4인</t>
    <phoneticPr fontId="6" type="noConversion"/>
  </si>
  <si>
    <t>허*흠
외 1인</t>
    <phoneticPr fontId="6" type="noConversion"/>
  </si>
  <si>
    <t>한*돈</t>
    <phoneticPr fontId="6" type="noConversion"/>
  </si>
  <si>
    <t>김*겸</t>
    <phoneticPr fontId="6" type="noConversion"/>
  </si>
  <si>
    <t>김*태</t>
    <phoneticPr fontId="6" type="noConversion"/>
  </si>
  <si>
    <t>안*식
외1인</t>
    <phoneticPr fontId="6" type="noConversion"/>
  </si>
  <si>
    <t>권*대
외 8인</t>
    <phoneticPr fontId="6" type="noConversion"/>
  </si>
  <si>
    <t>서*규</t>
    <phoneticPr fontId="6" type="noConversion"/>
  </si>
  <si>
    <t>손*애</t>
    <phoneticPr fontId="6" type="noConversion"/>
  </si>
  <si>
    <t>이*재
외 1인</t>
    <phoneticPr fontId="6" type="noConversion"/>
  </si>
  <si>
    <t>임*수</t>
    <phoneticPr fontId="6" type="noConversion"/>
  </si>
  <si>
    <t>박*정
외 1인</t>
    <phoneticPr fontId="6" type="noConversion"/>
  </si>
  <si>
    <t>최*화
외 2인</t>
    <phoneticPr fontId="6" type="noConversion"/>
  </si>
  <si>
    <t>유*배</t>
    <phoneticPr fontId="6" type="noConversion"/>
  </si>
  <si>
    <t>유*선</t>
    <phoneticPr fontId="6" type="noConversion"/>
  </si>
  <si>
    <t>최*룡</t>
    <phoneticPr fontId="6" type="noConversion"/>
  </si>
  <si>
    <t>김*예</t>
    <phoneticPr fontId="6" type="noConversion"/>
  </si>
  <si>
    <t>전*아</t>
    <phoneticPr fontId="6" type="noConversion"/>
  </si>
  <si>
    <t>최*봉</t>
    <phoneticPr fontId="6" type="noConversion"/>
  </si>
  <si>
    <t>㈜**
폴리텍</t>
    <phoneticPr fontId="6" type="noConversion"/>
  </si>
  <si>
    <t>김*현</t>
    <phoneticPr fontId="6" type="noConversion"/>
  </si>
  <si>
    <t>윤*선
외 3인</t>
    <phoneticPr fontId="6" type="noConversion"/>
  </si>
  <si>
    <t>양*숙</t>
    <phoneticPr fontId="6" type="noConversion"/>
  </si>
  <si>
    <t>김*순
외 1인</t>
    <phoneticPr fontId="6" type="noConversion"/>
  </si>
  <si>
    <t>김*호
외 1인</t>
    <phoneticPr fontId="6" type="noConversion"/>
  </si>
  <si>
    <t>서*석</t>
    <phoneticPr fontId="6" type="noConversion"/>
  </si>
  <si>
    <t>김*덕</t>
    <phoneticPr fontId="6" type="noConversion"/>
  </si>
  <si>
    <t>조*상</t>
    <phoneticPr fontId="6" type="noConversion"/>
  </si>
  <si>
    <t>덕수**진사공휘주파문중</t>
    <phoneticPr fontId="6" type="noConversion"/>
  </si>
  <si>
    <t>김*택</t>
    <phoneticPr fontId="6" type="noConversion"/>
  </si>
  <si>
    <t>최*영</t>
    <phoneticPr fontId="6" type="noConversion"/>
  </si>
  <si>
    <t>이*성
외 1인</t>
    <phoneticPr fontId="6" type="noConversion"/>
  </si>
  <si>
    <t>윤*목</t>
    <phoneticPr fontId="6" type="noConversion"/>
  </si>
  <si>
    <t>임*호
외 7인
당진군</t>
    <phoneticPr fontId="6" type="noConversion"/>
  </si>
  <si>
    <t>최*현
외 1인</t>
    <phoneticPr fontId="6" type="noConversion"/>
  </si>
  <si>
    <t>가*남</t>
    <phoneticPr fontId="6" type="noConversion"/>
  </si>
  <si>
    <t>이*연
외 6인</t>
    <phoneticPr fontId="6" type="noConversion"/>
  </si>
  <si>
    <t>박*종</t>
    <phoneticPr fontId="6" type="noConversion"/>
  </si>
  <si>
    <t>문*수</t>
    <phoneticPr fontId="6" type="noConversion"/>
  </si>
  <si>
    <t>송*돈</t>
    <phoneticPr fontId="6" type="noConversion"/>
  </si>
  <si>
    <t>김*섭</t>
    <phoneticPr fontId="6" type="noConversion"/>
  </si>
  <si>
    <t>배*용</t>
    <phoneticPr fontId="6" type="noConversion"/>
  </si>
  <si>
    <t>배*호
외 2인</t>
    <phoneticPr fontId="6" type="noConversion"/>
  </si>
  <si>
    <t>최*후
외 4인</t>
    <phoneticPr fontId="6" type="noConversion"/>
  </si>
  <si>
    <t>배*윤
외 3인</t>
    <phoneticPr fontId="6" type="noConversion"/>
  </si>
  <si>
    <t>최*호
외 1인</t>
    <phoneticPr fontId="6" type="noConversion"/>
  </si>
  <si>
    <t>최*억 외3</t>
    <phoneticPr fontId="6" type="noConversion"/>
  </si>
  <si>
    <t>최*원
외 1인</t>
    <phoneticPr fontId="6" type="noConversion"/>
  </si>
  <si>
    <t>최*억</t>
    <phoneticPr fontId="6" type="noConversion"/>
  </si>
  <si>
    <t>함*규
외 1인</t>
    <phoneticPr fontId="6" type="noConversion"/>
  </si>
  <si>
    <t>박*태</t>
    <phoneticPr fontId="6" type="noConversion"/>
  </si>
  <si>
    <t>박*하
외 1인</t>
    <phoneticPr fontId="6" type="noConversion"/>
  </si>
  <si>
    <t>박*자</t>
    <phoneticPr fontId="6" type="noConversion"/>
  </si>
  <si>
    <t>정*철</t>
    <phoneticPr fontId="6" type="noConversion"/>
  </si>
  <si>
    <t>박*화
외 1인</t>
    <phoneticPr fontId="6" type="noConversion"/>
  </si>
  <si>
    <t>최*각</t>
    <phoneticPr fontId="6" type="noConversion"/>
  </si>
  <si>
    <t>소*은</t>
    <phoneticPr fontId="6" type="noConversion"/>
  </si>
  <si>
    <t>곽*민</t>
    <phoneticPr fontId="6" type="noConversion"/>
  </si>
  <si>
    <t>안*호</t>
    <phoneticPr fontId="6" type="noConversion"/>
  </si>
  <si>
    <t>이*길</t>
    <phoneticPr fontId="6" type="noConversion"/>
  </si>
  <si>
    <t>이*숙</t>
    <phoneticPr fontId="6" type="noConversion"/>
  </si>
  <si>
    <t>한*옥</t>
    <phoneticPr fontId="6" type="noConversion"/>
  </si>
  <si>
    <t>최*군</t>
    <phoneticPr fontId="6" type="noConversion"/>
  </si>
  <si>
    <t>임*혜</t>
    <phoneticPr fontId="6" type="noConversion"/>
  </si>
  <si>
    <t>강*화</t>
    <phoneticPr fontId="6" type="noConversion"/>
  </si>
  <si>
    <t>김*성
외 2인</t>
    <phoneticPr fontId="6" type="noConversion"/>
  </si>
  <si>
    <t>최*희
외 2인</t>
    <phoneticPr fontId="6" type="noConversion"/>
  </si>
  <si>
    <t>성*용</t>
    <phoneticPr fontId="6" type="noConversion"/>
  </si>
  <si>
    <t>안*삼</t>
    <phoneticPr fontId="6" type="noConversion"/>
  </si>
  <si>
    <t>배*수</t>
    <phoneticPr fontId="6" type="noConversion"/>
  </si>
  <si>
    <t>주식회사**그린개발</t>
    <phoneticPr fontId="6" type="noConversion"/>
  </si>
  <si>
    <t>***부동산신탁주식회사</t>
    <phoneticPr fontId="6" type="noConversion"/>
  </si>
  <si>
    <t>윤*호
외1인</t>
    <phoneticPr fontId="6" type="noConversion"/>
  </si>
  <si>
    <t>이*석 외 1인
석문새마을금고
당진동부새마을금고
당진새마을금고
당진새마을금고</t>
    <phoneticPr fontId="6" type="noConversion"/>
  </si>
  <si>
    <t>서＊경</t>
    <phoneticPr fontId="6" type="noConversion"/>
  </si>
  <si>
    <t>조＊희</t>
    <phoneticPr fontId="6" type="noConversion"/>
  </si>
  <si>
    <t>김＊준</t>
    <phoneticPr fontId="6" type="noConversion"/>
  </si>
  <si>
    <t>황＊부</t>
    <phoneticPr fontId="6" type="noConversion"/>
  </si>
  <si>
    <t>홍＊열
외 1인</t>
    <phoneticPr fontId="6" type="noConversion"/>
  </si>
  <si>
    <t>배＊수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</si>
</sst>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#,##0_ "/>
    <numFmt numFmtId="179" formatCode="#,##0_);[Red]\(#,##0\)"/>
    <numFmt numFmtId="180" formatCode="&quot;₩&quot;#,##0;[Red]&quot;₩&quot;&quot;₩&quot;\-#,##0"/>
    <numFmt numFmtId="181" formatCode="&quot;₩&quot;#,##0.00;[Red]&quot;₩&quot;&quot;₩&quot;&quot;₩&quot;&quot;₩&quot;&quot;₩&quot;&quot;₩&quot;\-#,##0.00"/>
    <numFmt numFmtId="182" formatCode="&quot;₩&quot;#,##0;&quot;₩&quot;&quot;₩&quot;&quot;₩&quot;&quot;₩&quot;&quot;₩&quot;&quot;₩&quot;&quot;₩&quot;&quot;₩&quot;\-#,##0"/>
    <numFmt numFmtId="183" formatCode="&quot;₩&quot;#,##0.00;&quot;₩&quot;&quot;₩&quot;&quot;₩&quot;&quot;₩&quot;&quot;₩&quot;&quot;₩&quot;&quot;₩&quot;&quot;₩&quot;\-#,##0.00"/>
    <numFmt numFmtId="184" formatCode="#,##0;[Red]#,##0"/>
    <numFmt numFmtId="185" formatCode="_-* #,##0.0_-;\-* #,##0.0_-;_-* &quot;-&quot;_-;_-@_-"/>
    <numFmt numFmtId="186" formatCode="#,##0.0_);[Red]\(#,##0.0\)"/>
  </numFmts>
  <fonts count="25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0"/>
      <name val="돋움체"/>
      <family val="3"/>
      <charset val="129"/>
    </font>
    <font>
      <sz val="10"/>
      <name val="Times New Roman"/>
      <family val="1"/>
    </font>
    <font>
      <sz val="8"/>
      <name val="돋움"/>
      <family val="3"/>
      <charset val="129"/>
    </font>
    <font>
      <sz val="9"/>
      <name val="돋움체"/>
      <family val="3"/>
      <charset val="129"/>
    </font>
    <font>
      <b/>
      <sz val="22"/>
      <name val="돋움체"/>
      <family val="3"/>
      <charset val="129"/>
    </font>
    <font>
      <sz val="11"/>
      <name val="돋움체"/>
      <family val="3"/>
      <charset val="129"/>
    </font>
    <font>
      <b/>
      <sz val="9"/>
      <name val="돋움체"/>
      <family val="3"/>
      <charset val="129"/>
    </font>
    <font>
      <vertAlign val="superscript"/>
      <sz val="10"/>
      <name val="돋움체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7"/>
      <name val="굴림체"/>
      <family val="3"/>
      <charset val="129"/>
    </font>
    <font>
      <b/>
      <sz val="9"/>
      <name val="굴림체"/>
      <family val="3"/>
      <charset val="129"/>
    </font>
    <font>
      <sz val="7"/>
      <name val="돋움체"/>
      <family val="3"/>
      <charset val="129"/>
    </font>
    <font>
      <sz val="6"/>
      <name val="돋움체"/>
      <family val="3"/>
      <charset val="129"/>
    </font>
    <font>
      <sz val="9"/>
      <color indexed="10"/>
      <name val="돋움체"/>
      <family val="3"/>
      <charset val="129"/>
    </font>
    <font>
      <sz val="7"/>
      <name val="돋움"/>
      <family val="3"/>
      <charset val="129"/>
    </font>
    <font>
      <vertAlign val="superscript"/>
      <sz val="7"/>
      <name val="굴림체"/>
      <family val="3"/>
      <charset val="129"/>
    </font>
    <font>
      <b/>
      <sz val="2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79" fontId="1" fillId="0" borderId="0">
      <protection locked="0"/>
    </xf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9" fontId="1" fillId="0" borderId="0">
      <protection locked="0"/>
    </xf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0" fontId="3" fillId="0" borderId="0"/>
    <xf numFmtId="179" fontId="1" fillId="0" borderId="0">
      <protection locked="0"/>
    </xf>
    <xf numFmtId="179" fontId="1" fillId="0" borderId="1">
      <protection locked="0"/>
    </xf>
    <xf numFmtId="0" fontId="4" fillId="0" borderId="0"/>
    <xf numFmtId="41" fontId="1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0" fontId="5" fillId="0" borderId="2" xfId="18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5" fillId="0" borderId="8" xfId="18" applyFont="1" applyFill="1" applyBorder="1" applyAlignment="1" applyProtection="1">
      <alignment horizontal="center" vertical="center" wrapText="1"/>
    </xf>
    <xf numFmtId="184" fontId="5" fillId="0" borderId="9" xfId="18" applyNumberFormat="1" applyFont="1" applyFill="1" applyBorder="1" applyAlignment="1" applyProtection="1">
      <alignment horizontal="center" vertical="center" wrapText="1"/>
    </xf>
    <xf numFmtId="184" fontId="5" fillId="0" borderId="9" xfId="18" applyNumberFormat="1" applyFont="1" applyFill="1" applyBorder="1" applyAlignment="1" applyProtection="1">
      <alignment horizontal="center" vertical="center"/>
    </xf>
    <xf numFmtId="0" fontId="5" fillId="0" borderId="10" xfId="18" applyFont="1" applyFill="1" applyBorder="1" applyAlignment="1" applyProtection="1">
      <alignment horizontal="centerContinuous" vertical="center"/>
    </xf>
    <xf numFmtId="0" fontId="5" fillId="0" borderId="11" xfId="18" applyFont="1" applyFill="1" applyBorder="1" applyAlignment="1" applyProtection="1">
      <alignment horizontal="centerContinuous" vertical="center" wrapText="1"/>
    </xf>
    <xf numFmtId="0" fontId="5" fillId="0" borderId="12" xfId="18" applyFont="1" applyFill="1" applyBorder="1" applyAlignment="1" applyProtection="1">
      <alignment horizontal="centerContinuous" vertical="center"/>
    </xf>
    <xf numFmtId="0" fontId="5" fillId="0" borderId="13" xfId="18" applyFont="1" applyFill="1" applyBorder="1" applyAlignment="1" applyProtection="1">
      <alignment horizontal="center" vertical="top" wrapText="1"/>
    </xf>
    <xf numFmtId="184" fontId="5" fillId="0" borderId="14" xfId="18" applyNumberFormat="1" applyFont="1" applyFill="1" applyBorder="1" applyAlignment="1" applyProtection="1">
      <alignment horizontal="center" vertical="top"/>
    </xf>
    <xf numFmtId="0" fontId="5" fillId="0" borderId="2" xfId="18" applyFont="1" applyFill="1" applyBorder="1" applyAlignment="1" applyProtection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78" fontId="8" fillId="0" borderId="15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vertical="center"/>
    </xf>
    <xf numFmtId="178" fontId="8" fillId="0" borderId="3" xfId="0" applyNumberFormat="1" applyFont="1" applyFill="1" applyBorder="1" applyAlignment="1">
      <alignment vertical="center"/>
    </xf>
    <xf numFmtId="178" fontId="8" fillId="0" borderId="2" xfId="0" applyNumberFormat="1" applyFont="1" applyFill="1" applyBorder="1" applyAlignment="1">
      <alignment vertical="center"/>
    </xf>
    <xf numFmtId="178" fontId="8" fillId="0" borderId="15" xfId="0" applyNumberFormat="1" applyFont="1" applyFill="1" applyBorder="1" applyAlignment="1">
      <alignment vertical="center"/>
    </xf>
    <xf numFmtId="0" fontId="8" fillId="0" borderId="16" xfId="0" applyNumberFormat="1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vertical="center"/>
    </xf>
    <xf numFmtId="178" fontId="13" fillId="0" borderId="2" xfId="0" applyNumberFormat="1" applyFont="1" applyFill="1" applyBorder="1" applyAlignment="1">
      <alignment vertical="center"/>
    </xf>
    <xf numFmtId="178" fontId="13" fillId="0" borderId="5" xfId="0" applyNumberFormat="1" applyFont="1" applyFill="1" applyBorder="1" applyAlignment="1">
      <alignment vertical="center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0" xfId="18" applyFont="1" applyFill="1"/>
    <xf numFmtId="49" fontId="13" fillId="0" borderId="3" xfId="18" applyNumberFormat="1" applyFont="1" applyFill="1" applyBorder="1" applyAlignment="1" applyProtection="1">
      <alignment horizontal="center" vertical="center" wrapText="1"/>
      <protection locked="0"/>
    </xf>
    <xf numFmtId="49" fontId="19" fillId="0" borderId="3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1" fontId="13" fillId="0" borderId="5" xfId="15" applyFont="1" applyFill="1" applyBorder="1" applyAlignment="1">
      <alignment horizontal="right" vertical="center"/>
    </xf>
    <xf numFmtId="41" fontId="13" fillId="0" borderId="3" xfId="15" applyFont="1" applyFill="1" applyBorder="1" applyAlignment="1">
      <alignment horizontal="right" vertical="center"/>
    </xf>
    <xf numFmtId="41" fontId="13" fillId="0" borderId="15" xfId="15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3" fillId="0" borderId="3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18" applyNumberFormat="1" applyFont="1" applyFill="1" applyBorder="1" applyAlignment="1" applyProtection="1">
      <alignment horizontal="center" vertical="center" wrapText="1"/>
      <protection locked="0"/>
    </xf>
    <xf numFmtId="49" fontId="13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7" xfId="18" applyNumberFormat="1" applyFont="1" applyFill="1" applyBorder="1" applyAlignment="1" applyProtection="1">
      <alignment horizontal="center" vertical="center" wrapText="1"/>
    </xf>
    <xf numFmtId="0" fontId="15" fillId="0" borderId="0" xfId="18" applyFont="1" applyFill="1" applyBorder="1" applyAlignment="1" applyProtection="1">
      <alignment horizontal="centerContinuous"/>
    </xf>
    <xf numFmtId="49" fontId="13" fillId="0" borderId="0" xfId="18" applyNumberFormat="1" applyFont="1" applyFill="1" applyBorder="1" applyAlignment="1" applyProtection="1">
      <alignment horizontal="centerContinuous"/>
    </xf>
    <xf numFmtId="0" fontId="13" fillId="0" borderId="0" xfId="18" applyFont="1" applyFill="1" applyBorder="1" applyAlignment="1" applyProtection="1">
      <alignment horizontal="centerContinuous"/>
    </xf>
    <xf numFmtId="186" fontId="13" fillId="0" borderId="0" xfId="18" applyNumberFormat="1" applyFont="1" applyFill="1" applyBorder="1" applyAlignment="1" applyProtection="1">
      <alignment horizontal="centerContinuous"/>
    </xf>
    <xf numFmtId="186" fontId="13" fillId="0" borderId="0" xfId="18" applyNumberFormat="1" applyFont="1" applyFill="1" applyBorder="1" applyAlignment="1" applyProtection="1">
      <alignment horizontal="centerContinuous" vertical="center"/>
    </xf>
    <xf numFmtId="0" fontId="13" fillId="0" borderId="0" xfId="18" applyFont="1" applyFill="1" applyBorder="1" applyAlignment="1" applyProtection="1">
      <alignment horizontal="centerContinuous" wrapText="1"/>
    </xf>
    <xf numFmtId="0" fontId="13" fillId="0" borderId="0" xfId="18" applyFont="1" applyFill="1" applyBorder="1" applyProtection="1"/>
    <xf numFmtId="49" fontId="13" fillId="0" borderId="0" xfId="18" applyNumberFormat="1" applyFont="1" applyFill="1" applyBorder="1" applyProtection="1"/>
    <xf numFmtId="186" fontId="13" fillId="0" borderId="0" xfId="18" applyNumberFormat="1" applyFont="1" applyFill="1" applyBorder="1" applyProtection="1"/>
    <xf numFmtId="186" fontId="13" fillId="0" borderId="0" xfId="18" applyNumberFormat="1" applyFont="1" applyFill="1" applyBorder="1" applyAlignment="1" applyProtection="1">
      <alignment horizontal="right" vertical="center"/>
    </xf>
    <xf numFmtId="0" fontId="13" fillId="0" borderId="0" xfId="18" applyFont="1" applyFill="1" applyBorder="1" applyAlignment="1" applyProtection="1">
      <alignment wrapText="1"/>
    </xf>
    <xf numFmtId="0" fontId="16" fillId="0" borderId="0" xfId="0" applyFont="1" applyFill="1" applyBorder="1"/>
    <xf numFmtId="0" fontId="13" fillId="0" borderId="4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6" xfId="18" applyNumberFormat="1" applyFont="1" applyFill="1" applyBorder="1" applyAlignment="1" applyProtection="1">
      <alignment horizontal="center" vertical="center" wrapText="1"/>
    </xf>
    <xf numFmtId="0" fontId="18" fillId="0" borderId="19" xfId="18" applyNumberFormat="1" applyFont="1" applyFill="1" applyBorder="1" applyAlignment="1" applyProtection="1">
      <alignment horizontal="centerContinuous" vertical="center" wrapText="1"/>
    </xf>
    <xf numFmtId="0" fontId="13" fillId="0" borderId="20" xfId="18" applyNumberFormat="1" applyFont="1" applyFill="1" applyBorder="1" applyAlignment="1" applyProtection="1">
      <alignment horizontal="centerContinuous" vertical="center" wrapText="1"/>
    </xf>
    <xf numFmtId="0" fontId="13" fillId="0" borderId="21" xfId="18" applyNumberFormat="1" applyFont="1" applyFill="1" applyBorder="1" applyAlignment="1" applyProtection="1">
      <alignment horizontal="centerContinuous" vertical="center" wrapText="1"/>
    </xf>
    <xf numFmtId="0" fontId="13" fillId="0" borderId="22" xfId="18" applyNumberFormat="1" applyFont="1" applyFill="1" applyBorder="1" applyAlignment="1" applyProtection="1">
      <alignment horizontal="centerContinuous" vertical="center" wrapText="1"/>
    </xf>
    <xf numFmtId="0" fontId="13" fillId="0" borderId="20" xfId="18" applyNumberFormat="1" applyFont="1" applyFill="1" applyBorder="1" applyAlignment="1" applyProtection="1">
      <alignment horizontal="center" vertical="center" wrapText="1"/>
    </xf>
    <xf numFmtId="0" fontId="13" fillId="0" borderId="22" xfId="18" applyNumberFormat="1" applyFont="1" applyFill="1" applyBorder="1" applyAlignment="1" applyProtection="1">
      <alignment horizontal="center" vertical="center" wrapText="1"/>
    </xf>
    <xf numFmtId="186" fontId="13" fillId="0" borderId="20" xfId="18" applyNumberFormat="1" applyFont="1" applyFill="1" applyBorder="1" applyAlignment="1" applyProtection="1">
      <alignment horizontal="right" vertical="center"/>
    </xf>
    <xf numFmtId="186" fontId="13" fillId="0" borderId="3" xfId="18" applyNumberFormat="1" applyFont="1" applyFill="1" applyBorder="1" applyAlignment="1" applyProtection="1">
      <alignment horizontal="right" vertical="center"/>
      <protection locked="0"/>
    </xf>
    <xf numFmtId="186" fontId="13" fillId="0" borderId="5" xfId="18" applyNumberFormat="1" applyFont="1" applyFill="1" applyBorder="1" applyAlignment="1" applyProtection="1">
      <alignment horizontal="right" vertical="center"/>
      <protection locked="0"/>
    </xf>
    <xf numFmtId="49" fontId="13" fillId="0" borderId="0" xfId="18" applyNumberFormat="1" applyFont="1" applyFill="1"/>
    <xf numFmtId="186" fontId="13" fillId="0" borderId="0" xfId="18" applyNumberFormat="1" applyFont="1" applyFill="1"/>
    <xf numFmtId="186" fontId="13" fillId="0" borderId="0" xfId="18" applyNumberFormat="1" applyFont="1" applyFill="1" applyAlignment="1">
      <alignment horizontal="right" vertical="center"/>
    </xf>
    <xf numFmtId="0" fontId="13" fillId="0" borderId="0" xfId="18" applyFont="1" applyFill="1" applyAlignment="1">
      <alignment wrapText="1"/>
    </xf>
    <xf numFmtId="186" fontId="17" fillId="0" borderId="3" xfId="0" applyNumberFormat="1" applyFont="1" applyFill="1" applyBorder="1" applyAlignment="1">
      <alignment vertical="center"/>
    </xf>
    <xf numFmtId="0" fontId="17" fillId="0" borderId="3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0" fontId="17" fillId="0" borderId="3" xfId="18" applyFont="1" applyFill="1" applyBorder="1" applyAlignment="1" applyProtection="1">
      <alignment horizontal="center" vertical="center" wrapText="1"/>
    </xf>
    <xf numFmtId="186" fontId="17" fillId="0" borderId="3" xfId="18" applyNumberFormat="1" applyFont="1" applyFill="1" applyBorder="1" applyAlignment="1" applyProtection="1">
      <alignment horizontal="center" vertical="center" wrapText="1"/>
    </xf>
    <xf numFmtId="0" fontId="17" fillId="0" borderId="3" xfId="18" applyFont="1" applyFill="1" applyBorder="1" applyAlignment="1" applyProtection="1">
      <alignment horizontal="centerContinuous" vertical="center"/>
    </xf>
    <xf numFmtId="0" fontId="17" fillId="0" borderId="3" xfId="18" applyFont="1" applyFill="1" applyBorder="1" applyAlignment="1" applyProtection="1">
      <alignment horizontal="centerContinuous" vertical="center" wrapText="1"/>
    </xf>
    <xf numFmtId="0" fontId="17" fillId="0" borderId="3" xfId="18" applyFont="1" applyFill="1" applyBorder="1" applyAlignment="1" applyProtection="1">
      <alignment horizontal="center" vertical="center"/>
    </xf>
    <xf numFmtId="186" fontId="17" fillId="0" borderId="3" xfId="18" applyNumberFormat="1" applyFont="1" applyFill="1" applyBorder="1" applyAlignment="1" applyProtection="1">
      <alignment horizontal="center" vertical="top"/>
    </xf>
    <xf numFmtId="178" fontId="17" fillId="0" borderId="3" xfId="0" applyNumberFormat="1" applyFont="1" applyFill="1" applyBorder="1" applyAlignment="1">
      <alignment horizontal="center" vertical="center"/>
    </xf>
    <xf numFmtId="0" fontId="13" fillId="0" borderId="0" xfId="18" applyFont="1" applyFill="1" applyBorder="1" applyAlignment="1" applyProtection="1">
      <alignment horizontal="center" wrapText="1"/>
    </xf>
    <xf numFmtId="0" fontId="13" fillId="0" borderId="0" xfId="18" applyFont="1" applyFill="1" applyBorder="1" applyAlignment="1" applyProtection="1">
      <alignment horizontal="center"/>
    </xf>
    <xf numFmtId="0" fontId="16" fillId="0" borderId="0" xfId="0" applyFont="1" applyFill="1" applyBorder="1" applyAlignment="1">
      <alignment wrapText="1"/>
    </xf>
    <xf numFmtId="49" fontId="22" fillId="0" borderId="3" xfId="0" applyNumberFormat="1" applyFont="1" applyFill="1" applyBorder="1" applyAlignment="1">
      <alignment horizontal="center" vertical="center" wrapText="1"/>
    </xf>
    <xf numFmtId="179" fontId="13" fillId="0" borderId="0" xfId="18" applyNumberFormat="1" applyFont="1" applyFill="1" applyBorder="1" applyProtection="1"/>
    <xf numFmtId="179" fontId="17" fillId="0" borderId="3" xfId="18" applyNumberFormat="1" applyFont="1" applyFill="1" applyBorder="1" applyAlignment="1" applyProtection="1">
      <alignment horizontal="center" vertical="center" wrapText="1"/>
    </xf>
    <xf numFmtId="179" fontId="17" fillId="0" borderId="3" xfId="18" applyNumberFormat="1" applyFont="1" applyFill="1" applyBorder="1" applyAlignment="1" applyProtection="1">
      <alignment horizontal="center" vertical="top"/>
    </xf>
    <xf numFmtId="179" fontId="22" fillId="0" borderId="3" xfId="0" applyNumberFormat="1" applyFont="1" applyFill="1" applyBorder="1" applyAlignment="1">
      <alignment horizontal="center" vertical="center"/>
    </xf>
    <xf numFmtId="179" fontId="13" fillId="0" borderId="0" xfId="18" applyNumberFormat="1" applyFont="1" applyFill="1"/>
    <xf numFmtId="0" fontId="13" fillId="0" borderId="0" xfId="18" applyFont="1" applyFill="1" applyBorder="1" applyAlignment="1" applyProtection="1">
      <alignment horizontal="center" vertical="center"/>
    </xf>
    <xf numFmtId="179" fontId="17" fillId="0" borderId="3" xfId="18" applyNumberFormat="1" applyFont="1" applyFill="1" applyBorder="1" applyAlignment="1" applyProtection="1">
      <alignment horizontal="centerContinuous" vertical="center"/>
    </xf>
    <xf numFmtId="178" fontId="13" fillId="0" borderId="0" xfId="18" applyNumberFormat="1" applyFont="1" applyFill="1" applyBorder="1" applyAlignment="1" applyProtection="1">
      <alignment horizontal="center" vertical="center" wrapText="1"/>
      <protection locked="0"/>
    </xf>
    <xf numFmtId="178" fontId="13" fillId="0" borderId="0" xfId="18" applyNumberFormat="1" applyFont="1" applyFill="1" applyBorder="1" applyAlignment="1" applyProtection="1">
      <alignment horizontal="center" vertical="center" wrapText="1"/>
    </xf>
    <xf numFmtId="0" fontId="13" fillId="0" borderId="0" xfId="18" applyFont="1" applyFill="1" applyBorder="1" applyAlignment="1" applyProtection="1">
      <alignment horizontal="center" vertical="center" wrapText="1"/>
    </xf>
    <xf numFmtId="185" fontId="13" fillId="0" borderId="0" xfId="15" applyNumberFormat="1" applyFont="1" applyFill="1" applyBorder="1" applyAlignment="1" applyProtection="1">
      <alignment horizontal="right" vertical="center"/>
    </xf>
    <xf numFmtId="185" fontId="22" fillId="0" borderId="3" xfId="15" applyNumberFormat="1" applyFont="1" applyFill="1" applyBorder="1" applyAlignment="1">
      <alignment horizontal="center" vertical="center"/>
    </xf>
    <xf numFmtId="185" fontId="13" fillId="0" borderId="0" xfId="15" applyNumberFormat="1" applyFont="1" applyFill="1" applyAlignment="1">
      <alignment horizontal="right" vertical="center"/>
    </xf>
    <xf numFmtId="0" fontId="13" fillId="0" borderId="0" xfId="18" applyFont="1" applyFill="1" applyAlignment="1" applyProtection="1">
      <alignment horizontal="center"/>
    </xf>
    <xf numFmtId="0" fontId="13" fillId="0" borderId="0" xfId="18" applyFont="1" applyFill="1" applyProtection="1"/>
    <xf numFmtId="0" fontId="14" fillId="0" borderId="0" xfId="18" applyFont="1" applyFill="1" applyBorder="1" applyAlignment="1" applyProtection="1">
      <alignment horizontal="center"/>
    </xf>
    <xf numFmtId="178" fontId="14" fillId="0" borderId="0" xfId="18" applyNumberFormat="1" applyFont="1" applyFill="1" applyBorder="1" applyAlignment="1" applyProtection="1">
      <alignment horizontal="center" vertical="center" wrapText="1"/>
    </xf>
    <xf numFmtId="0" fontId="14" fillId="0" borderId="0" xfId="18" applyFont="1" applyFill="1"/>
    <xf numFmtId="0" fontId="14" fillId="0" borderId="0" xfId="18" applyFont="1" applyFill="1" applyBorder="1" applyAlignment="1" applyProtection="1">
      <alignment horizontal="center" vertical="top"/>
    </xf>
    <xf numFmtId="178" fontId="13" fillId="0" borderId="0" xfId="18" applyNumberFormat="1" applyFont="1" applyFill="1" applyBorder="1" applyAlignment="1" applyProtection="1">
      <alignment horizontal="center" vertical="center"/>
    </xf>
    <xf numFmtId="0" fontId="14" fillId="0" borderId="2" xfId="18" applyFont="1" applyFill="1" applyBorder="1" applyAlignment="1" applyProtection="1">
      <alignment horizontal="center" vertical="center"/>
    </xf>
    <xf numFmtId="178" fontId="14" fillId="0" borderId="0" xfId="18" applyNumberFormat="1" applyFont="1" applyFill="1" applyBorder="1" applyAlignment="1" applyProtection="1">
      <alignment horizontal="center" vertical="center"/>
    </xf>
    <xf numFmtId="0" fontId="14" fillId="0" borderId="0" xfId="18" applyFont="1" applyFill="1" applyBorder="1" applyProtection="1"/>
    <xf numFmtId="0" fontId="13" fillId="0" borderId="0" xfId="0" applyFont="1" applyFill="1"/>
    <xf numFmtId="0" fontId="13" fillId="0" borderId="0" xfId="18" applyFont="1" applyFill="1" applyBorder="1"/>
    <xf numFmtId="0" fontId="9" fillId="0" borderId="0" xfId="18" applyFont="1" applyFill="1" applyAlignment="1" applyProtection="1">
      <alignment horizontal="centerContinuous"/>
    </xf>
    <xf numFmtId="49" fontId="8" fillId="0" borderId="0" xfId="18" applyNumberFormat="1" applyFont="1" applyFill="1" applyAlignment="1" applyProtection="1">
      <alignment horizontal="centerContinuous"/>
    </xf>
    <xf numFmtId="0" fontId="8" fillId="0" borderId="0" xfId="18" applyFont="1" applyFill="1" applyAlignment="1" applyProtection="1">
      <alignment horizontal="centerContinuous"/>
    </xf>
    <xf numFmtId="0" fontId="8" fillId="0" borderId="0" xfId="18" applyFont="1" applyFill="1" applyAlignment="1" applyProtection="1">
      <alignment horizontal="centerContinuous" vertical="center"/>
    </xf>
    <xf numFmtId="0" fontId="8" fillId="0" borderId="0" xfId="18" applyFont="1" applyFill="1" applyAlignment="1" applyProtection="1">
      <alignment horizontal="center"/>
    </xf>
    <xf numFmtId="0" fontId="8" fillId="0" borderId="0" xfId="18" applyFont="1" applyFill="1" applyBorder="1" applyProtection="1"/>
    <xf numFmtId="0" fontId="8" fillId="0" borderId="0" xfId="18" applyFont="1" applyFill="1"/>
    <xf numFmtId="0" fontId="8" fillId="0" borderId="0" xfId="18" applyFont="1" applyFill="1" applyProtection="1"/>
    <xf numFmtId="49" fontId="8" fillId="0" borderId="0" xfId="18" applyNumberFormat="1" applyFont="1" applyFill="1" applyProtection="1"/>
    <xf numFmtId="0" fontId="8" fillId="0" borderId="0" xfId="18" applyFont="1" applyFill="1" applyAlignment="1" applyProtection="1">
      <alignment horizontal="right" vertical="center"/>
    </xf>
    <xf numFmtId="0" fontId="10" fillId="0" borderId="0" xfId="0" applyFont="1" applyFill="1"/>
    <xf numFmtId="49" fontId="5" fillId="0" borderId="0" xfId="0" applyNumberFormat="1" applyFont="1" applyFill="1" applyBorder="1" applyAlignment="1">
      <alignment horizontal="left" vertical="center"/>
    </xf>
    <xf numFmtId="0" fontId="8" fillId="0" borderId="0" xfId="18" applyFont="1" applyFill="1" applyBorder="1" applyAlignment="1" applyProtection="1">
      <alignment horizontal="centerContinuous"/>
    </xf>
    <xf numFmtId="0" fontId="8" fillId="0" borderId="0" xfId="18" applyFont="1" applyFill="1" applyBorder="1" applyAlignment="1" applyProtection="1">
      <alignment horizontal="center"/>
    </xf>
    <xf numFmtId="0" fontId="5" fillId="0" borderId="0" xfId="18" applyFont="1" applyFill="1" applyBorder="1" applyAlignment="1" applyProtection="1">
      <alignment horizontal="center"/>
    </xf>
    <xf numFmtId="178" fontId="5" fillId="0" borderId="0" xfId="18" applyNumberFormat="1" applyFont="1" applyFill="1" applyBorder="1" applyAlignment="1" applyProtection="1">
      <alignment horizontal="center" vertical="center" wrapText="1"/>
    </xf>
    <xf numFmtId="0" fontId="5" fillId="0" borderId="0" xfId="18" applyFont="1" applyFill="1"/>
    <xf numFmtId="0" fontId="5" fillId="0" borderId="0" xfId="18" applyFont="1" applyFill="1" applyBorder="1" applyAlignment="1" applyProtection="1">
      <alignment horizontal="center" vertical="top"/>
    </xf>
    <xf numFmtId="178" fontId="5" fillId="0" borderId="0" xfId="18" applyNumberFormat="1" applyFont="1" applyFill="1" applyBorder="1" applyAlignment="1" applyProtection="1">
      <alignment horizontal="center" vertical="center"/>
    </xf>
    <xf numFmtId="0" fontId="5" fillId="0" borderId="0" xfId="18" applyFont="1" applyFill="1" applyBorder="1" applyProtection="1"/>
    <xf numFmtId="178" fontId="8" fillId="0" borderId="0" xfId="18" applyNumberFormat="1" applyFont="1" applyFill="1" applyBorder="1" applyAlignment="1" applyProtection="1">
      <alignment horizontal="center" vertical="center" wrapText="1"/>
      <protection locked="0"/>
    </xf>
    <xf numFmtId="178" fontId="8" fillId="0" borderId="0" xfId="18" applyNumberFormat="1" applyFont="1" applyFill="1" applyBorder="1" applyAlignment="1" applyProtection="1">
      <alignment horizontal="center" vertical="center" wrapText="1"/>
    </xf>
    <xf numFmtId="0" fontId="8" fillId="0" borderId="0" xfId="18" applyFont="1" applyFill="1" applyBorder="1" applyAlignment="1" applyProtection="1">
      <alignment horizontal="center" vertical="center" wrapText="1"/>
    </xf>
    <xf numFmtId="0" fontId="8" fillId="0" borderId="0" xfId="0" applyFont="1" applyFill="1"/>
    <xf numFmtId="0" fontId="8" fillId="0" borderId="13" xfId="18" applyNumberFormat="1" applyFont="1" applyFill="1" applyBorder="1" applyAlignment="1" applyProtection="1">
      <alignment horizontal="centerContinuous" vertical="center" wrapText="1"/>
    </xf>
    <xf numFmtId="0" fontId="8" fillId="0" borderId="14" xfId="18" applyNumberFormat="1" applyFont="1" applyFill="1" applyBorder="1" applyAlignment="1" applyProtection="1">
      <alignment horizontal="centerContinuous" vertical="center" wrapText="1"/>
    </xf>
    <xf numFmtId="178" fontId="8" fillId="0" borderId="14" xfId="18" applyNumberFormat="1" applyFont="1" applyFill="1" applyBorder="1" applyAlignment="1" applyProtection="1">
      <alignment vertical="center"/>
    </xf>
    <xf numFmtId="0" fontId="8" fillId="0" borderId="14" xfId="18" applyNumberFormat="1" applyFont="1" applyFill="1" applyBorder="1" applyAlignment="1" applyProtection="1">
      <alignment horizontal="center" vertical="center" wrapText="1"/>
    </xf>
    <xf numFmtId="0" fontId="8" fillId="0" borderId="23" xfId="18" applyNumberFormat="1" applyFont="1" applyFill="1" applyBorder="1" applyAlignment="1" applyProtection="1">
      <alignment horizontal="center" vertical="center" wrapText="1"/>
    </xf>
    <xf numFmtId="0" fontId="11" fillId="0" borderId="19" xfId="18" applyNumberFormat="1" applyFont="1" applyFill="1" applyBorder="1" applyAlignment="1" applyProtection="1">
      <alignment horizontal="centerContinuous" vertical="center" wrapText="1"/>
    </xf>
    <xf numFmtId="0" fontId="8" fillId="0" borderId="20" xfId="18" applyNumberFormat="1" applyFont="1" applyFill="1" applyBorder="1" applyAlignment="1" applyProtection="1">
      <alignment horizontal="centerContinuous" vertical="center" wrapText="1"/>
    </xf>
    <xf numFmtId="0" fontId="8" fillId="0" borderId="22" xfId="18" applyNumberFormat="1" applyFont="1" applyFill="1" applyBorder="1" applyAlignment="1" applyProtection="1">
      <alignment horizontal="centerContinuous" vertical="center" wrapText="1"/>
    </xf>
    <xf numFmtId="178" fontId="8" fillId="0" borderId="20" xfId="18" applyNumberFormat="1" applyFont="1" applyFill="1" applyBorder="1" applyAlignment="1" applyProtection="1">
      <alignment vertical="center"/>
    </xf>
    <xf numFmtId="0" fontId="8" fillId="0" borderId="20" xfId="18" applyNumberFormat="1" applyFont="1" applyFill="1" applyBorder="1" applyAlignment="1" applyProtection="1">
      <alignment horizontal="center" vertical="center" wrapText="1"/>
    </xf>
    <xf numFmtId="0" fontId="8" fillId="0" borderId="22" xfId="18" applyNumberFormat="1" applyFont="1" applyFill="1" applyBorder="1" applyAlignment="1" applyProtection="1">
      <alignment horizontal="center" vertical="center" wrapText="1"/>
    </xf>
    <xf numFmtId="49" fontId="8" fillId="0" borderId="3" xfId="18" applyNumberFormat="1" applyFont="1" applyFill="1" applyBorder="1" applyAlignment="1" applyProtection="1">
      <alignment horizontal="center" vertical="center" wrapText="1"/>
      <protection locked="0"/>
    </xf>
    <xf numFmtId="178" fontId="8" fillId="0" borderId="3" xfId="18" applyNumberFormat="1" applyFont="1" applyFill="1" applyBorder="1" applyAlignment="1" applyProtection="1">
      <alignment vertical="center"/>
      <protection locked="0"/>
    </xf>
    <xf numFmtId="0" fontId="8" fillId="0" borderId="3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18" applyNumberFormat="1" applyFont="1" applyFill="1" applyBorder="1" applyAlignment="1" applyProtection="1">
      <alignment horizontal="center" vertical="center" wrapText="1"/>
    </xf>
    <xf numFmtId="49" fontId="8" fillId="0" borderId="2" xfId="18" applyNumberFormat="1" applyFont="1" applyFill="1" applyBorder="1" applyAlignment="1" applyProtection="1">
      <alignment horizontal="center" vertical="center" wrapText="1"/>
      <protection locked="0"/>
    </xf>
    <xf numFmtId="178" fontId="8" fillId="0" borderId="2" xfId="18" applyNumberFormat="1" applyFont="1" applyFill="1" applyBorder="1" applyAlignment="1" applyProtection="1">
      <alignment vertical="center"/>
      <protection locked="0"/>
    </xf>
    <xf numFmtId="0" fontId="8" fillId="0" borderId="2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8" applyNumberFormat="1" applyFont="1" applyFill="1" applyBorder="1" applyAlignment="1" applyProtection="1">
      <alignment horizontal="center" vertical="center" wrapText="1"/>
    </xf>
    <xf numFmtId="49" fontId="8" fillId="0" borderId="5" xfId="18" applyNumberFormat="1" applyFont="1" applyFill="1" applyBorder="1" applyAlignment="1" applyProtection="1">
      <alignment horizontal="center" vertical="center" wrapText="1"/>
      <protection locked="0"/>
    </xf>
    <xf numFmtId="178" fontId="8" fillId="0" borderId="5" xfId="18" applyNumberFormat="1" applyFont="1" applyFill="1" applyBorder="1" applyAlignment="1" applyProtection="1">
      <alignment horizontal="right" vertical="center"/>
      <protection locked="0"/>
    </xf>
    <xf numFmtId="0" fontId="8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7" xfId="18" applyNumberFormat="1" applyFont="1" applyFill="1" applyBorder="1" applyAlignment="1" applyProtection="1">
      <alignment horizontal="center" vertical="center" wrapText="1"/>
    </xf>
    <xf numFmtId="178" fontId="8" fillId="0" borderId="3" xfId="18" applyNumberFormat="1" applyFont="1" applyFill="1" applyBorder="1" applyAlignment="1" applyProtection="1">
      <alignment horizontal="right" vertical="center"/>
      <protection locked="0"/>
    </xf>
    <xf numFmtId="178" fontId="8" fillId="0" borderId="20" xfId="18" applyNumberFormat="1" applyFont="1" applyFill="1" applyBorder="1" applyAlignment="1" applyProtection="1">
      <alignment horizontal="right" vertical="center"/>
    </xf>
    <xf numFmtId="49" fontId="8" fillId="0" borderId="0" xfId="18" applyNumberFormat="1" applyFont="1" applyFill="1"/>
    <xf numFmtId="0" fontId="8" fillId="0" borderId="0" xfId="18" applyFont="1" applyFill="1" applyAlignment="1">
      <alignment horizontal="right" vertical="center"/>
    </xf>
    <xf numFmtId="0" fontId="8" fillId="0" borderId="0" xfId="18" applyFont="1" applyFill="1" applyBorder="1"/>
    <xf numFmtId="49" fontId="14" fillId="0" borderId="0" xfId="0" applyNumberFormat="1" applyFont="1" applyFill="1" applyBorder="1" applyAlignment="1">
      <alignment horizontal="left" vertical="center"/>
    </xf>
    <xf numFmtId="0" fontId="13" fillId="0" borderId="14" xfId="18" applyNumberFormat="1" applyFont="1" applyFill="1" applyBorder="1" applyAlignment="1" applyProtection="1">
      <alignment horizontal="centerContinuous" vertical="center" wrapText="1"/>
    </xf>
    <xf numFmtId="178" fontId="13" fillId="0" borderId="20" xfId="18" applyNumberFormat="1" applyFont="1" applyFill="1" applyBorder="1" applyAlignment="1" applyProtection="1">
      <alignment vertical="center"/>
    </xf>
    <xf numFmtId="178" fontId="13" fillId="0" borderId="14" xfId="18" applyNumberFormat="1" applyFont="1" applyFill="1" applyBorder="1" applyAlignment="1" applyProtection="1">
      <alignment vertical="center"/>
    </xf>
    <xf numFmtId="0" fontId="13" fillId="0" borderId="14" xfId="18" applyNumberFormat="1" applyFont="1" applyFill="1" applyBorder="1" applyAlignment="1" applyProtection="1">
      <alignment horizontal="center" vertical="center" wrapText="1"/>
    </xf>
    <xf numFmtId="0" fontId="19" fillId="0" borderId="3" xfId="18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18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1" fontId="13" fillId="0" borderId="0" xfId="15" applyFont="1" applyFill="1" applyBorder="1" applyAlignment="1">
      <alignment horizontal="right" vertical="center"/>
    </xf>
    <xf numFmtId="178" fontId="13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178" fontId="13" fillId="0" borderId="3" xfId="18" applyNumberFormat="1" applyFont="1" applyFill="1" applyBorder="1" applyAlignment="1" applyProtection="1">
      <alignment horizontal="center" vertical="center" wrapText="1"/>
      <protection locked="0"/>
    </xf>
    <xf numFmtId="41" fontId="22" fillId="0" borderId="3" xfId="15" applyFont="1" applyFill="1" applyBorder="1" applyAlignment="1">
      <alignment horizontal="center" vertical="center" wrapText="1"/>
    </xf>
    <xf numFmtId="0" fontId="15" fillId="0" borderId="0" xfId="18" applyFont="1" applyFill="1" applyBorder="1" applyAlignment="1" applyProtection="1">
      <alignment horizontal="center" wrapText="1"/>
    </xf>
    <xf numFmtId="0" fontId="0" fillId="0" borderId="0" xfId="0" applyFill="1" applyAlignment="1">
      <alignment wrapText="1"/>
    </xf>
    <xf numFmtId="0" fontId="17" fillId="0" borderId="24" xfId="18" applyFont="1" applyFill="1" applyBorder="1" applyAlignment="1" applyProtection="1">
      <alignment horizontal="center" vertical="center" wrapText="1"/>
    </xf>
    <xf numFmtId="0" fontId="17" fillId="0" borderId="25" xfId="18" applyFont="1" applyFill="1" applyBorder="1" applyAlignment="1" applyProtection="1">
      <alignment horizontal="center" vertical="center" wrapText="1"/>
    </xf>
    <xf numFmtId="0" fontId="17" fillId="0" borderId="26" xfId="18" applyFont="1" applyFill="1" applyBorder="1" applyAlignment="1" applyProtection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/>
    </xf>
    <xf numFmtId="185" fontId="17" fillId="0" borderId="3" xfId="15" applyNumberFormat="1" applyFont="1" applyFill="1" applyBorder="1" applyAlignment="1" applyProtection="1">
      <alignment horizontal="center" vertical="center"/>
    </xf>
    <xf numFmtId="0" fontId="17" fillId="0" borderId="3" xfId="18" applyFont="1" applyFill="1" applyBorder="1" applyAlignment="1" applyProtection="1">
      <alignment horizontal="center" vertical="center" wrapText="1"/>
    </xf>
    <xf numFmtId="0" fontId="17" fillId="0" borderId="3" xfId="18" applyFont="1" applyFill="1" applyBorder="1" applyAlignment="1" applyProtection="1">
      <alignment horizontal="center" vertical="center"/>
    </xf>
    <xf numFmtId="0" fontId="17" fillId="0" borderId="15" xfId="18" applyFont="1" applyFill="1" applyBorder="1" applyAlignment="1" applyProtection="1">
      <alignment horizontal="center" vertical="center" wrapText="1"/>
    </xf>
    <xf numFmtId="0" fontId="17" fillId="0" borderId="27" xfId="18" applyFont="1" applyFill="1" applyBorder="1" applyAlignment="1" applyProtection="1">
      <alignment horizontal="center" vertical="center" wrapText="1"/>
    </xf>
    <xf numFmtId="186" fontId="17" fillId="0" borderId="3" xfId="18" applyNumberFormat="1" applyFont="1" applyFill="1" applyBorder="1" applyAlignment="1" applyProtection="1">
      <alignment horizontal="center" vertical="center"/>
    </xf>
    <xf numFmtId="49" fontId="5" fillId="0" borderId="9" xfId="18" applyNumberFormat="1" applyFont="1" applyFill="1" applyBorder="1" applyAlignment="1" applyProtection="1">
      <alignment horizontal="center" vertical="center" wrapText="1"/>
    </xf>
    <xf numFmtId="49" fontId="5" fillId="0" borderId="14" xfId="18" applyNumberFormat="1" applyFont="1" applyFill="1" applyBorder="1" applyAlignment="1" applyProtection="1">
      <alignment horizontal="center" vertical="center" wrapText="1"/>
    </xf>
    <xf numFmtId="0" fontId="5" fillId="0" borderId="9" xfId="18" applyFont="1" applyFill="1" applyBorder="1" applyAlignment="1" applyProtection="1">
      <alignment horizontal="center" vertical="center" wrapText="1"/>
    </xf>
    <xf numFmtId="0" fontId="5" fillId="0" borderId="14" xfId="18" applyFont="1" applyFill="1" applyBorder="1" applyAlignment="1" applyProtection="1">
      <alignment horizontal="center" vertical="center" wrapText="1"/>
    </xf>
    <xf numFmtId="0" fontId="5" fillId="0" borderId="28" xfId="18" applyFont="1" applyFill="1" applyBorder="1" applyAlignment="1" applyProtection="1">
      <alignment horizontal="center" vertical="center" wrapText="1"/>
    </xf>
    <xf numFmtId="0" fontId="5" fillId="0" borderId="29" xfId="18" applyFont="1" applyFill="1" applyBorder="1" applyAlignment="1" applyProtection="1">
      <alignment horizontal="center" vertical="center" wrapText="1"/>
    </xf>
    <xf numFmtId="0" fontId="5" fillId="0" borderId="30" xfId="18" applyFont="1" applyFill="1" applyBorder="1" applyAlignment="1" applyProtection="1">
      <alignment horizontal="center" vertical="center"/>
    </xf>
    <xf numFmtId="0" fontId="5" fillId="0" borderId="23" xfId="18" applyFont="1" applyFill="1" applyBorder="1" applyAlignment="1" applyProtection="1">
      <alignment horizontal="center" vertical="center"/>
    </xf>
  </cellXfs>
  <cellStyles count="19">
    <cellStyle name="Comma" xfId="1"/>
    <cellStyle name="Comma [0]_ SG&amp;A Bridge " xfId="2"/>
    <cellStyle name="Comma_ SG&amp;A Bridge " xfId="3"/>
    <cellStyle name="Currency" xfId="4"/>
    <cellStyle name="Currency [0]_ SG&amp;A Bridge " xfId="5"/>
    <cellStyle name="Currency_ SG&amp;A Bridge " xfId="6"/>
    <cellStyle name="Date" xfId="7"/>
    <cellStyle name="Fixed" xfId="8"/>
    <cellStyle name="Heading1" xfId="9"/>
    <cellStyle name="Heading2" xfId="10"/>
    <cellStyle name="Normal_ SG&amp;A Bridge " xfId="11"/>
    <cellStyle name="Percent" xfId="12"/>
    <cellStyle name="Total" xfId="13"/>
    <cellStyle name="뷭?_BOOKSHIP" xfId="14"/>
    <cellStyle name="쉼표 [0]" xfId="15" builtinId="6"/>
    <cellStyle name="콤마 [0]_1202" xfId="16"/>
    <cellStyle name="콤마_1202" xfId="17"/>
    <cellStyle name="표준" xfId="0" builtinId="0"/>
    <cellStyle name="표준_용지조서(1)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0"/>
  <sheetViews>
    <sheetView showGridLines="0" showZeros="0" tabSelected="1" view="pageBreakPreview" zoomScale="115" zoomScaleNormal="100" zoomScaleSheetLayoutView="115" workbookViewId="0">
      <pane ySplit="5" topLeftCell="A6" activePane="bottomLeft" state="frozen"/>
      <selection activeCell="Y10" sqref="Y10"/>
      <selection pane="bottomLeft" activeCell="M195" sqref="M195"/>
    </sheetView>
  </sheetViews>
  <sheetFormatPr defaultRowHeight="11.25"/>
  <cols>
    <col min="1" max="1" width="3.88671875" style="56" customWidth="1"/>
    <col min="2" max="2" width="15.44140625" style="56" bestFit="1" customWidth="1"/>
    <col min="3" max="4" width="5.77734375" style="98" customWidth="1"/>
    <col min="5" max="5" width="3.77734375" style="56" customWidth="1"/>
    <col min="6" max="6" width="7.21875" style="122" customWidth="1"/>
    <col min="7" max="8" width="6.77734375" style="130" customWidth="1"/>
    <col min="9" max="9" width="4" style="122" hidden="1" customWidth="1"/>
    <col min="10" max="10" width="5.21875" style="56" hidden="1" customWidth="1"/>
    <col min="11" max="11" width="5.77734375" style="101" customWidth="1"/>
    <col min="12" max="12" width="11.6640625" style="101" customWidth="1"/>
    <col min="13" max="13" width="5.77734375" style="101" customWidth="1"/>
    <col min="14" max="14" width="11.6640625" style="101" customWidth="1"/>
    <col min="15" max="15" width="5.21875" style="101" customWidth="1"/>
    <col min="16" max="17" width="8.6640625" style="101" customWidth="1"/>
    <col min="18" max="18" width="6.88671875" style="56" customWidth="1"/>
    <col min="19" max="16384" width="8.88671875" style="56"/>
  </cols>
  <sheetData>
    <row r="1" spans="1:18" ht="42" customHeight="1">
      <c r="A1" s="213" t="s">
        <v>1913</v>
      </c>
      <c r="B1" s="213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ht="19.899999999999999" customHeight="1">
      <c r="A2" s="80"/>
      <c r="B2" s="80"/>
      <c r="C2" s="81"/>
      <c r="D2" s="81"/>
      <c r="E2" s="80"/>
      <c r="F2" s="118"/>
      <c r="G2" s="128"/>
      <c r="H2" s="128"/>
      <c r="I2" s="118"/>
      <c r="J2" s="80"/>
      <c r="K2" s="84"/>
      <c r="L2" s="84"/>
      <c r="M2" s="84"/>
      <c r="N2" s="84"/>
      <c r="O2" s="116"/>
      <c r="P2" s="114"/>
      <c r="Q2" s="123"/>
      <c r="R2" s="76"/>
    </row>
    <row r="3" spans="1:18" ht="10.15" customHeight="1">
      <c r="A3" s="80"/>
      <c r="B3" s="80"/>
      <c r="C3" s="81"/>
      <c r="D3" s="81"/>
      <c r="E3" s="80"/>
      <c r="F3" s="118"/>
      <c r="G3" s="128"/>
      <c r="H3" s="128"/>
      <c r="I3" s="118"/>
      <c r="J3" s="80"/>
      <c r="K3" s="84"/>
      <c r="L3" s="84"/>
      <c r="M3" s="84"/>
      <c r="N3" s="84"/>
      <c r="O3" s="84"/>
      <c r="P3" s="84"/>
      <c r="Q3" s="84"/>
      <c r="R3" s="80"/>
    </row>
    <row r="4" spans="1:18" s="135" customFormat="1" ht="27" customHeight="1">
      <c r="A4" s="107" t="s">
        <v>31</v>
      </c>
      <c r="B4" s="222" t="s">
        <v>1415</v>
      </c>
      <c r="C4" s="218" t="s">
        <v>32</v>
      </c>
      <c r="D4" s="218"/>
      <c r="E4" s="220" t="s">
        <v>33</v>
      </c>
      <c r="F4" s="119" t="s">
        <v>34</v>
      </c>
      <c r="G4" s="219" t="s">
        <v>35</v>
      </c>
      <c r="H4" s="219"/>
      <c r="I4" s="124" t="s">
        <v>36</v>
      </c>
      <c r="J4" s="109"/>
      <c r="K4" s="215" t="s">
        <v>1229</v>
      </c>
      <c r="L4" s="216"/>
      <c r="M4" s="215" t="s">
        <v>1231</v>
      </c>
      <c r="N4" s="216"/>
      <c r="O4" s="215" t="s">
        <v>38</v>
      </c>
      <c r="P4" s="217"/>
      <c r="Q4" s="216"/>
      <c r="R4" s="221" t="s">
        <v>30</v>
      </c>
    </row>
    <row r="5" spans="1:18" s="135" customFormat="1" ht="27" customHeight="1">
      <c r="A5" s="107" t="s">
        <v>39</v>
      </c>
      <c r="B5" s="223"/>
      <c r="C5" s="106" t="s">
        <v>14</v>
      </c>
      <c r="D5" s="106" t="s">
        <v>60</v>
      </c>
      <c r="E5" s="220"/>
      <c r="F5" s="120" t="s">
        <v>63</v>
      </c>
      <c r="G5" s="129" t="s">
        <v>1232</v>
      </c>
      <c r="H5" s="129" t="s">
        <v>1234</v>
      </c>
      <c r="I5" s="119" t="s">
        <v>33</v>
      </c>
      <c r="J5" s="111" t="s">
        <v>40</v>
      </c>
      <c r="K5" s="107" t="s">
        <v>41</v>
      </c>
      <c r="L5" s="107" t="s">
        <v>42</v>
      </c>
      <c r="M5" s="107" t="s">
        <v>41</v>
      </c>
      <c r="N5" s="107" t="s">
        <v>42</v>
      </c>
      <c r="O5" s="107" t="s">
        <v>41</v>
      </c>
      <c r="P5" s="107" t="s">
        <v>42</v>
      </c>
      <c r="Q5" s="107" t="s">
        <v>43</v>
      </c>
      <c r="R5" s="221"/>
    </row>
    <row r="6" spans="1:18" ht="27" customHeight="1">
      <c r="A6" s="117">
        <v>1</v>
      </c>
      <c r="B6" s="117" t="s">
        <v>724</v>
      </c>
      <c r="C6" s="117" t="s">
        <v>70</v>
      </c>
      <c r="D6" s="117" t="s">
        <v>71</v>
      </c>
      <c r="E6" s="117" t="s">
        <v>3</v>
      </c>
      <c r="F6" s="117">
        <v>56</v>
      </c>
      <c r="G6" s="117">
        <v>17</v>
      </c>
      <c r="H6" s="117">
        <v>17</v>
      </c>
      <c r="I6" s="117"/>
      <c r="J6" s="117"/>
      <c r="K6" s="117" t="s">
        <v>17</v>
      </c>
      <c r="L6" s="117" t="s">
        <v>72</v>
      </c>
      <c r="M6" s="117" t="s">
        <v>17</v>
      </c>
      <c r="N6" s="117" t="s">
        <v>72</v>
      </c>
      <c r="O6" s="117"/>
      <c r="P6" s="117"/>
      <c r="Q6" s="117"/>
      <c r="R6" s="117"/>
    </row>
    <row r="7" spans="1:18" ht="27" customHeight="1">
      <c r="A7" s="117">
        <v>2</v>
      </c>
      <c r="B7" s="117" t="s">
        <v>724</v>
      </c>
      <c r="C7" s="117" t="s">
        <v>73</v>
      </c>
      <c r="D7" s="117" t="s">
        <v>73</v>
      </c>
      <c r="E7" s="117" t="s">
        <v>3</v>
      </c>
      <c r="F7" s="117">
        <v>12709</v>
      </c>
      <c r="G7" s="117">
        <v>434</v>
      </c>
      <c r="H7" s="117">
        <v>434</v>
      </c>
      <c r="I7" s="117"/>
      <c r="J7" s="117"/>
      <c r="K7" s="117" t="s">
        <v>17</v>
      </c>
      <c r="L7" s="117" t="s">
        <v>72</v>
      </c>
      <c r="M7" s="117" t="s">
        <v>17</v>
      </c>
      <c r="N7" s="117" t="s">
        <v>72</v>
      </c>
      <c r="O7" s="117"/>
      <c r="P7" s="117"/>
      <c r="Q7" s="117"/>
      <c r="R7" s="117"/>
    </row>
    <row r="8" spans="1:18" ht="27" customHeight="1">
      <c r="A8" s="117">
        <v>3</v>
      </c>
      <c r="B8" s="117" t="s">
        <v>724</v>
      </c>
      <c r="C8" s="117" t="s">
        <v>74</v>
      </c>
      <c r="D8" s="117" t="s">
        <v>75</v>
      </c>
      <c r="E8" s="117" t="s">
        <v>0</v>
      </c>
      <c r="F8" s="117">
        <v>64</v>
      </c>
      <c r="G8" s="117">
        <v>44</v>
      </c>
      <c r="H8" s="117">
        <v>44</v>
      </c>
      <c r="I8" s="117"/>
      <c r="J8" s="117"/>
      <c r="K8" s="117" t="s">
        <v>1914</v>
      </c>
      <c r="L8" s="117" t="s">
        <v>1236</v>
      </c>
      <c r="M8" s="117" t="s">
        <v>17</v>
      </c>
      <c r="N8" s="117" t="s">
        <v>18</v>
      </c>
      <c r="O8" s="117"/>
      <c r="P8" s="117"/>
      <c r="Q8" s="117"/>
      <c r="R8" s="117"/>
    </row>
    <row r="9" spans="1:18" ht="27" customHeight="1">
      <c r="A9" s="117">
        <v>4</v>
      </c>
      <c r="B9" s="117" t="s">
        <v>724</v>
      </c>
      <c r="C9" s="117" t="s">
        <v>76</v>
      </c>
      <c r="D9" s="117" t="s">
        <v>77</v>
      </c>
      <c r="E9" s="117" t="s">
        <v>2</v>
      </c>
      <c r="F9" s="117">
        <v>420</v>
      </c>
      <c r="G9" s="117">
        <v>380</v>
      </c>
      <c r="H9" s="117">
        <v>380</v>
      </c>
      <c r="I9" s="117"/>
      <c r="J9" s="117"/>
      <c r="K9" s="117" t="s">
        <v>17</v>
      </c>
      <c r="L9" s="117" t="s">
        <v>78</v>
      </c>
      <c r="M9" s="117" t="s">
        <v>17</v>
      </c>
      <c r="N9" s="117" t="s">
        <v>78</v>
      </c>
      <c r="O9" s="117"/>
      <c r="P9" s="117"/>
      <c r="Q9" s="117"/>
      <c r="R9" s="117"/>
    </row>
    <row r="10" spans="1:18" ht="27" customHeight="1">
      <c r="A10" s="117">
        <v>5</v>
      </c>
      <c r="B10" s="117" t="s">
        <v>724</v>
      </c>
      <c r="C10" s="117" t="s">
        <v>79</v>
      </c>
      <c r="D10" s="117" t="s">
        <v>80</v>
      </c>
      <c r="E10" s="117" t="s">
        <v>2</v>
      </c>
      <c r="F10" s="117">
        <v>59</v>
      </c>
      <c r="G10" s="117">
        <v>10</v>
      </c>
      <c r="H10" s="117">
        <v>10</v>
      </c>
      <c r="I10" s="117"/>
      <c r="J10" s="117"/>
      <c r="K10" s="117" t="s">
        <v>17</v>
      </c>
      <c r="L10" s="117" t="s">
        <v>78</v>
      </c>
      <c r="M10" s="117" t="s">
        <v>17</v>
      </c>
      <c r="N10" s="117" t="s">
        <v>78</v>
      </c>
      <c r="O10" s="117"/>
      <c r="P10" s="117"/>
      <c r="Q10" s="117"/>
      <c r="R10" s="117"/>
    </row>
    <row r="11" spans="1:18" ht="27" customHeight="1">
      <c r="A11" s="117">
        <v>6</v>
      </c>
      <c r="B11" s="117" t="s">
        <v>724</v>
      </c>
      <c r="C11" s="117" t="s">
        <v>81</v>
      </c>
      <c r="D11" s="117" t="s">
        <v>82</v>
      </c>
      <c r="E11" s="117" t="s">
        <v>3</v>
      </c>
      <c r="F11" s="117">
        <v>276</v>
      </c>
      <c r="G11" s="117">
        <v>107</v>
      </c>
      <c r="H11" s="117">
        <v>107</v>
      </c>
      <c r="I11" s="117"/>
      <c r="J11" s="117"/>
      <c r="K11" s="117" t="s">
        <v>17</v>
      </c>
      <c r="L11" s="117" t="s">
        <v>72</v>
      </c>
      <c r="M11" s="117" t="s">
        <v>17</v>
      </c>
      <c r="N11" s="117" t="s">
        <v>72</v>
      </c>
      <c r="O11" s="117"/>
      <c r="P11" s="117"/>
      <c r="Q11" s="117"/>
      <c r="R11" s="117"/>
    </row>
    <row r="12" spans="1:18" ht="27" customHeight="1">
      <c r="A12" s="117">
        <v>7</v>
      </c>
      <c r="B12" s="117" t="s">
        <v>724</v>
      </c>
      <c r="C12" s="117" t="s">
        <v>83</v>
      </c>
      <c r="D12" s="117" t="s">
        <v>84</v>
      </c>
      <c r="E12" s="117" t="s">
        <v>0</v>
      </c>
      <c r="F12" s="117">
        <v>513</v>
      </c>
      <c r="G12" s="117">
        <v>21</v>
      </c>
      <c r="H12" s="117">
        <v>21</v>
      </c>
      <c r="I12" s="117"/>
      <c r="J12" s="117"/>
      <c r="K12" s="117" t="s">
        <v>1915</v>
      </c>
      <c r="L12" s="117" t="s">
        <v>85</v>
      </c>
      <c r="M12" s="117" t="s">
        <v>17</v>
      </c>
      <c r="N12" s="117" t="s">
        <v>18</v>
      </c>
      <c r="O12" s="117"/>
      <c r="P12" s="117"/>
      <c r="Q12" s="117"/>
      <c r="R12" s="117"/>
    </row>
    <row r="13" spans="1:18" ht="27" customHeight="1">
      <c r="A13" s="117">
        <v>8</v>
      </c>
      <c r="B13" s="117" t="s">
        <v>724</v>
      </c>
      <c r="C13" s="117" t="s">
        <v>86</v>
      </c>
      <c r="D13" s="117" t="s">
        <v>86</v>
      </c>
      <c r="E13" s="117" t="s">
        <v>1347</v>
      </c>
      <c r="F13" s="117">
        <v>117</v>
      </c>
      <c r="G13" s="117">
        <v>117</v>
      </c>
      <c r="H13" s="117"/>
      <c r="I13" s="117"/>
      <c r="J13" s="117"/>
      <c r="K13" s="117" t="s">
        <v>17</v>
      </c>
      <c r="L13" s="117"/>
      <c r="M13" s="117" t="s">
        <v>17</v>
      </c>
      <c r="N13" s="117" t="s">
        <v>72</v>
      </c>
      <c r="O13" s="117"/>
      <c r="P13" s="117"/>
      <c r="Q13" s="117"/>
      <c r="R13" s="117" t="s">
        <v>1286</v>
      </c>
    </row>
    <row r="14" spans="1:18" ht="27" customHeight="1">
      <c r="A14" s="117">
        <v>9</v>
      </c>
      <c r="B14" s="117" t="s">
        <v>724</v>
      </c>
      <c r="C14" s="117" t="s">
        <v>87</v>
      </c>
      <c r="D14" s="117" t="s">
        <v>87</v>
      </c>
      <c r="E14" s="117" t="s">
        <v>2</v>
      </c>
      <c r="F14" s="117">
        <v>15</v>
      </c>
      <c r="G14" s="117">
        <v>15</v>
      </c>
      <c r="H14" s="117">
        <v>15</v>
      </c>
      <c r="I14" s="117"/>
      <c r="J14" s="117"/>
      <c r="K14" s="117" t="s">
        <v>17</v>
      </c>
      <c r="L14" s="117"/>
      <c r="M14" s="117" t="s">
        <v>17</v>
      </c>
      <c r="N14" s="117" t="s">
        <v>72</v>
      </c>
      <c r="O14" s="117"/>
      <c r="P14" s="117"/>
      <c r="Q14" s="117"/>
      <c r="R14" s="117"/>
    </row>
    <row r="15" spans="1:18" ht="27" customHeight="1">
      <c r="A15" s="117">
        <v>10</v>
      </c>
      <c r="B15" s="117" t="s">
        <v>724</v>
      </c>
      <c r="C15" s="117" t="s">
        <v>88</v>
      </c>
      <c r="D15" s="117" t="s">
        <v>88</v>
      </c>
      <c r="E15" s="117" t="s">
        <v>2</v>
      </c>
      <c r="F15" s="117">
        <v>10</v>
      </c>
      <c r="G15" s="117">
        <v>10</v>
      </c>
      <c r="H15" s="117">
        <v>10</v>
      </c>
      <c r="I15" s="117"/>
      <c r="J15" s="117"/>
      <c r="K15" s="117" t="s">
        <v>17</v>
      </c>
      <c r="L15" s="117"/>
      <c r="M15" s="117" t="s">
        <v>17</v>
      </c>
      <c r="N15" s="117" t="s">
        <v>72</v>
      </c>
      <c r="O15" s="117"/>
      <c r="P15" s="117"/>
      <c r="Q15" s="117"/>
      <c r="R15" s="117"/>
    </row>
    <row r="16" spans="1:18" ht="27" customHeight="1">
      <c r="A16" s="117">
        <v>11</v>
      </c>
      <c r="B16" s="117" t="s">
        <v>724</v>
      </c>
      <c r="C16" s="117" t="s">
        <v>89</v>
      </c>
      <c r="D16" s="117" t="s">
        <v>89</v>
      </c>
      <c r="E16" s="117" t="s">
        <v>3</v>
      </c>
      <c r="F16" s="117">
        <v>146</v>
      </c>
      <c r="G16" s="117">
        <v>63</v>
      </c>
      <c r="H16" s="117">
        <v>145</v>
      </c>
      <c r="I16" s="117"/>
      <c r="J16" s="117"/>
      <c r="K16" s="117" t="s">
        <v>17</v>
      </c>
      <c r="L16" s="117"/>
      <c r="M16" s="117" t="s">
        <v>17</v>
      </c>
      <c r="N16" s="117" t="s">
        <v>72</v>
      </c>
      <c r="O16" s="117"/>
      <c r="P16" s="117"/>
      <c r="Q16" s="117"/>
      <c r="R16" s="117" t="s">
        <v>1287</v>
      </c>
    </row>
    <row r="17" spans="1:20" ht="27" customHeight="1">
      <c r="A17" s="117">
        <v>12</v>
      </c>
      <c r="B17" s="117" t="s">
        <v>724</v>
      </c>
      <c r="C17" s="117" t="s">
        <v>90</v>
      </c>
      <c r="D17" s="117" t="s">
        <v>90</v>
      </c>
      <c r="E17" s="117" t="s">
        <v>1348</v>
      </c>
      <c r="F17" s="117">
        <v>86</v>
      </c>
      <c r="G17" s="117">
        <v>82</v>
      </c>
      <c r="H17" s="117"/>
      <c r="I17" s="117"/>
      <c r="J17" s="117"/>
      <c r="K17" s="117" t="s">
        <v>17</v>
      </c>
      <c r="L17" s="117" t="s">
        <v>72</v>
      </c>
      <c r="M17" s="117" t="s">
        <v>17</v>
      </c>
      <c r="N17" s="117" t="s">
        <v>72</v>
      </c>
      <c r="O17" s="117"/>
      <c r="P17" s="117"/>
      <c r="Q17" s="117"/>
      <c r="R17" s="117" t="s">
        <v>1287</v>
      </c>
    </row>
    <row r="18" spans="1:20" ht="27" customHeight="1">
      <c r="A18" s="117">
        <v>13</v>
      </c>
      <c r="B18" s="117" t="s">
        <v>724</v>
      </c>
      <c r="C18" s="117" t="s">
        <v>91</v>
      </c>
      <c r="D18" s="117" t="s">
        <v>92</v>
      </c>
      <c r="E18" s="117" t="s">
        <v>93</v>
      </c>
      <c r="F18" s="117">
        <v>337</v>
      </c>
      <c r="G18" s="117">
        <v>146</v>
      </c>
      <c r="H18" s="117">
        <v>146</v>
      </c>
      <c r="I18" s="117"/>
      <c r="J18" s="117"/>
      <c r="K18" s="117" t="s">
        <v>17</v>
      </c>
      <c r="L18" s="117" t="s">
        <v>72</v>
      </c>
      <c r="M18" s="117" t="s">
        <v>17</v>
      </c>
      <c r="N18" s="117" t="s">
        <v>72</v>
      </c>
      <c r="O18" s="117"/>
      <c r="P18" s="117"/>
      <c r="Q18" s="117"/>
      <c r="R18" s="117"/>
    </row>
    <row r="19" spans="1:20" ht="27" customHeight="1">
      <c r="A19" s="117">
        <v>14</v>
      </c>
      <c r="B19" s="117" t="s">
        <v>724</v>
      </c>
      <c r="C19" s="117" t="s">
        <v>94</v>
      </c>
      <c r="D19" s="117" t="s">
        <v>95</v>
      </c>
      <c r="E19" s="117" t="s">
        <v>0</v>
      </c>
      <c r="F19" s="117">
        <v>2163</v>
      </c>
      <c r="G19" s="117">
        <v>556</v>
      </c>
      <c r="H19" s="117">
        <v>556</v>
      </c>
      <c r="I19" s="117"/>
      <c r="J19" s="117"/>
      <c r="K19" s="117" t="s">
        <v>1916</v>
      </c>
      <c r="L19" s="117" t="s">
        <v>96</v>
      </c>
      <c r="M19" s="117" t="s">
        <v>17</v>
      </c>
      <c r="N19" s="117" t="s">
        <v>18</v>
      </c>
      <c r="O19" s="117"/>
      <c r="P19" s="117"/>
      <c r="Q19" s="117"/>
      <c r="R19" s="117"/>
    </row>
    <row r="20" spans="1:20" ht="27" customHeight="1">
      <c r="A20" s="117">
        <v>15</v>
      </c>
      <c r="B20" s="117" t="s">
        <v>724</v>
      </c>
      <c r="C20" s="117" t="s">
        <v>67</v>
      </c>
      <c r="D20" s="117" t="s">
        <v>67</v>
      </c>
      <c r="E20" s="117" t="s">
        <v>3</v>
      </c>
      <c r="F20" s="117">
        <v>249</v>
      </c>
      <c r="G20" s="117">
        <v>249</v>
      </c>
      <c r="H20" s="117">
        <v>249</v>
      </c>
      <c r="I20" s="117"/>
      <c r="J20" s="117"/>
      <c r="K20" s="117" t="s">
        <v>17</v>
      </c>
      <c r="L20" s="117" t="s">
        <v>78</v>
      </c>
      <c r="M20" s="117" t="s">
        <v>17</v>
      </c>
      <c r="N20" s="117" t="s">
        <v>78</v>
      </c>
      <c r="O20" s="117"/>
      <c r="P20" s="117"/>
      <c r="Q20" s="117"/>
      <c r="R20" s="117"/>
    </row>
    <row r="21" spans="1:20" ht="27" customHeight="1">
      <c r="A21" s="117">
        <v>16</v>
      </c>
      <c r="B21" s="117" t="s">
        <v>724</v>
      </c>
      <c r="C21" s="117" t="s">
        <v>97</v>
      </c>
      <c r="D21" s="117" t="s">
        <v>97</v>
      </c>
      <c r="E21" s="117" t="s">
        <v>3</v>
      </c>
      <c r="F21" s="117">
        <v>177</v>
      </c>
      <c r="G21" s="117">
        <v>177</v>
      </c>
      <c r="H21" s="117">
        <v>177</v>
      </c>
      <c r="I21" s="117"/>
      <c r="J21" s="117"/>
      <c r="K21" s="117" t="s">
        <v>17</v>
      </c>
      <c r="L21" s="117"/>
      <c r="M21" s="117" t="s">
        <v>17</v>
      </c>
      <c r="N21" s="117" t="s">
        <v>72</v>
      </c>
      <c r="O21" s="117"/>
      <c r="P21" s="117"/>
      <c r="Q21" s="117"/>
      <c r="R21" s="117"/>
    </row>
    <row r="22" spans="1:20" ht="27" customHeight="1">
      <c r="A22" s="117">
        <v>17</v>
      </c>
      <c r="B22" s="117" t="s">
        <v>724</v>
      </c>
      <c r="C22" s="117" t="s">
        <v>98</v>
      </c>
      <c r="D22" s="117" t="s">
        <v>98</v>
      </c>
      <c r="E22" s="117" t="s">
        <v>0</v>
      </c>
      <c r="F22" s="117">
        <v>311</v>
      </c>
      <c r="G22" s="117">
        <v>311</v>
      </c>
      <c r="H22" s="117">
        <v>311</v>
      </c>
      <c r="I22" s="117"/>
      <c r="J22" s="117"/>
      <c r="K22" s="117" t="s">
        <v>1917</v>
      </c>
      <c r="L22" s="117" t="s">
        <v>99</v>
      </c>
      <c r="M22" s="117" t="s">
        <v>17</v>
      </c>
      <c r="N22" s="117" t="s">
        <v>18</v>
      </c>
      <c r="O22" s="117"/>
      <c r="P22" s="117"/>
      <c r="Q22" s="117"/>
      <c r="R22" s="117"/>
    </row>
    <row r="23" spans="1:20" ht="27" customHeight="1">
      <c r="A23" s="117">
        <v>18</v>
      </c>
      <c r="B23" s="117" t="s">
        <v>724</v>
      </c>
      <c r="C23" s="117" t="s">
        <v>100</v>
      </c>
      <c r="D23" s="117" t="s">
        <v>100</v>
      </c>
      <c r="E23" s="117" t="s">
        <v>3</v>
      </c>
      <c r="F23" s="117">
        <v>232</v>
      </c>
      <c r="G23" s="117">
        <v>232</v>
      </c>
      <c r="H23" s="117">
        <v>232</v>
      </c>
      <c r="I23" s="117"/>
      <c r="J23" s="117"/>
      <c r="K23" s="117" t="s">
        <v>17</v>
      </c>
      <c r="L23" s="117"/>
      <c r="M23" s="117" t="s">
        <v>17</v>
      </c>
      <c r="N23" s="117" t="s">
        <v>72</v>
      </c>
      <c r="O23" s="117"/>
      <c r="P23" s="117"/>
      <c r="Q23" s="117"/>
      <c r="R23" s="117"/>
    </row>
    <row r="24" spans="1:20" ht="27" customHeight="1">
      <c r="A24" s="117">
        <v>19</v>
      </c>
      <c r="B24" s="117" t="s">
        <v>724</v>
      </c>
      <c r="C24" s="117" t="s">
        <v>101</v>
      </c>
      <c r="D24" s="117" t="s">
        <v>102</v>
      </c>
      <c r="E24" s="117" t="s">
        <v>6</v>
      </c>
      <c r="F24" s="117">
        <v>223</v>
      </c>
      <c r="G24" s="117">
        <v>196</v>
      </c>
      <c r="H24" s="117">
        <v>196</v>
      </c>
      <c r="I24" s="117"/>
      <c r="J24" s="117"/>
      <c r="K24" s="117" t="s">
        <v>1918</v>
      </c>
      <c r="L24" s="117" t="s">
        <v>103</v>
      </c>
      <c r="M24" s="117" t="s">
        <v>17</v>
      </c>
      <c r="N24" s="117" t="s">
        <v>18</v>
      </c>
      <c r="O24" s="117"/>
      <c r="P24" s="117"/>
      <c r="Q24" s="117"/>
      <c r="R24" s="117"/>
    </row>
    <row r="25" spans="1:20" ht="27" customHeight="1">
      <c r="A25" s="117">
        <v>20</v>
      </c>
      <c r="B25" s="117" t="s">
        <v>724</v>
      </c>
      <c r="C25" s="117" t="s">
        <v>104</v>
      </c>
      <c r="D25" s="117" t="s">
        <v>105</v>
      </c>
      <c r="E25" s="117" t="s">
        <v>11</v>
      </c>
      <c r="F25" s="117">
        <v>256</v>
      </c>
      <c r="G25" s="117">
        <v>148</v>
      </c>
      <c r="H25" s="117">
        <v>148</v>
      </c>
      <c r="I25" s="117"/>
      <c r="J25" s="117"/>
      <c r="K25" s="117" t="s">
        <v>1919</v>
      </c>
      <c r="L25" s="117" t="s">
        <v>106</v>
      </c>
      <c r="M25" s="117" t="s">
        <v>17</v>
      </c>
      <c r="N25" s="117" t="s">
        <v>18</v>
      </c>
      <c r="O25" s="117"/>
      <c r="P25" s="117"/>
      <c r="Q25" s="117"/>
      <c r="R25" s="117"/>
      <c r="S25" s="126"/>
      <c r="T25" s="126"/>
    </row>
    <row r="26" spans="1:20" ht="27" customHeight="1">
      <c r="A26" s="117">
        <v>21</v>
      </c>
      <c r="B26" s="117" t="s">
        <v>724</v>
      </c>
      <c r="C26" s="117" t="s">
        <v>107</v>
      </c>
      <c r="D26" s="117" t="s">
        <v>107</v>
      </c>
      <c r="E26" s="117" t="s">
        <v>11</v>
      </c>
      <c r="F26" s="117">
        <v>76</v>
      </c>
      <c r="G26" s="117">
        <v>76</v>
      </c>
      <c r="H26" s="117">
        <v>76</v>
      </c>
      <c r="I26" s="117"/>
      <c r="J26" s="117"/>
      <c r="K26" s="117" t="s">
        <v>1920</v>
      </c>
      <c r="L26" s="117" t="s">
        <v>152</v>
      </c>
      <c r="M26" s="117" t="s">
        <v>17</v>
      </c>
      <c r="N26" s="117" t="s">
        <v>18</v>
      </c>
      <c r="O26" s="117"/>
      <c r="P26" s="117"/>
      <c r="Q26" s="117"/>
      <c r="R26" s="117"/>
      <c r="S26" s="126"/>
      <c r="T26" s="126"/>
    </row>
    <row r="27" spans="1:20" ht="27" customHeight="1">
      <c r="A27" s="117">
        <v>22</v>
      </c>
      <c r="B27" s="117" t="s">
        <v>724</v>
      </c>
      <c r="C27" s="117" t="s">
        <v>108</v>
      </c>
      <c r="D27" s="117" t="s">
        <v>109</v>
      </c>
      <c r="E27" s="117" t="s">
        <v>11</v>
      </c>
      <c r="F27" s="117">
        <v>174</v>
      </c>
      <c r="G27" s="117">
        <v>148</v>
      </c>
      <c r="H27" s="117">
        <v>148</v>
      </c>
      <c r="I27" s="117"/>
      <c r="J27" s="117"/>
      <c r="K27" s="117" t="s">
        <v>1921</v>
      </c>
      <c r="L27" s="117" t="s">
        <v>110</v>
      </c>
      <c r="M27" s="117" t="s">
        <v>17</v>
      </c>
      <c r="N27" s="117" t="s">
        <v>18</v>
      </c>
      <c r="O27" s="117"/>
      <c r="P27" s="117"/>
      <c r="Q27" s="117"/>
      <c r="R27" s="117"/>
    </row>
    <row r="28" spans="1:20" ht="27" customHeight="1">
      <c r="A28" s="117">
        <v>23</v>
      </c>
      <c r="B28" s="117" t="s">
        <v>724</v>
      </c>
      <c r="C28" s="117" t="s">
        <v>111</v>
      </c>
      <c r="D28" s="117" t="s">
        <v>111</v>
      </c>
      <c r="E28" s="117" t="s">
        <v>3</v>
      </c>
      <c r="F28" s="117">
        <v>110</v>
      </c>
      <c r="G28" s="117">
        <v>110</v>
      </c>
      <c r="H28" s="117">
        <v>110</v>
      </c>
      <c r="I28" s="117"/>
      <c r="J28" s="117"/>
      <c r="K28" s="117" t="s">
        <v>17</v>
      </c>
      <c r="L28" s="117" t="s">
        <v>72</v>
      </c>
      <c r="M28" s="117" t="s">
        <v>17</v>
      </c>
      <c r="N28" s="117" t="s">
        <v>72</v>
      </c>
      <c r="O28" s="117"/>
      <c r="P28" s="117"/>
      <c r="Q28" s="117"/>
      <c r="R28" s="117"/>
    </row>
    <row r="29" spans="1:20" ht="27" customHeight="1">
      <c r="A29" s="117">
        <v>24</v>
      </c>
      <c r="B29" s="117" t="s">
        <v>724</v>
      </c>
      <c r="C29" s="117" t="s">
        <v>112</v>
      </c>
      <c r="D29" s="117" t="s">
        <v>112</v>
      </c>
      <c r="E29" s="117" t="s">
        <v>3</v>
      </c>
      <c r="F29" s="117">
        <v>3</v>
      </c>
      <c r="G29" s="117">
        <v>3</v>
      </c>
      <c r="H29" s="117">
        <v>3</v>
      </c>
      <c r="I29" s="117"/>
      <c r="J29" s="117"/>
      <c r="K29" s="117" t="s">
        <v>17</v>
      </c>
      <c r="L29" s="117" t="s">
        <v>72</v>
      </c>
      <c r="M29" s="117" t="s">
        <v>17</v>
      </c>
      <c r="N29" s="117" t="s">
        <v>72</v>
      </c>
      <c r="O29" s="117"/>
      <c r="P29" s="117"/>
      <c r="Q29" s="117"/>
      <c r="R29" s="117"/>
    </row>
    <row r="30" spans="1:20" ht="27" customHeight="1">
      <c r="A30" s="117">
        <v>25</v>
      </c>
      <c r="B30" s="117" t="s">
        <v>724</v>
      </c>
      <c r="C30" s="117" t="s">
        <v>113</v>
      </c>
      <c r="D30" s="117" t="s">
        <v>113</v>
      </c>
      <c r="E30" s="117" t="s">
        <v>3</v>
      </c>
      <c r="F30" s="117">
        <v>346</v>
      </c>
      <c r="G30" s="117">
        <v>346</v>
      </c>
      <c r="H30" s="117">
        <v>346</v>
      </c>
      <c r="I30" s="117"/>
      <c r="J30" s="117"/>
      <c r="K30" s="117" t="s">
        <v>17</v>
      </c>
      <c r="L30" s="117"/>
      <c r="M30" s="117" t="s">
        <v>17</v>
      </c>
      <c r="N30" s="117" t="s">
        <v>72</v>
      </c>
      <c r="O30" s="117"/>
      <c r="P30" s="117"/>
      <c r="Q30" s="117"/>
      <c r="R30" s="117"/>
    </row>
    <row r="31" spans="1:20" ht="27" customHeight="1">
      <c r="A31" s="117">
        <v>26</v>
      </c>
      <c r="B31" s="117" t="s">
        <v>724</v>
      </c>
      <c r="C31" s="117" t="s">
        <v>114</v>
      </c>
      <c r="D31" s="117" t="s">
        <v>114</v>
      </c>
      <c r="E31" s="117" t="s">
        <v>3</v>
      </c>
      <c r="F31" s="117">
        <v>149</v>
      </c>
      <c r="G31" s="117">
        <v>149</v>
      </c>
      <c r="H31" s="117">
        <v>149</v>
      </c>
      <c r="I31" s="117"/>
      <c r="J31" s="117"/>
      <c r="K31" s="117" t="s">
        <v>17</v>
      </c>
      <c r="L31" s="117" t="s">
        <v>78</v>
      </c>
      <c r="M31" s="117" t="s">
        <v>17</v>
      </c>
      <c r="N31" s="117" t="s">
        <v>78</v>
      </c>
      <c r="O31" s="117"/>
      <c r="P31" s="117"/>
      <c r="Q31" s="117"/>
      <c r="R31" s="117"/>
    </row>
    <row r="32" spans="1:20" ht="27" customHeight="1">
      <c r="A32" s="117">
        <v>27</v>
      </c>
      <c r="B32" s="117" t="s">
        <v>724</v>
      </c>
      <c r="C32" s="117" t="s">
        <v>115</v>
      </c>
      <c r="D32" s="117" t="s">
        <v>115</v>
      </c>
      <c r="E32" s="117" t="s">
        <v>2</v>
      </c>
      <c r="F32" s="117">
        <v>109</v>
      </c>
      <c r="G32" s="117">
        <v>109</v>
      </c>
      <c r="H32" s="117">
        <v>109</v>
      </c>
      <c r="I32" s="117"/>
      <c r="J32" s="117"/>
      <c r="K32" s="117" t="s">
        <v>17</v>
      </c>
      <c r="L32" s="117"/>
      <c r="M32" s="117" t="s">
        <v>17</v>
      </c>
      <c r="N32" s="117" t="s">
        <v>72</v>
      </c>
      <c r="O32" s="117"/>
      <c r="P32" s="117"/>
      <c r="Q32" s="117"/>
      <c r="R32" s="117"/>
    </row>
    <row r="33" spans="1:20" ht="27" customHeight="1">
      <c r="A33" s="117">
        <v>28</v>
      </c>
      <c r="B33" s="117" t="s">
        <v>724</v>
      </c>
      <c r="C33" s="117" t="s">
        <v>116</v>
      </c>
      <c r="D33" s="117" t="s">
        <v>116</v>
      </c>
      <c r="E33" s="117" t="s">
        <v>1347</v>
      </c>
      <c r="F33" s="117">
        <v>70</v>
      </c>
      <c r="G33" s="117">
        <v>70</v>
      </c>
      <c r="H33" s="117"/>
      <c r="I33" s="117"/>
      <c r="J33" s="117"/>
      <c r="K33" s="117" t="s">
        <v>17</v>
      </c>
      <c r="L33" s="117"/>
      <c r="M33" s="117" t="s">
        <v>17</v>
      </c>
      <c r="N33" s="117" t="s">
        <v>72</v>
      </c>
      <c r="O33" s="117"/>
      <c r="P33" s="117"/>
      <c r="Q33" s="117"/>
      <c r="R33" s="117" t="s">
        <v>1284</v>
      </c>
    </row>
    <row r="34" spans="1:20" ht="27" customHeight="1">
      <c r="A34" s="117">
        <v>29</v>
      </c>
      <c r="B34" s="117" t="s">
        <v>724</v>
      </c>
      <c r="C34" s="117" t="s">
        <v>117</v>
      </c>
      <c r="D34" s="117" t="s">
        <v>117</v>
      </c>
      <c r="E34" s="117" t="s">
        <v>1348</v>
      </c>
      <c r="F34" s="117">
        <v>66</v>
      </c>
      <c r="G34" s="117">
        <v>66</v>
      </c>
      <c r="H34" s="117"/>
      <c r="I34" s="117"/>
      <c r="J34" s="117"/>
      <c r="K34" s="117" t="s">
        <v>17</v>
      </c>
      <c r="L34" s="117"/>
      <c r="M34" s="117" t="s">
        <v>17</v>
      </c>
      <c r="N34" s="117" t="s">
        <v>72</v>
      </c>
      <c r="O34" s="117"/>
      <c r="P34" s="117"/>
      <c r="Q34" s="117"/>
      <c r="R34" s="117" t="s">
        <v>1284</v>
      </c>
    </row>
    <row r="35" spans="1:20" ht="27" customHeight="1">
      <c r="A35" s="117">
        <v>30</v>
      </c>
      <c r="B35" s="117" t="s">
        <v>724</v>
      </c>
      <c r="C35" s="117" t="s">
        <v>118</v>
      </c>
      <c r="D35" s="117" t="s">
        <v>118</v>
      </c>
      <c r="E35" s="117" t="s">
        <v>1348</v>
      </c>
      <c r="F35" s="117">
        <v>112</v>
      </c>
      <c r="G35" s="117">
        <v>112</v>
      </c>
      <c r="H35" s="117"/>
      <c r="I35" s="117"/>
      <c r="J35" s="117"/>
      <c r="K35" s="117" t="s">
        <v>17</v>
      </c>
      <c r="L35" s="117"/>
      <c r="M35" s="117" t="s">
        <v>17</v>
      </c>
      <c r="N35" s="117" t="s">
        <v>72</v>
      </c>
      <c r="O35" s="117"/>
      <c r="P35" s="117"/>
      <c r="Q35" s="117"/>
      <c r="R35" s="117" t="s">
        <v>1284</v>
      </c>
    </row>
    <row r="36" spans="1:20" ht="27" customHeight="1">
      <c r="A36" s="117">
        <v>31</v>
      </c>
      <c r="B36" s="117" t="s">
        <v>724</v>
      </c>
      <c r="C36" s="117" t="s">
        <v>119</v>
      </c>
      <c r="D36" s="117" t="s">
        <v>119</v>
      </c>
      <c r="E36" s="117" t="s">
        <v>1347</v>
      </c>
      <c r="F36" s="117">
        <v>113</v>
      </c>
      <c r="G36" s="117">
        <v>113</v>
      </c>
      <c r="H36" s="117"/>
      <c r="I36" s="117"/>
      <c r="J36" s="117"/>
      <c r="K36" s="117" t="s">
        <v>17</v>
      </c>
      <c r="L36" s="117"/>
      <c r="M36" s="117" t="s">
        <v>17</v>
      </c>
      <c r="N36" s="117" t="s">
        <v>72</v>
      </c>
      <c r="O36" s="117"/>
      <c r="P36" s="117"/>
      <c r="Q36" s="117"/>
      <c r="R36" s="117" t="s">
        <v>1284</v>
      </c>
    </row>
    <row r="37" spans="1:20" ht="27" customHeight="1">
      <c r="A37" s="117">
        <v>32</v>
      </c>
      <c r="B37" s="117" t="s">
        <v>724</v>
      </c>
      <c r="C37" s="117" t="s">
        <v>120</v>
      </c>
      <c r="D37" s="117" t="s">
        <v>120</v>
      </c>
      <c r="E37" s="117" t="s">
        <v>1348</v>
      </c>
      <c r="F37" s="117">
        <v>53</v>
      </c>
      <c r="G37" s="117">
        <v>53</v>
      </c>
      <c r="H37" s="117"/>
      <c r="I37" s="117"/>
      <c r="J37" s="117"/>
      <c r="K37" s="117" t="s">
        <v>17</v>
      </c>
      <c r="L37" s="117"/>
      <c r="M37" s="117" t="s">
        <v>17</v>
      </c>
      <c r="N37" s="117" t="s">
        <v>72</v>
      </c>
      <c r="O37" s="117"/>
      <c r="P37" s="117"/>
      <c r="Q37" s="117"/>
      <c r="R37" s="117" t="s">
        <v>1284</v>
      </c>
    </row>
    <row r="38" spans="1:20" ht="27" customHeight="1">
      <c r="A38" s="117">
        <v>33</v>
      </c>
      <c r="B38" s="117" t="s">
        <v>724</v>
      </c>
      <c r="C38" s="117" t="s">
        <v>121</v>
      </c>
      <c r="D38" s="117" t="s">
        <v>121</v>
      </c>
      <c r="E38" s="117" t="s">
        <v>1347</v>
      </c>
      <c r="F38" s="117">
        <v>34</v>
      </c>
      <c r="G38" s="117">
        <v>34</v>
      </c>
      <c r="H38" s="117"/>
      <c r="I38" s="117"/>
      <c r="J38" s="117"/>
      <c r="K38" s="117" t="s">
        <v>17</v>
      </c>
      <c r="L38" s="117"/>
      <c r="M38" s="117" t="s">
        <v>17</v>
      </c>
      <c r="N38" s="117" t="s">
        <v>72</v>
      </c>
      <c r="O38" s="117"/>
      <c r="P38" s="117"/>
      <c r="Q38" s="117"/>
      <c r="R38" s="117" t="s">
        <v>1284</v>
      </c>
    </row>
    <row r="39" spans="1:20" ht="27" customHeight="1">
      <c r="A39" s="117">
        <v>34</v>
      </c>
      <c r="B39" s="117" t="s">
        <v>724</v>
      </c>
      <c r="C39" s="117" t="s">
        <v>122</v>
      </c>
      <c r="D39" s="117" t="s">
        <v>122</v>
      </c>
      <c r="E39" s="117" t="s">
        <v>1347</v>
      </c>
      <c r="F39" s="117">
        <v>75</v>
      </c>
      <c r="G39" s="117">
        <v>75</v>
      </c>
      <c r="H39" s="117"/>
      <c r="I39" s="117"/>
      <c r="J39" s="117"/>
      <c r="K39" s="117" t="s">
        <v>17</v>
      </c>
      <c r="L39" s="117"/>
      <c r="M39" s="117" t="s">
        <v>17</v>
      </c>
      <c r="N39" s="117" t="s">
        <v>72</v>
      </c>
      <c r="O39" s="117"/>
      <c r="P39" s="117"/>
      <c r="Q39" s="117"/>
      <c r="R39" s="117" t="s">
        <v>1284</v>
      </c>
    </row>
    <row r="40" spans="1:20" ht="27" customHeight="1">
      <c r="A40" s="117">
        <v>35</v>
      </c>
      <c r="B40" s="117" t="s">
        <v>724</v>
      </c>
      <c r="C40" s="117" t="s">
        <v>123</v>
      </c>
      <c r="D40" s="117" t="s">
        <v>123</v>
      </c>
      <c r="E40" s="117" t="s">
        <v>2</v>
      </c>
      <c r="F40" s="117">
        <v>159</v>
      </c>
      <c r="G40" s="117">
        <v>159</v>
      </c>
      <c r="H40" s="117">
        <v>159</v>
      </c>
      <c r="I40" s="117"/>
      <c r="J40" s="117"/>
      <c r="K40" s="117" t="s">
        <v>17</v>
      </c>
      <c r="L40" s="117"/>
      <c r="M40" s="117" t="s">
        <v>17</v>
      </c>
      <c r="N40" s="117" t="s">
        <v>72</v>
      </c>
      <c r="O40" s="117"/>
      <c r="P40" s="117"/>
      <c r="Q40" s="117"/>
      <c r="R40" s="117"/>
    </row>
    <row r="41" spans="1:20" ht="27" customHeight="1">
      <c r="A41" s="117">
        <v>36</v>
      </c>
      <c r="B41" s="117" t="s">
        <v>724</v>
      </c>
      <c r="C41" s="117" t="s">
        <v>124</v>
      </c>
      <c r="D41" s="117" t="s">
        <v>125</v>
      </c>
      <c r="E41" s="117" t="s">
        <v>3</v>
      </c>
      <c r="F41" s="117">
        <v>610</v>
      </c>
      <c r="G41" s="117">
        <v>282</v>
      </c>
      <c r="H41" s="117">
        <v>282</v>
      </c>
      <c r="I41" s="117"/>
      <c r="J41" s="117"/>
      <c r="K41" s="117" t="s">
        <v>17</v>
      </c>
      <c r="L41" s="117" t="s">
        <v>78</v>
      </c>
      <c r="M41" s="117" t="s">
        <v>17</v>
      </c>
      <c r="N41" s="117" t="s">
        <v>78</v>
      </c>
      <c r="O41" s="117"/>
      <c r="P41" s="117"/>
      <c r="Q41" s="117"/>
      <c r="R41" s="117"/>
    </row>
    <row r="42" spans="1:20" ht="37.5" customHeight="1">
      <c r="A42" s="117">
        <v>37</v>
      </c>
      <c r="B42" s="117" t="s">
        <v>724</v>
      </c>
      <c r="C42" s="117" t="s">
        <v>126</v>
      </c>
      <c r="D42" s="117" t="s">
        <v>126</v>
      </c>
      <c r="E42" s="117" t="s">
        <v>0</v>
      </c>
      <c r="F42" s="117" t="s">
        <v>127</v>
      </c>
      <c r="G42" s="117">
        <v>37</v>
      </c>
      <c r="H42" s="117">
        <v>37</v>
      </c>
      <c r="I42" s="117"/>
      <c r="J42" s="117"/>
      <c r="K42" s="117" t="s">
        <v>1915</v>
      </c>
      <c r="L42" s="117" t="s">
        <v>85</v>
      </c>
      <c r="M42" s="117" t="s">
        <v>17</v>
      </c>
      <c r="N42" s="117" t="s">
        <v>18</v>
      </c>
      <c r="O42" s="117"/>
      <c r="P42" s="117"/>
      <c r="Q42" s="117"/>
      <c r="R42" s="117"/>
    </row>
    <row r="43" spans="1:20" ht="37.5" customHeight="1">
      <c r="A43" s="117">
        <v>38</v>
      </c>
      <c r="B43" s="117" t="s">
        <v>724</v>
      </c>
      <c r="C43" s="117" t="s">
        <v>128</v>
      </c>
      <c r="D43" s="117" t="s">
        <v>129</v>
      </c>
      <c r="E43" s="117" t="s">
        <v>2</v>
      </c>
      <c r="F43" s="117">
        <v>1282</v>
      </c>
      <c r="G43" s="117">
        <v>180</v>
      </c>
      <c r="H43" s="117">
        <v>180</v>
      </c>
      <c r="I43" s="117"/>
      <c r="J43" s="117"/>
      <c r="K43" s="117" t="s">
        <v>17</v>
      </c>
      <c r="L43" s="117" t="s">
        <v>78</v>
      </c>
      <c r="M43" s="117" t="s">
        <v>17</v>
      </c>
      <c r="N43" s="117" t="s">
        <v>78</v>
      </c>
      <c r="O43" s="117"/>
      <c r="P43" s="117"/>
      <c r="Q43" s="117"/>
      <c r="R43" s="117"/>
    </row>
    <row r="44" spans="1:20" ht="37.5" customHeight="1">
      <c r="A44" s="117">
        <v>39</v>
      </c>
      <c r="B44" s="117" t="s">
        <v>724</v>
      </c>
      <c r="C44" s="117" t="s">
        <v>130</v>
      </c>
      <c r="D44" s="117" t="s">
        <v>131</v>
      </c>
      <c r="E44" s="117" t="s">
        <v>6</v>
      </c>
      <c r="F44" s="117">
        <v>315</v>
      </c>
      <c r="G44" s="117">
        <v>113</v>
      </c>
      <c r="H44" s="117">
        <v>113</v>
      </c>
      <c r="I44" s="117"/>
      <c r="J44" s="117"/>
      <c r="K44" s="117" t="s">
        <v>1922</v>
      </c>
      <c r="L44" s="117" t="s">
        <v>1238</v>
      </c>
      <c r="M44" s="117" t="s">
        <v>17</v>
      </c>
      <c r="N44" s="117" t="s">
        <v>18</v>
      </c>
      <c r="O44" s="117"/>
      <c r="P44" s="117"/>
      <c r="Q44" s="117"/>
      <c r="R44" s="117"/>
    </row>
    <row r="45" spans="1:20" ht="37.5" customHeight="1">
      <c r="A45" s="117">
        <v>40</v>
      </c>
      <c r="B45" s="117" t="s">
        <v>724</v>
      </c>
      <c r="C45" s="117" t="s">
        <v>132</v>
      </c>
      <c r="D45" s="117" t="s">
        <v>133</v>
      </c>
      <c r="E45" s="117" t="s">
        <v>11</v>
      </c>
      <c r="F45" s="117">
        <v>35</v>
      </c>
      <c r="G45" s="117">
        <v>2</v>
      </c>
      <c r="H45" s="117">
        <v>2</v>
      </c>
      <c r="I45" s="117"/>
      <c r="J45" s="117"/>
      <c r="K45" s="117" t="s">
        <v>1923</v>
      </c>
      <c r="L45" s="117" t="s">
        <v>134</v>
      </c>
      <c r="M45" s="117" t="s">
        <v>17</v>
      </c>
      <c r="N45" s="117" t="s">
        <v>18</v>
      </c>
      <c r="O45" s="117"/>
      <c r="P45" s="117"/>
      <c r="Q45" s="117"/>
      <c r="R45" s="117"/>
    </row>
    <row r="46" spans="1:20" ht="37.5" customHeight="1">
      <c r="A46" s="117">
        <v>41</v>
      </c>
      <c r="B46" s="117" t="s">
        <v>724</v>
      </c>
      <c r="C46" s="117" t="s">
        <v>135</v>
      </c>
      <c r="D46" s="117" t="s">
        <v>136</v>
      </c>
      <c r="E46" s="117" t="s">
        <v>11</v>
      </c>
      <c r="F46" s="117">
        <v>230</v>
      </c>
      <c r="G46" s="117">
        <v>202</v>
      </c>
      <c r="H46" s="117">
        <v>202</v>
      </c>
      <c r="I46" s="117"/>
      <c r="J46" s="117"/>
      <c r="K46" s="117" t="s">
        <v>1924</v>
      </c>
      <c r="L46" s="117" t="s">
        <v>137</v>
      </c>
      <c r="M46" s="117" t="s">
        <v>17</v>
      </c>
      <c r="N46" s="117" t="s">
        <v>18</v>
      </c>
      <c r="O46" s="117"/>
      <c r="P46" s="117"/>
      <c r="Q46" s="117"/>
      <c r="R46" s="117"/>
    </row>
    <row r="47" spans="1:20" ht="37.5" customHeight="1">
      <c r="A47" s="117">
        <v>42</v>
      </c>
      <c r="B47" s="117" t="s">
        <v>724</v>
      </c>
      <c r="C47" s="117" t="s">
        <v>455</v>
      </c>
      <c r="D47" s="117" t="s">
        <v>138</v>
      </c>
      <c r="E47" s="117" t="s">
        <v>11</v>
      </c>
      <c r="F47" s="117">
        <v>3929</v>
      </c>
      <c r="G47" s="117">
        <v>92</v>
      </c>
      <c r="H47" s="117">
        <v>92</v>
      </c>
      <c r="I47" s="117"/>
      <c r="J47" s="117"/>
      <c r="K47" s="117" t="s">
        <v>1925</v>
      </c>
      <c r="L47" s="117" t="s">
        <v>137</v>
      </c>
      <c r="M47" s="117" t="s">
        <v>17</v>
      </c>
      <c r="N47" s="117" t="s">
        <v>18</v>
      </c>
      <c r="O47" s="117"/>
      <c r="P47" s="117"/>
      <c r="Q47" s="117"/>
      <c r="R47" s="117"/>
      <c r="S47" s="126"/>
      <c r="T47" s="126"/>
    </row>
    <row r="48" spans="1:20" ht="37.5" customHeight="1">
      <c r="A48" s="117">
        <v>43</v>
      </c>
      <c r="B48" s="117" t="s">
        <v>724</v>
      </c>
      <c r="C48" s="117" t="s">
        <v>139</v>
      </c>
      <c r="D48" s="117" t="s">
        <v>1288</v>
      </c>
      <c r="E48" s="117" t="s">
        <v>3</v>
      </c>
      <c r="F48" s="117">
        <v>1760</v>
      </c>
      <c r="G48" s="117">
        <v>355</v>
      </c>
      <c r="H48" s="117">
        <v>580</v>
      </c>
      <c r="I48" s="117"/>
      <c r="J48" s="117"/>
      <c r="K48" s="117" t="s">
        <v>17</v>
      </c>
      <c r="L48" s="117" t="s">
        <v>72</v>
      </c>
      <c r="M48" s="117" t="s">
        <v>17</v>
      </c>
      <c r="N48" s="117" t="s">
        <v>72</v>
      </c>
      <c r="O48" s="117"/>
      <c r="P48" s="117"/>
      <c r="Q48" s="117"/>
      <c r="R48" s="117" t="s">
        <v>1337</v>
      </c>
      <c r="S48" s="126"/>
      <c r="T48" s="126"/>
    </row>
    <row r="49" spans="1:18" ht="37.5" customHeight="1">
      <c r="A49" s="117">
        <v>44</v>
      </c>
      <c r="B49" s="117" t="s">
        <v>724</v>
      </c>
      <c r="C49" s="117" t="s">
        <v>140</v>
      </c>
      <c r="D49" s="117" t="s">
        <v>141</v>
      </c>
      <c r="E49" s="117" t="s">
        <v>6</v>
      </c>
      <c r="F49" s="117">
        <v>482</v>
      </c>
      <c r="G49" s="117">
        <v>10</v>
      </c>
      <c r="H49" s="117">
        <v>10</v>
      </c>
      <c r="I49" s="117"/>
      <c r="J49" s="117"/>
      <c r="K49" s="117" t="s">
        <v>1922</v>
      </c>
      <c r="L49" s="117" t="s">
        <v>1238</v>
      </c>
      <c r="M49" s="117" t="s">
        <v>17</v>
      </c>
      <c r="N49" s="117" t="s">
        <v>18</v>
      </c>
      <c r="O49" s="117"/>
      <c r="P49" s="117"/>
      <c r="Q49" s="117"/>
      <c r="R49" s="117"/>
    </row>
    <row r="50" spans="1:18" ht="37.5" customHeight="1">
      <c r="A50" s="117">
        <v>45</v>
      </c>
      <c r="B50" s="117" t="s">
        <v>724</v>
      </c>
      <c r="C50" s="117" t="s">
        <v>142</v>
      </c>
      <c r="D50" s="117" t="s">
        <v>143</v>
      </c>
      <c r="E50" s="117" t="s">
        <v>6</v>
      </c>
      <c r="F50" s="117">
        <v>27</v>
      </c>
      <c r="G50" s="117">
        <v>10</v>
      </c>
      <c r="H50" s="117">
        <v>10</v>
      </c>
      <c r="I50" s="117"/>
      <c r="J50" s="117"/>
      <c r="K50" s="117" t="s">
        <v>1922</v>
      </c>
      <c r="L50" s="117" t="s">
        <v>1238</v>
      </c>
      <c r="M50" s="117" t="s">
        <v>17</v>
      </c>
      <c r="N50" s="117" t="s">
        <v>18</v>
      </c>
      <c r="O50" s="117"/>
      <c r="P50" s="117"/>
      <c r="Q50" s="117"/>
      <c r="R50" s="117"/>
    </row>
    <row r="51" spans="1:18" ht="37.5" customHeight="1">
      <c r="A51" s="117">
        <v>46</v>
      </c>
      <c r="B51" s="117" t="s">
        <v>724</v>
      </c>
      <c r="C51" s="117" t="s">
        <v>144</v>
      </c>
      <c r="D51" s="117" t="s">
        <v>145</v>
      </c>
      <c r="E51" s="117" t="s">
        <v>6</v>
      </c>
      <c r="F51" s="117">
        <v>456</v>
      </c>
      <c r="G51" s="117">
        <v>41</v>
      </c>
      <c r="H51" s="117">
        <v>41</v>
      </c>
      <c r="I51" s="117"/>
      <c r="J51" s="117"/>
      <c r="K51" s="117" t="s">
        <v>1922</v>
      </c>
      <c r="L51" s="117" t="s">
        <v>1238</v>
      </c>
      <c r="M51" s="117" t="s">
        <v>17</v>
      </c>
      <c r="N51" s="117" t="s">
        <v>18</v>
      </c>
      <c r="O51" s="117"/>
      <c r="P51" s="117"/>
      <c r="Q51" s="117"/>
      <c r="R51" s="117"/>
    </row>
    <row r="52" spans="1:18" ht="37.5" customHeight="1">
      <c r="A52" s="117">
        <v>47</v>
      </c>
      <c r="B52" s="117" t="s">
        <v>724</v>
      </c>
      <c r="C52" s="117" t="s">
        <v>146</v>
      </c>
      <c r="D52" s="117" t="s">
        <v>147</v>
      </c>
      <c r="E52" s="117" t="s">
        <v>11</v>
      </c>
      <c r="F52" s="117">
        <v>41</v>
      </c>
      <c r="G52" s="117">
        <v>23</v>
      </c>
      <c r="H52" s="117">
        <v>23</v>
      </c>
      <c r="I52" s="117"/>
      <c r="J52" s="117"/>
      <c r="K52" s="117" t="s">
        <v>1922</v>
      </c>
      <c r="L52" s="117" t="s">
        <v>1238</v>
      </c>
      <c r="M52" s="117" t="s">
        <v>17</v>
      </c>
      <c r="N52" s="117" t="s">
        <v>18</v>
      </c>
      <c r="O52" s="117"/>
      <c r="P52" s="117"/>
      <c r="Q52" s="117"/>
      <c r="R52" s="117"/>
    </row>
    <row r="53" spans="1:18" ht="37.5" customHeight="1">
      <c r="A53" s="117">
        <v>48</v>
      </c>
      <c r="B53" s="117" t="s">
        <v>724</v>
      </c>
      <c r="C53" s="117" t="s">
        <v>148</v>
      </c>
      <c r="D53" s="117" t="s">
        <v>149</v>
      </c>
      <c r="E53" s="117" t="s">
        <v>23</v>
      </c>
      <c r="F53" s="117">
        <v>412</v>
      </c>
      <c r="G53" s="117">
        <v>24</v>
      </c>
      <c r="H53" s="117">
        <v>24</v>
      </c>
      <c r="I53" s="117"/>
      <c r="J53" s="117"/>
      <c r="K53" s="117" t="s">
        <v>1922</v>
      </c>
      <c r="L53" s="117" t="s">
        <v>1238</v>
      </c>
      <c r="M53" s="117" t="s">
        <v>17</v>
      </c>
      <c r="N53" s="117" t="s">
        <v>18</v>
      </c>
      <c r="O53" s="117"/>
      <c r="P53" s="117"/>
      <c r="Q53" s="117"/>
      <c r="R53" s="117"/>
    </row>
    <row r="54" spans="1:18" ht="37.5" customHeight="1">
      <c r="A54" s="117">
        <v>49</v>
      </c>
      <c r="B54" s="117" t="s">
        <v>724</v>
      </c>
      <c r="C54" s="117" t="s">
        <v>150</v>
      </c>
      <c r="D54" s="117" t="s">
        <v>151</v>
      </c>
      <c r="E54" s="117" t="s">
        <v>6</v>
      </c>
      <c r="F54" s="117">
        <v>622</v>
      </c>
      <c r="G54" s="117">
        <v>96</v>
      </c>
      <c r="H54" s="117">
        <v>96</v>
      </c>
      <c r="I54" s="117"/>
      <c r="J54" s="117"/>
      <c r="K54" s="117" t="s">
        <v>1920</v>
      </c>
      <c r="L54" s="117" t="s">
        <v>152</v>
      </c>
      <c r="M54" s="117" t="s">
        <v>17</v>
      </c>
      <c r="N54" s="117" t="s">
        <v>18</v>
      </c>
      <c r="O54" s="117"/>
      <c r="P54" s="117"/>
      <c r="Q54" s="117"/>
      <c r="R54" s="117"/>
    </row>
    <row r="55" spans="1:18" ht="27" customHeight="1">
      <c r="A55" s="117">
        <v>50</v>
      </c>
      <c r="B55" s="117" t="s">
        <v>724</v>
      </c>
      <c r="C55" s="117" t="s">
        <v>153</v>
      </c>
      <c r="D55" s="117" t="s">
        <v>154</v>
      </c>
      <c r="E55" s="117" t="s">
        <v>11</v>
      </c>
      <c r="F55" s="117">
        <v>5574</v>
      </c>
      <c r="G55" s="117">
        <v>180</v>
      </c>
      <c r="H55" s="117">
        <v>180</v>
      </c>
      <c r="I55" s="117"/>
      <c r="J55" s="117"/>
      <c r="K55" s="117" t="s">
        <v>1920</v>
      </c>
      <c r="L55" s="117" t="s">
        <v>152</v>
      </c>
      <c r="M55" s="117" t="s">
        <v>17</v>
      </c>
      <c r="N55" s="117" t="s">
        <v>18</v>
      </c>
      <c r="O55" s="117"/>
      <c r="P55" s="117"/>
      <c r="Q55" s="117"/>
      <c r="R55" s="117"/>
    </row>
    <row r="56" spans="1:18" ht="27" customHeight="1">
      <c r="A56" s="117">
        <v>51</v>
      </c>
      <c r="B56" s="117" t="s">
        <v>724</v>
      </c>
      <c r="C56" s="117" t="s">
        <v>153</v>
      </c>
      <c r="D56" s="117" t="s">
        <v>155</v>
      </c>
      <c r="E56" s="117" t="s">
        <v>11</v>
      </c>
      <c r="F56" s="117">
        <v>5574</v>
      </c>
      <c r="G56" s="117">
        <v>36</v>
      </c>
      <c r="H56" s="117">
        <v>36</v>
      </c>
      <c r="I56" s="117"/>
      <c r="J56" s="117"/>
      <c r="K56" s="117" t="s">
        <v>1920</v>
      </c>
      <c r="L56" s="117" t="s">
        <v>156</v>
      </c>
      <c r="M56" s="117" t="s">
        <v>17</v>
      </c>
      <c r="N56" s="117" t="s">
        <v>18</v>
      </c>
      <c r="O56" s="117"/>
      <c r="P56" s="117"/>
      <c r="Q56" s="117"/>
      <c r="R56" s="117"/>
    </row>
    <row r="57" spans="1:18" ht="27" customHeight="1">
      <c r="A57" s="117">
        <v>52</v>
      </c>
      <c r="B57" s="117" t="s">
        <v>724</v>
      </c>
      <c r="C57" s="117" t="s">
        <v>157</v>
      </c>
      <c r="D57" s="117" t="s">
        <v>158</v>
      </c>
      <c r="E57" s="117" t="s">
        <v>159</v>
      </c>
      <c r="F57" s="117">
        <v>300</v>
      </c>
      <c r="G57" s="117">
        <v>79</v>
      </c>
      <c r="H57" s="117">
        <v>79</v>
      </c>
      <c r="I57" s="117"/>
      <c r="J57" s="117"/>
      <c r="K57" s="117" t="s">
        <v>1920</v>
      </c>
      <c r="L57" s="117" t="s">
        <v>152</v>
      </c>
      <c r="M57" s="117" t="s">
        <v>17</v>
      </c>
      <c r="N57" s="117" t="s">
        <v>18</v>
      </c>
      <c r="O57" s="117"/>
      <c r="P57" s="117"/>
      <c r="Q57" s="117"/>
      <c r="R57" s="117"/>
    </row>
    <row r="58" spans="1:18" ht="27" customHeight="1">
      <c r="A58" s="117">
        <v>53</v>
      </c>
      <c r="B58" s="117" t="s">
        <v>724</v>
      </c>
      <c r="C58" s="117" t="s">
        <v>160</v>
      </c>
      <c r="D58" s="117" t="s">
        <v>161</v>
      </c>
      <c r="E58" s="117" t="s">
        <v>3</v>
      </c>
      <c r="F58" s="117">
        <v>18</v>
      </c>
      <c r="G58" s="117">
        <v>4</v>
      </c>
      <c r="H58" s="117">
        <v>4</v>
      </c>
      <c r="I58" s="117"/>
      <c r="J58" s="117"/>
      <c r="K58" s="117" t="s">
        <v>1920</v>
      </c>
      <c r="L58" s="117" t="s">
        <v>152</v>
      </c>
      <c r="M58" s="117" t="s">
        <v>17</v>
      </c>
      <c r="N58" s="117" t="s">
        <v>18</v>
      </c>
      <c r="O58" s="117"/>
      <c r="P58" s="117"/>
      <c r="Q58" s="117"/>
      <c r="R58" s="117"/>
    </row>
    <row r="59" spans="1:18" ht="27" customHeight="1">
      <c r="A59" s="117">
        <v>54</v>
      </c>
      <c r="B59" s="117" t="s">
        <v>724</v>
      </c>
      <c r="C59" s="117" t="s">
        <v>162</v>
      </c>
      <c r="D59" s="117" t="s">
        <v>163</v>
      </c>
      <c r="E59" s="117" t="s">
        <v>11</v>
      </c>
      <c r="F59" s="117">
        <v>322</v>
      </c>
      <c r="G59" s="117">
        <v>43</v>
      </c>
      <c r="H59" s="117">
        <v>43</v>
      </c>
      <c r="I59" s="117"/>
      <c r="J59" s="117"/>
      <c r="K59" s="117" t="s">
        <v>1926</v>
      </c>
      <c r="L59" s="117" t="s">
        <v>164</v>
      </c>
      <c r="M59" s="117" t="s">
        <v>17</v>
      </c>
      <c r="N59" s="117" t="s">
        <v>18</v>
      </c>
      <c r="O59" s="117"/>
      <c r="P59" s="117"/>
      <c r="Q59" s="117"/>
      <c r="R59" s="117"/>
    </row>
    <row r="60" spans="1:18" ht="27" customHeight="1">
      <c r="A60" s="117">
        <v>55</v>
      </c>
      <c r="B60" s="117" t="s">
        <v>724</v>
      </c>
      <c r="C60" s="117" t="s">
        <v>165</v>
      </c>
      <c r="D60" s="117" t="s">
        <v>166</v>
      </c>
      <c r="E60" s="117" t="s">
        <v>6</v>
      </c>
      <c r="F60" s="117">
        <v>1723</v>
      </c>
      <c r="G60" s="117">
        <v>146</v>
      </c>
      <c r="H60" s="117">
        <v>146</v>
      </c>
      <c r="I60" s="117"/>
      <c r="J60" s="117"/>
      <c r="K60" s="117" t="s">
        <v>1927</v>
      </c>
      <c r="L60" s="117" t="s">
        <v>167</v>
      </c>
      <c r="M60" s="117" t="s">
        <v>17</v>
      </c>
      <c r="N60" s="117" t="s">
        <v>18</v>
      </c>
      <c r="O60" s="117"/>
      <c r="P60" s="117"/>
      <c r="Q60" s="117"/>
      <c r="R60" s="117"/>
    </row>
    <row r="61" spans="1:18" ht="27" customHeight="1">
      <c r="A61" s="117">
        <v>56</v>
      </c>
      <c r="B61" s="117" t="s">
        <v>724</v>
      </c>
      <c r="C61" s="117" t="s">
        <v>168</v>
      </c>
      <c r="D61" s="117" t="s">
        <v>169</v>
      </c>
      <c r="E61" s="117" t="s">
        <v>0</v>
      </c>
      <c r="F61" s="117">
        <v>1336</v>
      </c>
      <c r="G61" s="117">
        <v>48</v>
      </c>
      <c r="H61" s="117">
        <v>48</v>
      </c>
      <c r="I61" s="117"/>
      <c r="J61" s="117"/>
      <c r="K61" s="117" t="s">
        <v>1928</v>
      </c>
      <c r="L61" s="117" t="s">
        <v>170</v>
      </c>
      <c r="M61" s="117" t="s">
        <v>17</v>
      </c>
      <c r="N61" s="117" t="s">
        <v>18</v>
      </c>
      <c r="O61" s="117"/>
      <c r="P61" s="117"/>
      <c r="Q61" s="117"/>
      <c r="R61" s="117"/>
    </row>
    <row r="62" spans="1:18" ht="27" customHeight="1">
      <c r="A62" s="117">
        <v>57</v>
      </c>
      <c r="B62" s="117" t="s">
        <v>724</v>
      </c>
      <c r="C62" s="117" t="s">
        <v>168</v>
      </c>
      <c r="D62" s="117" t="s">
        <v>171</v>
      </c>
      <c r="E62" s="117" t="s">
        <v>0</v>
      </c>
      <c r="F62" s="117">
        <v>1336</v>
      </c>
      <c r="G62" s="117">
        <v>97</v>
      </c>
      <c r="H62" s="117">
        <v>97</v>
      </c>
      <c r="I62" s="117"/>
      <c r="J62" s="117"/>
      <c r="K62" s="117" t="s">
        <v>1928</v>
      </c>
      <c r="L62" s="117" t="s">
        <v>170</v>
      </c>
      <c r="M62" s="117" t="s">
        <v>17</v>
      </c>
      <c r="N62" s="117" t="s">
        <v>18</v>
      </c>
      <c r="O62" s="117"/>
      <c r="P62" s="117"/>
      <c r="Q62" s="117"/>
      <c r="R62" s="117"/>
    </row>
    <row r="63" spans="1:18" ht="27" customHeight="1">
      <c r="A63" s="117">
        <v>58</v>
      </c>
      <c r="B63" s="117" t="s">
        <v>724</v>
      </c>
      <c r="C63" s="117" t="s">
        <v>172</v>
      </c>
      <c r="D63" s="117" t="s">
        <v>172</v>
      </c>
      <c r="E63" s="117" t="s">
        <v>0</v>
      </c>
      <c r="F63" s="117">
        <v>264</v>
      </c>
      <c r="G63" s="117">
        <v>264</v>
      </c>
      <c r="H63" s="117">
        <v>264</v>
      </c>
      <c r="I63" s="117"/>
      <c r="J63" s="117"/>
      <c r="K63" s="117" t="s">
        <v>1922</v>
      </c>
      <c r="L63" s="117" t="s">
        <v>1238</v>
      </c>
      <c r="M63" s="117" t="s">
        <v>17</v>
      </c>
      <c r="N63" s="117" t="s">
        <v>18</v>
      </c>
      <c r="O63" s="117"/>
      <c r="P63" s="117"/>
      <c r="Q63" s="117"/>
      <c r="R63" s="117"/>
    </row>
    <row r="64" spans="1:18" ht="27" customHeight="1">
      <c r="A64" s="117">
        <v>59</v>
      </c>
      <c r="B64" s="117" t="s">
        <v>724</v>
      </c>
      <c r="C64" s="117" t="s">
        <v>173</v>
      </c>
      <c r="D64" s="117" t="s">
        <v>173</v>
      </c>
      <c r="E64" s="117" t="s">
        <v>3</v>
      </c>
      <c r="F64" s="117">
        <v>337</v>
      </c>
      <c r="G64" s="117">
        <v>337</v>
      </c>
      <c r="H64" s="117">
        <v>337</v>
      </c>
      <c r="I64" s="117"/>
      <c r="J64" s="117"/>
      <c r="K64" s="117" t="s">
        <v>17</v>
      </c>
      <c r="L64" s="117"/>
      <c r="M64" s="117" t="s">
        <v>17</v>
      </c>
      <c r="N64" s="117"/>
      <c r="O64" s="117"/>
      <c r="P64" s="117"/>
      <c r="Q64" s="117"/>
      <c r="R64" s="117"/>
    </row>
    <row r="65" spans="1:20" ht="27" customHeight="1">
      <c r="A65" s="117">
        <v>60</v>
      </c>
      <c r="B65" s="117" t="s">
        <v>724</v>
      </c>
      <c r="C65" s="117" t="s">
        <v>174</v>
      </c>
      <c r="D65" s="117" t="s">
        <v>174</v>
      </c>
      <c r="E65" s="117" t="s">
        <v>3</v>
      </c>
      <c r="F65" s="117">
        <v>28</v>
      </c>
      <c r="G65" s="117">
        <v>28</v>
      </c>
      <c r="H65" s="117">
        <v>28</v>
      </c>
      <c r="I65" s="117"/>
      <c r="J65" s="117"/>
      <c r="K65" s="117" t="s">
        <v>17</v>
      </c>
      <c r="L65" s="117"/>
      <c r="M65" s="117" t="s">
        <v>17</v>
      </c>
      <c r="N65" s="117"/>
      <c r="O65" s="117"/>
      <c r="P65" s="117"/>
      <c r="Q65" s="117"/>
      <c r="R65" s="117"/>
    </row>
    <row r="66" spans="1:20" ht="27" customHeight="1">
      <c r="A66" s="117">
        <v>61</v>
      </c>
      <c r="B66" s="117" t="s">
        <v>724</v>
      </c>
      <c r="C66" s="117" t="s">
        <v>175</v>
      </c>
      <c r="D66" s="117" t="s">
        <v>175</v>
      </c>
      <c r="E66" s="117" t="s">
        <v>3</v>
      </c>
      <c r="F66" s="117">
        <v>10</v>
      </c>
      <c r="G66" s="117">
        <v>10</v>
      </c>
      <c r="H66" s="117">
        <v>10</v>
      </c>
      <c r="I66" s="117"/>
      <c r="J66" s="117"/>
      <c r="K66" s="117" t="s">
        <v>17</v>
      </c>
      <c r="L66" s="117"/>
      <c r="M66" s="117" t="s">
        <v>17</v>
      </c>
      <c r="N66" s="117"/>
      <c r="O66" s="117"/>
      <c r="P66" s="117"/>
      <c r="Q66" s="117"/>
      <c r="R66" s="117"/>
    </row>
    <row r="67" spans="1:20" ht="27" customHeight="1">
      <c r="A67" s="117">
        <v>62</v>
      </c>
      <c r="B67" s="117" t="s">
        <v>724</v>
      </c>
      <c r="C67" s="117" t="s">
        <v>176</v>
      </c>
      <c r="D67" s="117" t="s">
        <v>176</v>
      </c>
      <c r="E67" s="117" t="s">
        <v>3</v>
      </c>
      <c r="F67" s="117">
        <v>134</v>
      </c>
      <c r="G67" s="117">
        <v>134</v>
      </c>
      <c r="H67" s="117">
        <v>134</v>
      </c>
      <c r="I67" s="117"/>
      <c r="J67" s="117"/>
      <c r="K67" s="117" t="s">
        <v>17</v>
      </c>
      <c r="L67" s="117"/>
      <c r="M67" s="117" t="s">
        <v>17</v>
      </c>
      <c r="N67" s="117"/>
      <c r="O67" s="117"/>
      <c r="P67" s="117"/>
      <c r="Q67" s="117"/>
      <c r="R67" s="117"/>
    </row>
    <row r="68" spans="1:20" ht="27" customHeight="1">
      <c r="A68" s="117">
        <v>63</v>
      </c>
      <c r="B68" s="117" t="s">
        <v>724</v>
      </c>
      <c r="C68" s="117" t="s">
        <v>177</v>
      </c>
      <c r="D68" s="117" t="s">
        <v>178</v>
      </c>
      <c r="E68" s="117" t="s">
        <v>0</v>
      </c>
      <c r="F68" s="117">
        <v>1891</v>
      </c>
      <c r="G68" s="117">
        <v>16</v>
      </c>
      <c r="H68" s="117">
        <v>16</v>
      </c>
      <c r="I68" s="117"/>
      <c r="J68" s="117"/>
      <c r="K68" s="117" t="s">
        <v>1929</v>
      </c>
      <c r="L68" s="117" t="s">
        <v>179</v>
      </c>
      <c r="M68" s="117" t="s">
        <v>17</v>
      </c>
      <c r="N68" s="117" t="s">
        <v>18</v>
      </c>
      <c r="O68" s="117"/>
      <c r="P68" s="117"/>
      <c r="Q68" s="117"/>
      <c r="R68" s="117"/>
      <c r="S68" s="126"/>
      <c r="T68" s="126"/>
    </row>
    <row r="69" spans="1:20" ht="27" customHeight="1">
      <c r="A69" s="117">
        <v>64</v>
      </c>
      <c r="B69" s="117" t="s">
        <v>724</v>
      </c>
      <c r="C69" s="117" t="s">
        <v>180</v>
      </c>
      <c r="D69" s="117" t="s">
        <v>181</v>
      </c>
      <c r="E69" s="117" t="s">
        <v>0</v>
      </c>
      <c r="F69" s="117">
        <v>601</v>
      </c>
      <c r="G69" s="117">
        <v>149</v>
      </c>
      <c r="H69" s="117">
        <v>149</v>
      </c>
      <c r="I69" s="117"/>
      <c r="J69" s="117"/>
      <c r="K69" s="117" t="s">
        <v>1917</v>
      </c>
      <c r="L69" s="117" t="s">
        <v>99</v>
      </c>
      <c r="M69" s="117" t="s">
        <v>17</v>
      </c>
      <c r="N69" s="117" t="s">
        <v>18</v>
      </c>
      <c r="O69" s="117"/>
      <c r="P69" s="117"/>
      <c r="Q69" s="117"/>
      <c r="R69" s="117"/>
    </row>
    <row r="70" spans="1:20" ht="27" customHeight="1">
      <c r="A70" s="117">
        <v>65</v>
      </c>
      <c r="B70" s="117" t="s">
        <v>724</v>
      </c>
      <c r="C70" s="117" t="s">
        <v>182</v>
      </c>
      <c r="D70" s="117" t="s">
        <v>182</v>
      </c>
      <c r="E70" s="117" t="s">
        <v>3</v>
      </c>
      <c r="F70" s="117">
        <v>517</v>
      </c>
      <c r="G70" s="117">
        <v>517</v>
      </c>
      <c r="H70" s="117">
        <v>517</v>
      </c>
      <c r="I70" s="117"/>
      <c r="J70" s="117"/>
      <c r="K70" s="117" t="s">
        <v>17</v>
      </c>
      <c r="L70" s="117"/>
      <c r="M70" s="117" t="s">
        <v>17</v>
      </c>
      <c r="N70" s="117"/>
      <c r="O70" s="117"/>
      <c r="P70" s="117"/>
      <c r="Q70" s="117"/>
      <c r="R70" s="117"/>
    </row>
    <row r="71" spans="1:20" ht="27" customHeight="1">
      <c r="A71" s="117">
        <v>66</v>
      </c>
      <c r="B71" s="117" t="s">
        <v>724</v>
      </c>
      <c r="C71" s="117" t="s">
        <v>183</v>
      </c>
      <c r="D71" s="117" t="s">
        <v>184</v>
      </c>
      <c r="E71" s="117" t="s">
        <v>0</v>
      </c>
      <c r="F71" s="117">
        <v>2686</v>
      </c>
      <c r="G71" s="117">
        <v>566</v>
      </c>
      <c r="H71" s="117">
        <v>566</v>
      </c>
      <c r="I71" s="117"/>
      <c r="J71" s="117"/>
      <c r="K71" s="117" t="s">
        <v>1930</v>
      </c>
      <c r="L71" s="117" t="s">
        <v>185</v>
      </c>
      <c r="M71" s="117" t="s">
        <v>17</v>
      </c>
      <c r="N71" s="117" t="s">
        <v>18</v>
      </c>
      <c r="O71" s="117"/>
      <c r="P71" s="117"/>
      <c r="Q71" s="117"/>
      <c r="R71" s="117"/>
    </row>
    <row r="72" spans="1:20" ht="27" customHeight="1">
      <c r="A72" s="117">
        <v>67</v>
      </c>
      <c r="B72" s="117" t="s">
        <v>724</v>
      </c>
      <c r="C72" s="117" t="s">
        <v>186</v>
      </c>
      <c r="D72" s="117" t="s">
        <v>186</v>
      </c>
      <c r="E72" s="117" t="s">
        <v>3</v>
      </c>
      <c r="F72" s="117">
        <v>885</v>
      </c>
      <c r="G72" s="117">
        <v>885</v>
      </c>
      <c r="H72" s="117">
        <v>885</v>
      </c>
      <c r="I72" s="117"/>
      <c r="J72" s="117"/>
      <c r="K72" s="117" t="s">
        <v>17</v>
      </c>
      <c r="L72" s="117" t="s">
        <v>72</v>
      </c>
      <c r="M72" s="117" t="s">
        <v>17</v>
      </c>
      <c r="N72" s="117" t="s">
        <v>72</v>
      </c>
      <c r="O72" s="117"/>
      <c r="P72" s="117"/>
      <c r="Q72" s="117"/>
      <c r="R72" s="117"/>
    </row>
    <row r="73" spans="1:20" ht="27" customHeight="1">
      <c r="A73" s="117">
        <v>68</v>
      </c>
      <c r="B73" s="117" t="s">
        <v>724</v>
      </c>
      <c r="C73" s="117" t="s">
        <v>187</v>
      </c>
      <c r="D73" s="117" t="s">
        <v>187</v>
      </c>
      <c r="E73" s="117" t="s">
        <v>3</v>
      </c>
      <c r="F73" s="117">
        <v>2752</v>
      </c>
      <c r="G73" s="117">
        <v>2752</v>
      </c>
      <c r="H73" s="117">
        <v>2752</v>
      </c>
      <c r="I73" s="117"/>
      <c r="J73" s="117"/>
      <c r="K73" s="117" t="s">
        <v>17</v>
      </c>
      <c r="L73" s="117"/>
      <c r="M73" s="117" t="s">
        <v>17</v>
      </c>
      <c r="N73" s="117"/>
      <c r="O73" s="117"/>
      <c r="P73" s="117"/>
      <c r="Q73" s="117"/>
      <c r="R73" s="117"/>
    </row>
    <row r="74" spans="1:20" ht="27" customHeight="1">
      <c r="A74" s="117">
        <v>69</v>
      </c>
      <c r="B74" s="117" t="s">
        <v>724</v>
      </c>
      <c r="C74" s="117" t="s">
        <v>188</v>
      </c>
      <c r="D74" s="117" t="s">
        <v>188</v>
      </c>
      <c r="E74" s="117" t="s">
        <v>6</v>
      </c>
      <c r="F74" s="117">
        <v>686</v>
      </c>
      <c r="G74" s="117">
        <v>686</v>
      </c>
      <c r="H74" s="117">
        <v>686</v>
      </c>
      <c r="I74" s="117"/>
      <c r="J74" s="117"/>
      <c r="K74" s="117" t="s">
        <v>1931</v>
      </c>
      <c r="L74" s="117" t="s">
        <v>1243</v>
      </c>
      <c r="M74" s="117" t="s">
        <v>17</v>
      </c>
      <c r="N74" s="117" t="s">
        <v>18</v>
      </c>
      <c r="O74" s="117"/>
      <c r="P74" s="117"/>
      <c r="Q74" s="117"/>
      <c r="R74" s="117"/>
    </row>
    <row r="75" spans="1:20" ht="27" customHeight="1">
      <c r="A75" s="117">
        <v>70</v>
      </c>
      <c r="B75" s="117" t="s">
        <v>724</v>
      </c>
      <c r="C75" s="117" t="s">
        <v>189</v>
      </c>
      <c r="D75" s="117" t="s">
        <v>189</v>
      </c>
      <c r="E75" s="117" t="s">
        <v>3</v>
      </c>
      <c r="F75" s="117">
        <v>531</v>
      </c>
      <c r="G75" s="117">
        <v>531</v>
      </c>
      <c r="H75" s="117">
        <v>531</v>
      </c>
      <c r="I75" s="117"/>
      <c r="J75" s="117"/>
      <c r="K75" s="117" t="s">
        <v>17</v>
      </c>
      <c r="L75" s="117"/>
      <c r="M75" s="117" t="s">
        <v>17</v>
      </c>
      <c r="N75" s="117"/>
      <c r="O75" s="117"/>
      <c r="P75" s="117"/>
      <c r="Q75" s="117"/>
      <c r="R75" s="117"/>
    </row>
    <row r="76" spans="1:20" ht="27" customHeight="1">
      <c r="A76" s="117">
        <v>71</v>
      </c>
      <c r="B76" s="117" t="s">
        <v>724</v>
      </c>
      <c r="C76" s="117" t="s">
        <v>190</v>
      </c>
      <c r="D76" s="117" t="s">
        <v>190</v>
      </c>
      <c r="E76" s="117" t="s">
        <v>3</v>
      </c>
      <c r="F76" s="117">
        <v>21</v>
      </c>
      <c r="G76" s="117">
        <v>21</v>
      </c>
      <c r="H76" s="117">
        <v>21</v>
      </c>
      <c r="I76" s="117"/>
      <c r="J76" s="117"/>
      <c r="K76" s="117" t="s">
        <v>17</v>
      </c>
      <c r="L76" s="117"/>
      <c r="M76" s="117" t="s">
        <v>17</v>
      </c>
      <c r="N76" s="117"/>
      <c r="O76" s="117"/>
      <c r="P76" s="117"/>
      <c r="Q76" s="117"/>
      <c r="R76" s="117"/>
    </row>
    <row r="77" spans="1:20" ht="27" customHeight="1">
      <c r="A77" s="117">
        <v>72</v>
      </c>
      <c r="B77" s="117" t="s">
        <v>724</v>
      </c>
      <c r="C77" s="117" t="s">
        <v>191</v>
      </c>
      <c r="D77" s="117" t="s">
        <v>192</v>
      </c>
      <c r="E77" s="117" t="s">
        <v>3</v>
      </c>
      <c r="F77" s="117">
        <v>12</v>
      </c>
      <c r="G77" s="117">
        <v>9</v>
      </c>
      <c r="H77" s="117">
        <v>9</v>
      </c>
      <c r="I77" s="117"/>
      <c r="J77" s="117"/>
      <c r="K77" s="117" t="s">
        <v>1932</v>
      </c>
      <c r="L77" s="117" t="s">
        <v>193</v>
      </c>
      <c r="M77" s="117" t="s">
        <v>17</v>
      </c>
      <c r="N77" s="117" t="s">
        <v>18</v>
      </c>
      <c r="O77" s="117"/>
      <c r="P77" s="117"/>
      <c r="Q77" s="117"/>
      <c r="R77" s="117"/>
    </row>
    <row r="78" spans="1:20" ht="27" customHeight="1">
      <c r="A78" s="117">
        <v>73</v>
      </c>
      <c r="B78" s="117" t="s">
        <v>724</v>
      </c>
      <c r="C78" s="117" t="s">
        <v>194</v>
      </c>
      <c r="D78" s="117" t="s">
        <v>194</v>
      </c>
      <c r="E78" s="117" t="s">
        <v>1348</v>
      </c>
      <c r="F78" s="117">
        <v>13</v>
      </c>
      <c r="G78" s="117">
        <v>12</v>
      </c>
      <c r="H78" s="117"/>
      <c r="I78" s="117"/>
      <c r="J78" s="117"/>
      <c r="K78" s="117" t="s">
        <v>1932</v>
      </c>
      <c r="L78" s="117" t="s">
        <v>193</v>
      </c>
      <c r="M78" s="117" t="s">
        <v>1932</v>
      </c>
      <c r="N78" s="117" t="s">
        <v>193</v>
      </c>
      <c r="O78" s="117"/>
      <c r="P78" s="117"/>
      <c r="Q78" s="117"/>
      <c r="R78" s="117" t="s">
        <v>1245</v>
      </c>
    </row>
    <row r="79" spans="1:20" ht="27" customHeight="1">
      <c r="A79" s="117">
        <v>74</v>
      </c>
      <c r="B79" s="117" t="s">
        <v>724</v>
      </c>
      <c r="C79" s="117" t="s">
        <v>195</v>
      </c>
      <c r="D79" s="117" t="s">
        <v>195</v>
      </c>
      <c r="E79" s="117" t="s">
        <v>3</v>
      </c>
      <c r="F79" s="117">
        <v>152</v>
      </c>
      <c r="G79" s="117">
        <v>152</v>
      </c>
      <c r="H79" s="117">
        <v>152</v>
      </c>
      <c r="I79" s="117"/>
      <c r="J79" s="117"/>
      <c r="K79" s="117" t="s">
        <v>17</v>
      </c>
      <c r="L79" s="117" t="s">
        <v>72</v>
      </c>
      <c r="M79" s="117" t="s">
        <v>17</v>
      </c>
      <c r="N79" s="117" t="s">
        <v>72</v>
      </c>
      <c r="O79" s="117"/>
      <c r="P79" s="117"/>
      <c r="Q79" s="117"/>
      <c r="R79" s="117"/>
    </row>
    <row r="80" spans="1:20" ht="27" customHeight="1">
      <c r="A80" s="117">
        <v>75</v>
      </c>
      <c r="B80" s="117" t="s">
        <v>724</v>
      </c>
      <c r="C80" s="117" t="s">
        <v>196</v>
      </c>
      <c r="D80" s="117" t="s">
        <v>197</v>
      </c>
      <c r="E80" s="117" t="s">
        <v>198</v>
      </c>
      <c r="F80" s="117">
        <v>315</v>
      </c>
      <c r="G80" s="117">
        <v>102</v>
      </c>
      <c r="H80" s="117">
        <v>102</v>
      </c>
      <c r="I80" s="117"/>
      <c r="J80" s="117"/>
      <c r="K80" s="117" t="s">
        <v>1932</v>
      </c>
      <c r="L80" s="117" t="s">
        <v>193</v>
      </c>
      <c r="M80" s="117" t="s">
        <v>17</v>
      </c>
      <c r="N80" s="117" t="s">
        <v>18</v>
      </c>
      <c r="O80" s="117"/>
      <c r="P80" s="117"/>
      <c r="Q80" s="117"/>
      <c r="R80" s="117"/>
    </row>
    <row r="81" spans="1:20" ht="27" customHeight="1">
      <c r="A81" s="117">
        <v>76</v>
      </c>
      <c r="B81" s="117" t="s">
        <v>724</v>
      </c>
      <c r="C81" s="117" t="s">
        <v>199</v>
      </c>
      <c r="D81" s="117" t="s">
        <v>200</v>
      </c>
      <c r="E81" s="117" t="s">
        <v>6</v>
      </c>
      <c r="F81" s="117">
        <v>304</v>
      </c>
      <c r="G81" s="117">
        <v>146</v>
      </c>
      <c r="H81" s="117">
        <v>146</v>
      </c>
      <c r="I81" s="117"/>
      <c r="J81" s="117"/>
      <c r="K81" s="117" t="s">
        <v>1932</v>
      </c>
      <c r="L81" s="117" t="s">
        <v>193</v>
      </c>
      <c r="M81" s="117" t="s">
        <v>17</v>
      </c>
      <c r="N81" s="117" t="s">
        <v>18</v>
      </c>
      <c r="O81" s="117"/>
      <c r="P81" s="117"/>
      <c r="Q81" s="117"/>
      <c r="R81" s="117"/>
    </row>
    <row r="82" spans="1:20" ht="27" customHeight="1">
      <c r="A82" s="117">
        <v>77</v>
      </c>
      <c r="B82" s="117" t="s">
        <v>724</v>
      </c>
      <c r="C82" s="117" t="s">
        <v>201</v>
      </c>
      <c r="D82" s="117" t="s">
        <v>202</v>
      </c>
      <c r="E82" s="117" t="s">
        <v>23</v>
      </c>
      <c r="F82" s="117">
        <v>989</v>
      </c>
      <c r="G82" s="117">
        <v>212</v>
      </c>
      <c r="H82" s="117">
        <v>212</v>
      </c>
      <c r="I82" s="117"/>
      <c r="J82" s="117"/>
      <c r="K82" s="117" t="s">
        <v>1932</v>
      </c>
      <c r="L82" s="117" t="s">
        <v>193</v>
      </c>
      <c r="M82" s="117" t="s">
        <v>17</v>
      </c>
      <c r="N82" s="117" t="s">
        <v>18</v>
      </c>
      <c r="O82" s="117"/>
      <c r="P82" s="117"/>
      <c r="Q82" s="117"/>
      <c r="R82" s="117"/>
    </row>
    <row r="83" spans="1:20" ht="27" customHeight="1">
      <c r="A83" s="117">
        <v>78</v>
      </c>
      <c r="B83" s="117" t="s">
        <v>724</v>
      </c>
      <c r="C83" s="117" t="s">
        <v>203</v>
      </c>
      <c r="D83" s="117" t="s">
        <v>203</v>
      </c>
      <c r="E83" s="117" t="s">
        <v>3</v>
      </c>
      <c r="F83" s="117">
        <v>33</v>
      </c>
      <c r="G83" s="117">
        <v>33</v>
      </c>
      <c r="H83" s="117">
        <v>33</v>
      </c>
      <c r="I83" s="117"/>
      <c r="J83" s="117"/>
      <c r="K83" s="117" t="s">
        <v>17</v>
      </c>
      <c r="L83" s="117" t="s">
        <v>72</v>
      </c>
      <c r="M83" s="117" t="s">
        <v>17</v>
      </c>
      <c r="N83" s="117" t="s">
        <v>72</v>
      </c>
      <c r="O83" s="117"/>
      <c r="P83" s="117"/>
      <c r="Q83" s="117"/>
      <c r="R83" s="117"/>
    </row>
    <row r="84" spans="1:20" ht="27" customHeight="1">
      <c r="A84" s="117">
        <v>79</v>
      </c>
      <c r="B84" s="117" t="s">
        <v>724</v>
      </c>
      <c r="C84" s="117" t="s">
        <v>204</v>
      </c>
      <c r="D84" s="117" t="s">
        <v>204</v>
      </c>
      <c r="E84" s="117" t="s">
        <v>1347</v>
      </c>
      <c r="F84" s="117">
        <v>18</v>
      </c>
      <c r="G84" s="117">
        <v>18</v>
      </c>
      <c r="H84" s="117"/>
      <c r="I84" s="117"/>
      <c r="J84" s="117"/>
      <c r="K84" s="117" t="s">
        <v>205</v>
      </c>
      <c r="L84" s="117"/>
      <c r="M84" s="117" t="s">
        <v>17</v>
      </c>
      <c r="N84" s="117" t="s">
        <v>1263</v>
      </c>
      <c r="O84" s="117"/>
      <c r="P84" s="117"/>
      <c r="Q84" s="117"/>
      <c r="R84" s="117" t="s">
        <v>1245</v>
      </c>
    </row>
    <row r="85" spans="1:20" ht="27" customHeight="1">
      <c r="A85" s="117">
        <v>80</v>
      </c>
      <c r="B85" s="117" t="s">
        <v>724</v>
      </c>
      <c r="C85" s="117" t="s">
        <v>206</v>
      </c>
      <c r="D85" s="117" t="s">
        <v>206</v>
      </c>
      <c r="E85" s="117" t="s">
        <v>6</v>
      </c>
      <c r="F85" s="117">
        <v>40</v>
      </c>
      <c r="G85" s="117">
        <v>40</v>
      </c>
      <c r="H85" s="117">
        <v>40</v>
      </c>
      <c r="I85" s="117"/>
      <c r="J85" s="117"/>
      <c r="K85" s="117" t="s">
        <v>205</v>
      </c>
      <c r="L85" s="117"/>
      <c r="M85" s="117" t="s">
        <v>17</v>
      </c>
      <c r="N85" s="117" t="s">
        <v>1263</v>
      </c>
      <c r="O85" s="117"/>
      <c r="P85" s="117"/>
      <c r="Q85" s="117"/>
      <c r="R85" s="117"/>
    </row>
    <row r="86" spans="1:20" ht="27" customHeight="1">
      <c r="A86" s="117">
        <v>81</v>
      </c>
      <c r="B86" s="117" t="s">
        <v>724</v>
      </c>
      <c r="C86" s="117" t="s">
        <v>207</v>
      </c>
      <c r="D86" s="117" t="s">
        <v>208</v>
      </c>
      <c r="E86" s="117" t="s">
        <v>23</v>
      </c>
      <c r="F86" s="117">
        <v>3886</v>
      </c>
      <c r="G86" s="117">
        <v>61</v>
      </c>
      <c r="H86" s="117">
        <v>61</v>
      </c>
      <c r="I86" s="117"/>
      <c r="J86" s="117"/>
      <c r="K86" s="117" t="s">
        <v>1933</v>
      </c>
      <c r="L86" s="117" t="s">
        <v>209</v>
      </c>
      <c r="M86" s="117" t="s">
        <v>17</v>
      </c>
      <c r="N86" s="117" t="s">
        <v>18</v>
      </c>
      <c r="O86" s="117"/>
      <c r="P86" s="117"/>
      <c r="Q86" s="117"/>
      <c r="R86" s="117"/>
    </row>
    <row r="87" spans="1:20" ht="27" customHeight="1">
      <c r="A87" s="117">
        <v>82</v>
      </c>
      <c r="B87" s="117" t="s">
        <v>724</v>
      </c>
      <c r="C87" s="117" t="s">
        <v>210</v>
      </c>
      <c r="D87" s="117" t="s">
        <v>211</v>
      </c>
      <c r="E87" s="117" t="s">
        <v>23</v>
      </c>
      <c r="F87" s="117">
        <v>669</v>
      </c>
      <c r="G87" s="117">
        <v>14</v>
      </c>
      <c r="H87" s="117">
        <v>14</v>
      </c>
      <c r="I87" s="117"/>
      <c r="J87" s="117"/>
      <c r="K87" s="117" t="s">
        <v>1934</v>
      </c>
      <c r="L87" s="117" t="s">
        <v>212</v>
      </c>
      <c r="M87" s="117" t="s">
        <v>17</v>
      </c>
      <c r="N87" s="117" t="s">
        <v>18</v>
      </c>
      <c r="O87" s="117"/>
      <c r="P87" s="117"/>
      <c r="Q87" s="117"/>
      <c r="R87" s="117"/>
    </row>
    <row r="88" spans="1:20" ht="27" customHeight="1">
      <c r="A88" s="117">
        <v>83</v>
      </c>
      <c r="B88" s="117" t="s">
        <v>724</v>
      </c>
      <c r="C88" s="117" t="s">
        <v>213</v>
      </c>
      <c r="D88" s="117" t="s">
        <v>214</v>
      </c>
      <c r="E88" s="117" t="s">
        <v>0</v>
      </c>
      <c r="F88" s="117">
        <v>75</v>
      </c>
      <c r="G88" s="117">
        <v>25</v>
      </c>
      <c r="H88" s="117">
        <v>25</v>
      </c>
      <c r="I88" s="117"/>
      <c r="J88" s="117"/>
      <c r="K88" s="117" t="s">
        <v>1935</v>
      </c>
      <c r="L88" s="117" t="s">
        <v>215</v>
      </c>
      <c r="M88" s="117" t="s">
        <v>17</v>
      </c>
      <c r="N88" s="117" t="s">
        <v>18</v>
      </c>
      <c r="O88" s="117"/>
      <c r="P88" s="117"/>
      <c r="Q88" s="117"/>
      <c r="R88" s="117"/>
      <c r="S88" s="126"/>
      <c r="T88" s="126"/>
    </row>
    <row r="89" spans="1:20" ht="27" customHeight="1">
      <c r="A89" s="117">
        <v>84</v>
      </c>
      <c r="B89" s="117" t="s">
        <v>724</v>
      </c>
      <c r="C89" s="117" t="s">
        <v>216</v>
      </c>
      <c r="D89" s="117" t="s">
        <v>216</v>
      </c>
      <c r="E89" s="117" t="s">
        <v>3</v>
      </c>
      <c r="F89" s="117">
        <v>3</v>
      </c>
      <c r="G89" s="117">
        <v>3</v>
      </c>
      <c r="H89" s="117">
        <v>3</v>
      </c>
      <c r="I89" s="117"/>
      <c r="J89" s="117"/>
      <c r="K89" s="117" t="s">
        <v>17</v>
      </c>
      <c r="L89" s="117" t="s">
        <v>72</v>
      </c>
      <c r="M89" s="117" t="s">
        <v>17</v>
      </c>
      <c r="N89" s="117" t="s">
        <v>72</v>
      </c>
      <c r="O89" s="117"/>
      <c r="P89" s="117"/>
      <c r="Q89" s="117"/>
      <c r="R89" s="117"/>
      <c r="S89" s="126"/>
      <c r="T89" s="126"/>
    </row>
    <row r="90" spans="1:20" ht="65.25" customHeight="1">
      <c r="A90" s="117">
        <v>85</v>
      </c>
      <c r="B90" s="117" t="s">
        <v>724</v>
      </c>
      <c r="C90" s="117" t="s">
        <v>217</v>
      </c>
      <c r="D90" s="117" t="s">
        <v>217</v>
      </c>
      <c r="E90" s="117" t="s">
        <v>1347</v>
      </c>
      <c r="F90" s="117">
        <v>59</v>
      </c>
      <c r="G90" s="117">
        <v>21</v>
      </c>
      <c r="H90" s="117"/>
      <c r="I90" s="117"/>
      <c r="J90" s="117"/>
      <c r="K90" s="117" t="s">
        <v>1936</v>
      </c>
      <c r="L90" s="117" t="s">
        <v>218</v>
      </c>
      <c r="M90" s="117" t="s">
        <v>2173</v>
      </c>
      <c r="N90" s="117" t="s">
        <v>218</v>
      </c>
      <c r="O90" s="117"/>
      <c r="P90" s="117"/>
      <c r="Q90" s="117"/>
      <c r="R90" s="117" t="s">
        <v>1245</v>
      </c>
    </row>
    <row r="91" spans="1:20" ht="27" customHeight="1">
      <c r="A91" s="117">
        <v>86</v>
      </c>
      <c r="B91" s="117" t="s">
        <v>724</v>
      </c>
      <c r="C91" s="117" t="s">
        <v>219</v>
      </c>
      <c r="D91" s="117" t="s">
        <v>219</v>
      </c>
      <c r="E91" s="117" t="s">
        <v>1347</v>
      </c>
      <c r="F91" s="117">
        <v>2438</v>
      </c>
      <c r="G91" s="117">
        <v>174</v>
      </c>
      <c r="H91" s="117"/>
      <c r="I91" s="117"/>
      <c r="J91" s="117"/>
      <c r="K91" s="117" t="s">
        <v>1937</v>
      </c>
      <c r="L91" s="117" t="s">
        <v>220</v>
      </c>
      <c r="M91" s="117" t="s">
        <v>2174</v>
      </c>
      <c r="N91" s="117" t="s">
        <v>220</v>
      </c>
      <c r="O91" s="117"/>
      <c r="P91" s="117"/>
      <c r="Q91" s="117"/>
      <c r="R91" s="117" t="s">
        <v>1245</v>
      </c>
    </row>
    <row r="92" spans="1:20" ht="38.25" customHeight="1">
      <c r="A92" s="117">
        <v>87</v>
      </c>
      <c r="B92" s="117" t="s">
        <v>724</v>
      </c>
      <c r="C92" s="117" t="s">
        <v>221</v>
      </c>
      <c r="D92" s="117" t="s">
        <v>1268</v>
      </c>
      <c r="E92" s="117" t="s">
        <v>0</v>
      </c>
      <c r="F92" s="117">
        <v>1099</v>
      </c>
      <c r="G92" s="117">
        <v>531</v>
      </c>
      <c r="H92" s="117">
        <v>394</v>
      </c>
      <c r="I92" s="117"/>
      <c r="J92" s="117"/>
      <c r="K92" s="117" t="s">
        <v>1935</v>
      </c>
      <c r="L92" s="117" t="s">
        <v>215</v>
      </c>
      <c r="M92" s="117" t="s">
        <v>17</v>
      </c>
      <c r="N92" s="117" t="s">
        <v>18</v>
      </c>
      <c r="O92" s="117"/>
      <c r="P92" s="117"/>
      <c r="Q92" s="117"/>
      <c r="R92" s="117"/>
    </row>
    <row r="93" spans="1:20" ht="39" customHeight="1">
      <c r="A93" s="117">
        <v>88</v>
      </c>
      <c r="B93" s="117" t="s">
        <v>724</v>
      </c>
      <c r="C93" s="117" t="s">
        <v>222</v>
      </c>
      <c r="D93" s="117" t="s">
        <v>223</v>
      </c>
      <c r="E93" s="117" t="s">
        <v>0</v>
      </c>
      <c r="F93" s="117">
        <v>1247</v>
      </c>
      <c r="G93" s="117">
        <v>631</v>
      </c>
      <c r="H93" s="117">
        <v>631</v>
      </c>
      <c r="I93" s="117"/>
      <c r="J93" s="117"/>
      <c r="K93" s="117" t="s">
        <v>1938</v>
      </c>
      <c r="L93" s="117" t="s">
        <v>224</v>
      </c>
      <c r="M93" s="117" t="s">
        <v>17</v>
      </c>
      <c r="N93" s="117" t="s">
        <v>18</v>
      </c>
      <c r="O93" s="117"/>
      <c r="P93" s="117"/>
      <c r="Q93" s="117"/>
      <c r="R93" s="117"/>
    </row>
    <row r="94" spans="1:20" ht="51" customHeight="1">
      <c r="A94" s="117">
        <v>89</v>
      </c>
      <c r="B94" s="117" t="s">
        <v>724</v>
      </c>
      <c r="C94" s="117" t="s">
        <v>222</v>
      </c>
      <c r="D94" s="117" t="s">
        <v>222</v>
      </c>
      <c r="E94" s="117" t="s">
        <v>1347</v>
      </c>
      <c r="F94" s="117">
        <v>1247</v>
      </c>
      <c r="G94" s="117">
        <v>25</v>
      </c>
      <c r="H94" s="117"/>
      <c r="I94" s="117"/>
      <c r="J94" s="117"/>
      <c r="K94" s="117" t="s">
        <v>1938</v>
      </c>
      <c r="L94" s="117" t="s">
        <v>224</v>
      </c>
      <c r="M94" s="117" t="s">
        <v>2175</v>
      </c>
      <c r="N94" s="117" t="s">
        <v>224</v>
      </c>
      <c r="O94" s="117"/>
      <c r="P94" s="117"/>
      <c r="Q94" s="117"/>
      <c r="R94" s="117" t="s">
        <v>1245</v>
      </c>
    </row>
    <row r="95" spans="1:20" ht="51" customHeight="1">
      <c r="A95" s="117">
        <v>90</v>
      </c>
      <c r="B95" s="117" t="s">
        <v>724</v>
      </c>
      <c r="C95" s="117" t="s">
        <v>1283</v>
      </c>
      <c r="D95" s="117" t="s">
        <v>1283</v>
      </c>
      <c r="E95" s="117" t="s">
        <v>3</v>
      </c>
      <c r="F95" s="117">
        <v>7</v>
      </c>
      <c r="G95" s="117"/>
      <c r="H95" s="117">
        <v>7</v>
      </c>
      <c r="I95" s="117"/>
      <c r="J95" s="117"/>
      <c r="K95" s="117" t="s">
        <v>17</v>
      </c>
      <c r="L95" s="117"/>
      <c r="M95" s="117" t="s">
        <v>17</v>
      </c>
      <c r="N95" s="117" t="s">
        <v>1269</v>
      </c>
      <c r="O95" s="117"/>
      <c r="P95" s="117"/>
      <c r="Q95" s="117"/>
      <c r="R95" s="117" t="s">
        <v>1356</v>
      </c>
    </row>
    <row r="96" spans="1:20" ht="51" customHeight="1">
      <c r="A96" s="117">
        <v>91</v>
      </c>
      <c r="B96" s="117" t="s">
        <v>724</v>
      </c>
      <c r="C96" s="117" t="s">
        <v>225</v>
      </c>
      <c r="D96" s="117" t="s">
        <v>226</v>
      </c>
      <c r="E96" s="117" t="s">
        <v>0</v>
      </c>
      <c r="F96" s="117">
        <v>2192</v>
      </c>
      <c r="G96" s="117">
        <v>390</v>
      </c>
      <c r="H96" s="117">
        <v>390</v>
      </c>
      <c r="I96" s="117"/>
      <c r="J96" s="117"/>
      <c r="K96" s="117" t="s">
        <v>1939</v>
      </c>
      <c r="L96" s="117" t="s">
        <v>227</v>
      </c>
      <c r="M96" s="117" t="s">
        <v>17</v>
      </c>
      <c r="N96" s="117" t="s">
        <v>18</v>
      </c>
      <c r="O96" s="117"/>
      <c r="P96" s="117"/>
      <c r="Q96" s="117"/>
      <c r="R96" s="117"/>
    </row>
    <row r="97" spans="1:20" ht="51" customHeight="1">
      <c r="A97" s="117">
        <v>92</v>
      </c>
      <c r="B97" s="117" t="s">
        <v>724</v>
      </c>
      <c r="C97" s="117" t="s">
        <v>228</v>
      </c>
      <c r="D97" s="117" t="s">
        <v>228</v>
      </c>
      <c r="E97" s="117" t="s">
        <v>0</v>
      </c>
      <c r="F97" s="117">
        <v>229</v>
      </c>
      <c r="G97" s="117">
        <v>229</v>
      </c>
      <c r="H97" s="117">
        <v>229</v>
      </c>
      <c r="I97" s="117"/>
      <c r="J97" s="117"/>
      <c r="K97" s="117" t="s">
        <v>1934</v>
      </c>
      <c r="L97" s="117" t="s">
        <v>1241</v>
      </c>
      <c r="M97" s="117" t="s">
        <v>17</v>
      </c>
      <c r="N97" s="117" t="s">
        <v>18</v>
      </c>
      <c r="O97" s="117"/>
      <c r="P97" s="117"/>
      <c r="Q97" s="117"/>
      <c r="R97" s="117"/>
    </row>
    <row r="98" spans="1:20" ht="51" customHeight="1">
      <c r="A98" s="117">
        <v>93</v>
      </c>
      <c r="B98" s="117" t="s">
        <v>724</v>
      </c>
      <c r="C98" s="117" t="s">
        <v>229</v>
      </c>
      <c r="D98" s="117" t="s">
        <v>230</v>
      </c>
      <c r="E98" s="117" t="s">
        <v>23</v>
      </c>
      <c r="F98" s="117">
        <v>1257</v>
      </c>
      <c r="G98" s="117">
        <v>655</v>
      </c>
      <c r="H98" s="117">
        <v>655</v>
      </c>
      <c r="I98" s="117"/>
      <c r="J98" s="117"/>
      <c r="K98" s="117" t="s">
        <v>1289</v>
      </c>
      <c r="L98" s="117" t="s">
        <v>1240</v>
      </c>
      <c r="M98" s="117" t="s">
        <v>17</v>
      </c>
      <c r="N98" s="117" t="s">
        <v>18</v>
      </c>
      <c r="O98" s="117"/>
      <c r="P98" s="117"/>
      <c r="Q98" s="117"/>
      <c r="R98" s="117"/>
    </row>
    <row r="99" spans="1:20" ht="51" customHeight="1">
      <c r="A99" s="117">
        <v>94</v>
      </c>
      <c r="B99" s="117" t="s">
        <v>724</v>
      </c>
      <c r="C99" s="117" t="s">
        <v>231</v>
      </c>
      <c r="D99" s="117" t="s">
        <v>231</v>
      </c>
      <c r="E99" s="117" t="s">
        <v>0</v>
      </c>
      <c r="F99" s="117">
        <v>66</v>
      </c>
      <c r="G99" s="117">
        <v>66</v>
      </c>
      <c r="H99" s="117">
        <v>66</v>
      </c>
      <c r="I99" s="117"/>
      <c r="J99" s="117"/>
      <c r="K99" s="117" t="s">
        <v>1940</v>
      </c>
      <c r="L99" s="117" t="s">
        <v>1240</v>
      </c>
      <c r="M99" s="117" t="s">
        <v>17</v>
      </c>
      <c r="N99" s="117" t="s">
        <v>18</v>
      </c>
      <c r="O99" s="117"/>
      <c r="P99" s="117"/>
      <c r="Q99" s="117"/>
      <c r="R99" s="117"/>
    </row>
    <row r="100" spans="1:20" ht="51" customHeight="1">
      <c r="A100" s="117">
        <v>95</v>
      </c>
      <c r="B100" s="117" t="s">
        <v>724</v>
      </c>
      <c r="C100" s="117" t="s">
        <v>232</v>
      </c>
      <c r="D100" s="117" t="s">
        <v>233</v>
      </c>
      <c r="E100" s="117" t="s">
        <v>23</v>
      </c>
      <c r="F100" s="117">
        <v>668</v>
      </c>
      <c r="G100" s="117">
        <v>25</v>
      </c>
      <c r="H100" s="117">
        <v>25</v>
      </c>
      <c r="I100" s="117"/>
      <c r="J100" s="117"/>
      <c r="K100" s="117" t="s">
        <v>1941</v>
      </c>
      <c r="L100" s="117" t="s">
        <v>234</v>
      </c>
      <c r="M100" s="117" t="s">
        <v>17</v>
      </c>
      <c r="N100" s="117" t="s">
        <v>18</v>
      </c>
      <c r="O100" s="117"/>
      <c r="P100" s="117"/>
      <c r="Q100" s="117"/>
      <c r="R100" s="117"/>
    </row>
    <row r="101" spans="1:20" ht="27" customHeight="1">
      <c r="A101" s="117">
        <v>96</v>
      </c>
      <c r="B101" s="117" t="s">
        <v>724</v>
      </c>
      <c r="C101" s="117" t="s">
        <v>236</v>
      </c>
      <c r="D101" s="117" t="s">
        <v>237</v>
      </c>
      <c r="E101" s="117" t="s">
        <v>0</v>
      </c>
      <c r="F101" s="117">
        <v>34</v>
      </c>
      <c r="G101" s="117">
        <v>6</v>
      </c>
      <c r="H101" s="117">
        <v>6</v>
      </c>
      <c r="I101" s="117"/>
      <c r="J101" s="117"/>
      <c r="K101" s="117" t="s">
        <v>1942</v>
      </c>
      <c r="L101" s="117" t="s">
        <v>238</v>
      </c>
      <c r="M101" s="117" t="s">
        <v>17</v>
      </c>
      <c r="N101" s="117" t="s">
        <v>18</v>
      </c>
      <c r="O101" s="117"/>
      <c r="P101" s="117"/>
      <c r="Q101" s="117"/>
      <c r="R101" s="117"/>
    </row>
    <row r="102" spans="1:20" ht="27" customHeight="1">
      <c r="A102" s="117">
        <v>97</v>
      </c>
      <c r="B102" s="117" t="s">
        <v>724</v>
      </c>
      <c r="C102" s="117" t="s">
        <v>239</v>
      </c>
      <c r="D102" s="117" t="s">
        <v>239</v>
      </c>
      <c r="E102" s="117" t="s">
        <v>3</v>
      </c>
      <c r="F102" s="117">
        <v>400</v>
      </c>
      <c r="G102" s="117">
        <v>400</v>
      </c>
      <c r="H102" s="117">
        <v>400</v>
      </c>
      <c r="I102" s="117"/>
      <c r="J102" s="117"/>
      <c r="K102" s="117" t="s">
        <v>17</v>
      </c>
      <c r="L102" s="117" t="s">
        <v>72</v>
      </c>
      <c r="M102" s="117" t="s">
        <v>17</v>
      </c>
      <c r="N102" s="117" t="s">
        <v>72</v>
      </c>
      <c r="O102" s="117"/>
      <c r="P102" s="117"/>
      <c r="Q102" s="117"/>
      <c r="R102" s="117"/>
    </row>
    <row r="103" spans="1:20" ht="27" customHeight="1">
      <c r="A103" s="117">
        <v>98</v>
      </c>
      <c r="B103" s="117" t="s">
        <v>724</v>
      </c>
      <c r="C103" s="117" t="s">
        <v>240</v>
      </c>
      <c r="D103" s="117" t="s">
        <v>240</v>
      </c>
      <c r="E103" s="117" t="s">
        <v>3</v>
      </c>
      <c r="F103" s="117">
        <v>50</v>
      </c>
      <c r="G103" s="117">
        <v>50</v>
      </c>
      <c r="H103" s="117">
        <v>50</v>
      </c>
      <c r="I103" s="117"/>
      <c r="J103" s="117"/>
      <c r="K103" s="117" t="s">
        <v>17</v>
      </c>
      <c r="L103" s="117"/>
      <c r="M103" s="117" t="s">
        <v>17</v>
      </c>
      <c r="N103" s="117"/>
      <c r="O103" s="117"/>
      <c r="P103" s="117"/>
      <c r="Q103" s="117"/>
      <c r="R103" s="117"/>
    </row>
    <row r="104" spans="1:20" ht="27" customHeight="1">
      <c r="A104" s="117">
        <v>99</v>
      </c>
      <c r="B104" s="117" t="s">
        <v>724</v>
      </c>
      <c r="C104" s="117" t="s">
        <v>241</v>
      </c>
      <c r="D104" s="117" t="s">
        <v>241</v>
      </c>
      <c r="E104" s="117" t="s">
        <v>3</v>
      </c>
      <c r="F104" s="117">
        <v>192</v>
      </c>
      <c r="G104" s="117">
        <v>192</v>
      </c>
      <c r="H104" s="117">
        <v>192</v>
      </c>
      <c r="I104" s="117"/>
      <c r="J104" s="117"/>
      <c r="K104" s="117" t="s">
        <v>17</v>
      </c>
      <c r="L104" s="117" t="s">
        <v>72</v>
      </c>
      <c r="M104" s="117" t="s">
        <v>17</v>
      </c>
      <c r="N104" s="117" t="s">
        <v>72</v>
      </c>
      <c r="O104" s="117"/>
      <c r="P104" s="117"/>
      <c r="Q104" s="117"/>
      <c r="R104" s="117"/>
    </row>
    <row r="105" spans="1:20" ht="27" customHeight="1">
      <c r="A105" s="117">
        <v>100</v>
      </c>
      <c r="B105" s="117" t="s">
        <v>724</v>
      </c>
      <c r="C105" s="117" t="s">
        <v>242</v>
      </c>
      <c r="D105" s="117" t="s">
        <v>242</v>
      </c>
      <c r="E105" s="117" t="s">
        <v>3</v>
      </c>
      <c r="F105" s="117">
        <v>139</v>
      </c>
      <c r="G105" s="117">
        <v>139</v>
      </c>
      <c r="H105" s="117">
        <v>139</v>
      </c>
      <c r="I105" s="117"/>
      <c r="J105" s="117"/>
      <c r="K105" s="117" t="s">
        <v>17</v>
      </c>
      <c r="L105" s="117" t="s">
        <v>72</v>
      </c>
      <c r="M105" s="117" t="s">
        <v>17</v>
      </c>
      <c r="N105" s="117" t="s">
        <v>72</v>
      </c>
      <c r="O105" s="117"/>
      <c r="P105" s="117"/>
      <c r="Q105" s="117"/>
      <c r="R105" s="117"/>
    </row>
    <row r="106" spans="1:20" ht="57" customHeight="1">
      <c r="A106" s="117">
        <v>101</v>
      </c>
      <c r="B106" s="117" t="s">
        <v>724</v>
      </c>
      <c r="C106" s="117" t="s">
        <v>243</v>
      </c>
      <c r="D106" s="117" t="s">
        <v>243</v>
      </c>
      <c r="E106" s="117" t="s">
        <v>1347</v>
      </c>
      <c r="F106" s="117">
        <v>3666</v>
      </c>
      <c r="G106" s="117">
        <v>100</v>
      </c>
      <c r="H106" s="117"/>
      <c r="I106" s="117"/>
      <c r="J106" s="117"/>
      <c r="K106" s="117" t="s">
        <v>1943</v>
      </c>
      <c r="L106" s="117" t="s">
        <v>244</v>
      </c>
      <c r="M106" s="117" t="s">
        <v>1943</v>
      </c>
      <c r="N106" s="117" t="s">
        <v>244</v>
      </c>
      <c r="O106" s="117"/>
      <c r="P106" s="117"/>
      <c r="Q106" s="117"/>
      <c r="R106" s="117" t="s">
        <v>1245</v>
      </c>
    </row>
    <row r="107" spans="1:20" ht="53.25" customHeight="1">
      <c r="A107" s="117">
        <v>102</v>
      </c>
      <c r="B107" s="117" t="s">
        <v>724</v>
      </c>
      <c r="C107" s="117" t="s">
        <v>243</v>
      </c>
      <c r="D107" s="117" t="s">
        <v>243</v>
      </c>
      <c r="E107" s="117" t="s">
        <v>1347</v>
      </c>
      <c r="F107" s="117">
        <v>3666</v>
      </c>
      <c r="G107" s="117">
        <v>4</v>
      </c>
      <c r="H107" s="117"/>
      <c r="I107" s="117"/>
      <c r="J107" s="117"/>
      <c r="K107" s="117" t="s">
        <v>1943</v>
      </c>
      <c r="L107" s="117" t="s">
        <v>244</v>
      </c>
      <c r="M107" s="117" t="s">
        <v>1943</v>
      </c>
      <c r="N107" s="117" t="s">
        <v>244</v>
      </c>
      <c r="O107" s="117"/>
      <c r="P107" s="117"/>
      <c r="Q107" s="117"/>
      <c r="R107" s="117" t="s">
        <v>1245</v>
      </c>
    </row>
    <row r="108" spans="1:20" ht="32.25" customHeight="1">
      <c r="A108" s="117">
        <v>103</v>
      </c>
      <c r="B108" s="117" t="s">
        <v>724</v>
      </c>
      <c r="C108" s="117" t="s">
        <v>245</v>
      </c>
      <c r="D108" s="117" t="s">
        <v>245</v>
      </c>
      <c r="E108" s="117" t="s">
        <v>3</v>
      </c>
      <c r="F108" s="117">
        <v>298</v>
      </c>
      <c r="G108" s="117">
        <v>298</v>
      </c>
      <c r="H108" s="117">
        <v>298</v>
      </c>
      <c r="I108" s="117"/>
      <c r="J108" s="117"/>
      <c r="K108" s="117" t="s">
        <v>1</v>
      </c>
      <c r="L108" s="117" t="s">
        <v>18</v>
      </c>
      <c r="M108" s="117" t="s">
        <v>17</v>
      </c>
      <c r="N108" s="117" t="s">
        <v>18</v>
      </c>
      <c r="O108" s="117"/>
      <c r="P108" s="117"/>
      <c r="Q108" s="117"/>
      <c r="R108" s="117"/>
      <c r="S108" s="126"/>
      <c r="T108" s="126"/>
    </row>
    <row r="109" spans="1:20" ht="27" customHeight="1">
      <c r="A109" s="117">
        <v>104</v>
      </c>
      <c r="B109" s="117" t="s">
        <v>724</v>
      </c>
      <c r="C109" s="117" t="s">
        <v>246</v>
      </c>
      <c r="D109" s="117" t="s">
        <v>246</v>
      </c>
      <c r="E109" s="117" t="s">
        <v>3</v>
      </c>
      <c r="F109" s="117">
        <v>1674</v>
      </c>
      <c r="G109" s="117">
        <v>3</v>
      </c>
      <c r="H109" s="117">
        <v>3</v>
      </c>
      <c r="I109" s="117"/>
      <c r="J109" s="117"/>
      <c r="K109" s="117" t="s">
        <v>17</v>
      </c>
      <c r="L109" s="117" t="s">
        <v>72</v>
      </c>
      <c r="M109" s="117" t="s">
        <v>17</v>
      </c>
      <c r="N109" s="117" t="s">
        <v>72</v>
      </c>
      <c r="O109" s="117"/>
      <c r="P109" s="117"/>
      <c r="Q109" s="117"/>
      <c r="R109" s="117"/>
      <c r="S109" s="126"/>
      <c r="T109" s="126"/>
    </row>
    <row r="110" spans="1:20" ht="27" customHeight="1">
      <c r="A110" s="117">
        <v>105</v>
      </c>
      <c r="B110" s="117" t="s">
        <v>724</v>
      </c>
      <c r="C110" s="117" t="s">
        <v>247</v>
      </c>
      <c r="D110" s="117" t="s">
        <v>247</v>
      </c>
      <c r="E110" s="117" t="s">
        <v>3</v>
      </c>
      <c r="F110" s="117">
        <v>10</v>
      </c>
      <c r="G110" s="117">
        <v>10</v>
      </c>
      <c r="H110" s="117">
        <v>10</v>
      </c>
      <c r="I110" s="117"/>
      <c r="J110" s="117"/>
      <c r="K110" s="117" t="s">
        <v>1</v>
      </c>
      <c r="L110" s="117" t="s">
        <v>18</v>
      </c>
      <c r="M110" s="117" t="s">
        <v>17</v>
      </c>
      <c r="N110" s="117" t="s">
        <v>18</v>
      </c>
      <c r="O110" s="117"/>
      <c r="P110" s="117"/>
      <c r="Q110" s="117"/>
      <c r="R110" s="117"/>
    </row>
    <row r="111" spans="1:20" ht="27" customHeight="1">
      <c r="A111" s="117">
        <v>106</v>
      </c>
      <c r="B111" s="117" t="s">
        <v>724</v>
      </c>
      <c r="C111" s="117" t="s">
        <v>248</v>
      </c>
      <c r="D111" s="117" t="s">
        <v>248</v>
      </c>
      <c r="E111" s="117" t="s">
        <v>0</v>
      </c>
      <c r="F111" s="117">
        <v>1346</v>
      </c>
      <c r="G111" s="117">
        <v>1346</v>
      </c>
      <c r="H111" s="117">
        <v>1346</v>
      </c>
      <c r="I111" s="117"/>
      <c r="J111" s="117"/>
      <c r="K111" s="117" t="s">
        <v>1</v>
      </c>
      <c r="L111" s="117" t="s">
        <v>18</v>
      </c>
      <c r="M111" s="117" t="s">
        <v>17</v>
      </c>
      <c r="N111" s="117" t="s">
        <v>18</v>
      </c>
      <c r="O111" s="117"/>
      <c r="P111" s="117"/>
      <c r="Q111" s="117"/>
      <c r="R111" s="117"/>
    </row>
    <row r="112" spans="1:20" ht="27" customHeight="1">
      <c r="A112" s="117">
        <v>107</v>
      </c>
      <c r="B112" s="117" t="s">
        <v>724</v>
      </c>
      <c r="C112" s="117" t="s">
        <v>249</v>
      </c>
      <c r="D112" s="117" t="s">
        <v>249</v>
      </c>
      <c r="E112" s="117" t="s">
        <v>3</v>
      </c>
      <c r="F112" s="117">
        <v>961</v>
      </c>
      <c r="G112" s="117">
        <v>961</v>
      </c>
      <c r="H112" s="117">
        <v>961</v>
      </c>
      <c r="I112" s="117"/>
      <c r="J112" s="117"/>
      <c r="K112" s="117" t="s">
        <v>17</v>
      </c>
      <c r="L112" s="117" t="s">
        <v>72</v>
      </c>
      <c r="M112" s="117" t="s">
        <v>17</v>
      </c>
      <c r="N112" s="117" t="s">
        <v>72</v>
      </c>
      <c r="O112" s="117"/>
      <c r="P112" s="117"/>
      <c r="Q112" s="117"/>
      <c r="R112" s="117"/>
    </row>
    <row r="113" spans="1:20" ht="27" customHeight="1">
      <c r="A113" s="117">
        <v>108</v>
      </c>
      <c r="B113" s="117" t="s">
        <v>724</v>
      </c>
      <c r="C113" s="117" t="s">
        <v>250</v>
      </c>
      <c r="D113" s="117" t="s">
        <v>250</v>
      </c>
      <c r="E113" s="117" t="s">
        <v>1348</v>
      </c>
      <c r="F113" s="117">
        <v>50</v>
      </c>
      <c r="G113" s="117">
        <v>10</v>
      </c>
      <c r="H113" s="117"/>
      <c r="I113" s="117"/>
      <c r="J113" s="117"/>
      <c r="K113" s="117" t="s">
        <v>17</v>
      </c>
      <c r="L113" s="117" t="s">
        <v>72</v>
      </c>
      <c r="M113" s="117" t="s">
        <v>17</v>
      </c>
      <c r="N113" s="117" t="s">
        <v>72</v>
      </c>
      <c r="O113" s="117"/>
      <c r="P113" s="117"/>
      <c r="Q113" s="117"/>
      <c r="R113" s="117" t="s">
        <v>1245</v>
      </c>
    </row>
    <row r="114" spans="1:20" ht="27" customHeight="1">
      <c r="A114" s="117">
        <v>109</v>
      </c>
      <c r="B114" s="117" t="s">
        <v>724</v>
      </c>
      <c r="C114" s="117" t="s">
        <v>251</v>
      </c>
      <c r="D114" s="117" t="s">
        <v>252</v>
      </c>
      <c r="E114" s="117" t="s">
        <v>3</v>
      </c>
      <c r="F114" s="117">
        <v>6053</v>
      </c>
      <c r="G114" s="117">
        <v>2232</v>
      </c>
      <c r="H114" s="117">
        <v>2232</v>
      </c>
      <c r="I114" s="117"/>
      <c r="J114" s="117"/>
      <c r="K114" s="117" t="s">
        <v>17</v>
      </c>
      <c r="L114" s="117" t="s">
        <v>72</v>
      </c>
      <c r="M114" s="117" t="s">
        <v>17</v>
      </c>
      <c r="N114" s="117" t="s">
        <v>72</v>
      </c>
      <c r="O114" s="117"/>
      <c r="P114" s="117"/>
      <c r="Q114" s="117"/>
      <c r="R114" s="117"/>
    </row>
    <row r="115" spans="1:20" ht="27" customHeight="1">
      <c r="A115" s="117">
        <v>110</v>
      </c>
      <c r="B115" s="117" t="s">
        <v>724</v>
      </c>
      <c r="C115" s="117" t="s">
        <v>253</v>
      </c>
      <c r="D115" s="117" t="s">
        <v>253</v>
      </c>
      <c r="E115" s="117" t="s">
        <v>1347</v>
      </c>
      <c r="F115" s="117">
        <v>37</v>
      </c>
      <c r="G115" s="117">
        <v>2</v>
      </c>
      <c r="H115" s="117"/>
      <c r="I115" s="117"/>
      <c r="J115" s="117"/>
      <c r="K115" s="117" t="s">
        <v>2176</v>
      </c>
      <c r="L115" s="117" t="s">
        <v>254</v>
      </c>
      <c r="M115" s="117" t="s">
        <v>2176</v>
      </c>
      <c r="N115" s="117" t="s">
        <v>254</v>
      </c>
      <c r="O115" s="117"/>
      <c r="P115" s="117"/>
      <c r="Q115" s="117"/>
      <c r="R115" s="117" t="s">
        <v>1245</v>
      </c>
    </row>
    <row r="116" spans="1:20" ht="27" customHeight="1">
      <c r="A116" s="117">
        <v>111</v>
      </c>
      <c r="B116" s="117" t="s">
        <v>724</v>
      </c>
      <c r="C116" s="117" t="s">
        <v>255</v>
      </c>
      <c r="D116" s="117" t="s">
        <v>255</v>
      </c>
      <c r="E116" s="117" t="s">
        <v>1348</v>
      </c>
      <c r="F116" s="117">
        <v>3647</v>
      </c>
      <c r="G116" s="117">
        <v>44</v>
      </c>
      <c r="H116" s="117"/>
      <c r="I116" s="117"/>
      <c r="J116" s="117"/>
      <c r="K116" s="117" t="s">
        <v>205</v>
      </c>
      <c r="L116" s="117"/>
      <c r="M116" s="117" t="s">
        <v>17</v>
      </c>
      <c r="N116" s="117" t="s">
        <v>1263</v>
      </c>
      <c r="O116" s="117"/>
      <c r="P116" s="117"/>
      <c r="Q116" s="117"/>
      <c r="R116" s="117" t="s">
        <v>1245</v>
      </c>
    </row>
    <row r="117" spans="1:20" ht="66.75" customHeight="1">
      <c r="A117" s="117">
        <v>112</v>
      </c>
      <c r="B117" s="117" t="s">
        <v>724</v>
      </c>
      <c r="C117" s="117" t="s">
        <v>256</v>
      </c>
      <c r="D117" s="117" t="s">
        <v>256</v>
      </c>
      <c r="E117" s="117" t="s">
        <v>1349</v>
      </c>
      <c r="F117" s="117">
        <v>2596</v>
      </c>
      <c r="G117" s="117">
        <v>21</v>
      </c>
      <c r="H117" s="117"/>
      <c r="I117" s="117"/>
      <c r="J117" s="117"/>
      <c r="K117" s="117" t="s">
        <v>1944</v>
      </c>
      <c r="L117" s="117" t="s">
        <v>257</v>
      </c>
      <c r="M117" s="117" t="s">
        <v>1944</v>
      </c>
      <c r="N117" s="117" t="s">
        <v>257</v>
      </c>
      <c r="O117" s="117" t="s">
        <v>2172</v>
      </c>
      <c r="P117" s="117" t="s">
        <v>258</v>
      </c>
      <c r="Q117" s="117" t="s">
        <v>259</v>
      </c>
      <c r="R117" s="117" t="s">
        <v>1245</v>
      </c>
    </row>
    <row r="118" spans="1:20" ht="59.25" customHeight="1">
      <c r="A118" s="117">
        <v>113</v>
      </c>
      <c r="B118" s="117" t="s">
        <v>724</v>
      </c>
      <c r="C118" s="117" t="s">
        <v>1290</v>
      </c>
      <c r="D118" s="117" t="s">
        <v>1290</v>
      </c>
      <c r="E118" s="117" t="s">
        <v>1349</v>
      </c>
      <c r="F118" s="117">
        <v>2596</v>
      </c>
      <c r="G118" s="117">
        <v>3</v>
      </c>
      <c r="H118" s="117"/>
      <c r="I118" s="117"/>
      <c r="J118" s="117"/>
      <c r="K118" s="117" t="s">
        <v>1944</v>
      </c>
      <c r="L118" s="117" t="s">
        <v>257</v>
      </c>
      <c r="M118" s="117" t="s">
        <v>1944</v>
      </c>
      <c r="N118" s="117" t="s">
        <v>257</v>
      </c>
      <c r="O118" s="117" t="s">
        <v>2172</v>
      </c>
      <c r="P118" s="117" t="s">
        <v>258</v>
      </c>
      <c r="Q118" s="117" t="s">
        <v>259</v>
      </c>
      <c r="R118" s="117" t="s">
        <v>1245</v>
      </c>
    </row>
    <row r="119" spans="1:20" ht="46.5" customHeight="1">
      <c r="A119" s="117">
        <v>114</v>
      </c>
      <c r="B119" s="117" t="s">
        <v>724</v>
      </c>
      <c r="C119" s="117" t="s">
        <v>260</v>
      </c>
      <c r="D119" s="117" t="s">
        <v>261</v>
      </c>
      <c r="E119" s="117" t="s">
        <v>23</v>
      </c>
      <c r="F119" s="117">
        <v>745</v>
      </c>
      <c r="G119" s="117">
        <v>22</v>
      </c>
      <c r="H119" s="117">
        <v>22</v>
      </c>
      <c r="I119" s="117"/>
      <c r="J119" s="117"/>
      <c r="K119" s="117" t="s">
        <v>1945</v>
      </c>
      <c r="L119" s="117" t="s">
        <v>262</v>
      </c>
      <c r="M119" s="117" t="s">
        <v>17</v>
      </c>
      <c r="N119" s="117" t="s">
        <v>18</v>
      </c>
      <c r="O119" s="117"/>
      <c r="P119" s="117"/>
      <c r="Q119" s="117"/>
      <c r="R119" s="117"/>
    </row>
    <row r="120" spans="1:20" ht="27" customHeight="1">
      <c r="A120" s="117">
        <v>115</v>
      </c>
      <c r="B120" s="117" t="s">
        <v>724</v>
      </c>
      <c r="C120" s="117" t="s">
        <v>263</v>
      </c>
      <c r="D120" s="117" t="s">
        <v>264</v>
      </c>
      <c r="E120" s="117" t="s">
        <v>6</v>
      </c>
      <c r="F120" s="117">
        <v>1828</v>
      </c>
      <c r="G120" s="117">
        <v>1563</v>
      </c>
      <c r="H120" s="117">
        <v>1563</v>
      </c>
      <c r="I120" s="117"/>
      <c r="J120" s="117"/>
      <c r="K120" s="117" t="s">
        <v>1</v>
      </c>
      <c r="L120" s="117" t="s">
        <v>18</v>
      </c>
      <c r="M120" s="117" t="s">
        <v>17</v>
      </c>
      <c r="N120" s="117" t="s">
        <v>18</v>
      </c>
      <c r="O120" s="117"/>
      <c r="P120" s="117"/>
      <c r="Q120" s="117"/>
      <c r="R120" s="117"/>
    </row>
    <row r="121" spans="1:20" ht="27" customHeight="1">
      <c r="A121" s="117">
        <v>116</v>
      </c>
      <c r="B121" s="117" t="s">
        <v>724</v>
      </c>
      <c r="C121" s="117" t="s">
        <v>265</v>
      </c>
      <c r="D121" s="117" t="s">
        <v>266</v>
      </c>
      <c r="E121" s="117" t="s">
        <v>6</v>
      </c>
      <c r="F121" s="117">
        <v>140</v>
      </c>
      <c r="G121" s="117">
        <v>136</v>
      </c>
      <c r="H121" s="117">
        <v>136</v>
      </c>
      <c r="I121" s="117"/>
      <c r="J121" s="117"/>
      <c r="K121" s="117" t="s">
        <v>1</v>
      </c>
      <c r="L121" s="117" t="s">
        <v>18</v>
      </c>
      <c r="M121" s="117" t="s">
        <v>17</v>
      </c>
      <c r="N121" s="117" t="s">
        <v>18</v>
      </c>
      <c r="O121" s="117"/>
      <c r="P121" s="117"/>
      <c r="Q121" s="117"/>
      <c r="R121" s="117"/>
    </row>
    <row r="122" spans="1:20" ht="27" customHeight="1">
      <c r="A122" s="117">
        <v>117</v>
      </c>
      <c r="B122" s="117" t="s">
        <v>724</v>
      </c>
      <c r="C122" s="117" t="s">
        <v>267</v>
      </c>
      <c r="D122" s="117" t="s">
        <v>268</v>
      </c>
      <c r="E122" s="117" t="s">
        <v>23</v>
      </c>
      <c r="F122" s="117">
        <v>265</v>
      </c>
      <c r="G122" s="117">
        <v>250</v>
      </c>
      <c r="H122" s="117">
        <v>250</v>
      </c>
      <c r="I122" s="117"/>
      <c r="J122" s="117"/>
      <c r="K122" s="117" t="s">
        <v>1</v>
      </c>
      <c r="L122" s="117" t="s">
        <v>18</v>
      </c>
      <c r="M122" s="117" t="s">
        <v>17</v>
      </c>
      <c r="N122" s="117" t="s">
        <v>18</v>
      </c>
      <c r="O122" s="117"/>
      <c r="P122" s="117"/>
      <c r="Q122" s="117"/>
      <c r="R122" s="117"/>
    </row>
    <row r="123" spans="1:20" ht="27" customHeight="1">
      <c r="A123" s="117">
        <v>118</v>
      </c>
      <c r="B123" s="117" t="s">
        <v>724</v>
      </c>
      <c r="C123" s="117" t="s">
        <v>269</v>
      </c>
      <c r="D123" s="117" t="s">
        <v>270</v>
      </c>
      <c r="E123" s="117" t="s">
        <v>23</v>
      </c>
      <c r="F123" s="117">
        <v>497</v>
      </c>
      <c r="G123" s="117">
        <v>145</v>
      </c>
      <c r="H123" s="117">
        <v>145</v>
      </c>
      <c r="I123" s="117"/>
      <c r="J123" s="117"/>
      <c r="K123" s="117" t="s">
        <v>1</v>
      </c>
      <c r="L123" s="117" t="s">
        <v>18</v>
      </c>
      <c r="M123" s="117" t="s">
        <v>17</v>
      </c>
      <c r="N123" s="117" t="s">
        <v>18</v>
      </c>
      <c r="O123" s="117"/>
      <c r="P123" s="117"/>
      <c r="Q123" s="117"/>
      <c r="R123" s="117"/>
    </row>
    <row r="124" spans="1:20" ht="27" customHeight="1">
      <c r="A124" s="117">
        <v>119</v>
      </c>
      <c r="B124" s="117" t="s">
        <v>724</v>
      </c>
      <c r="C124" s="117" t="s">
        <v>1281</v>
      </c>
      <c r="D124" s="117" t="s">
        <v>1281</v>
      </c>
      <c r="E124" s="117" t="s">
        <v>3</v>
      </c>
      <c r="F124" s="117">
        <v>228</v>
      </c>
      <c r="G124" s="117"/>
      <c r="H124" s="117">
        <v>228</v>
      </c>
      <c r="I124" s="117"/>
      <c r="J124" s="117"/>
      <c r="K124" s="117" t="s">
        <v>1282</v>
      </c>
      <c r="L124" s="117"/>
      <c r="M124" s="117" t="s">
        <v>1946</v>
      </c>
      <c r="N124" s="117" t="s">
        <v>1355</v>
      </c>
      <c r="O124" s="117"/>
      <c r="P124" s="117"/>
      <c r="Q124" s="117"/>
      <c r="R124" s="117" t="s">
        <v>1356</v>
      </c>
    </row>
    <row r="125" spans="1:20" ht="27" customHeight="1">
      <c r="A125" s="117">
        <v>120</v>
      </c>
      <c r="B125" s="117" t="s">
        <v>724</v>
      </c>
      <c r="C125" s="117" t="s">
        <v>274</v>
      </c>
      <c r="D125" s="117" t="s">
        <v>274</v>
      </c>
      <c r="E125" s="117" t="s">
        <v>3</v>
      </c>
      <c r="F125" s="117">
        <v>2651</v>
      </c>
      <c r="G125" s="117">
        <v>2147</v>
      </c>
      <c r="H125" s="117">
        <v>2651</v>
      </c>
      <c r="I125" s="117"/>
      <c r="J125" s="117"/>
      <c r="K125" s="117" t="s">
        <v>17</v>
      </c>
      <c r="L125" s="117"/>
      <c r="M125" s="117" t="s">
        <v>17</v>
      </c>
      <c r="N125" s="117" t="s">
        <v>1285</v>
      </c>
      <c r="O125" s="117"/>
      <c r="P125" s="117"/>
      <c r="Q125" s="117"/>
      <c r="R125" s="117" t="s">
        <v>1337</v>
      </c>
    </row>
    <row r="126" spans="1:20" ht="27" customHeight="1">
      <c r="A126" s="117">
        <v>121</v>
      </c>
      <c r="B126" s="117" t="s">
        <v>724</v>
      </c>
      <c r="C126" s="117" t="s">
        <v>275</v>
      </c>
      <c r="D126" s="117" t="s">
        <v>276</v>
      </c>
      <c r="E126" s="117" t="s">
        <v>3</v>
      </c>
      <c r="F126" s="117">
        <v>422</v>
      </c>
      <c r="G126" s="117">
        <v>21</v>
      </c>
      <c r="H126" s="117">
        <v>21</v>
      </c>
      <c r="I126" s="117"/>
      <c r="J126" s="117"/>
      <c r="K126" s="117" t="s">
        <v>272</v>
      </c>
      <c r="L126" s="117" t="s">
        <v>273</v>
      </c>
      <c r="M126" s="117" t="s">
        <v>272</v>
      </c>
      <c r="N126" s="117" t="s">
        <v>273</v>
      </c>
      <c r="O126" s="117"/>
      <c r="P126" s="117"/>
      <c r="Q126" s="117"/>
      <c r="R126" s="117"/>
    </row>
    <row r="127" spans="1:20" ht="27" customHeight="1">
      <c r="A127" s="117">
        <v>122</v>
      </c>
      <c r="B127" s="117" t="s">
        <v>724</v>
      </c>
      <c r="C127" s="117" t="s">
        <v>277</v>
      </c>
      <c r="D127" s="117" t="s">
        <v>277</v>
      </c>
      <c r="E127" s="117" t="s">
        <v>3</v>
      </c>
      <c r="F127" s="117">
        <v>422</v>
      </c>
      <c r="G127" s="117">
        <v>17</v>
      </c>
      <c r="H127" s="117">
        <v>17</v>
      </c>
      <c r="I127" s="117"/>
      <c r="J127" s="117"/>
      <c r="K127" s="117" t="s">
        <v>272</v>
      </c>
      <c r="L127" s="117" t="s">
        <v>278</v>
      </c>
      <c r="M127" s="117" t="s">
        <v>272</v>
      </c>
      <c r="N127" s="117" t="s">
        <v>278</v>
      </c>
      <c r="O127" s="117"/>
      <c r="P127" s="117"/>
      <c r="Q127" s="117"/>
      <c r="R127" s="117"/>
    </row>
    <row r="128" spans="1:20" ht="27" customHeight="1">
      <c r="A128" s="117">
        <v>123</v>
      </c>
      <c r="B128" s="117" t="s">
        <v>724</v>
      </c>
      <c r="C128" s="117" t="s">
        <v>279</v>
      </c>
      <c r="D128" s="117" t="s">
        <v>279</v>
      </c>
      <c r="E128" s="117" t="s">
        <v>2</v>
      </c>
      <c r="F128" s="117">
        <v>147</v>
      </c>
      <c r="G128" s="117">
        <v>147</v>
      </c>
      <c r="H128" s="117">
        <v>147</v>
      </c>
      <c r="I128" s="117"/>
      <c r="J128" s="117"/>
      <c r="K128" s="117" t="s">
        <v>17</v>
      </c>
      <c r="L128" s="117" t="s">
        <v>78</v>
      </c>
      <c r="M128" s="117" t="s">
        <v>17</v>
      </c>
      <c r="N128" s="117" t="s">
        <v>78</v>
      </c>
      <c r="O128" s="117"/>
      <c r="P128" s="117"/>
      <c r="Q128" s="117"/>
      <c r="R128" s="117"/>
      <c r="S128" s="126"/>
      <c r="T128" s="126"/>
    </row>
    <row r="129" spans="1:20" ht="27" customHeight="1">
      <c r="A129" s="117">
        <v>124</v>
      </c>
      <c r="B129" s="117" t="s">
        <v>724</v>
      </c>
      <c r="C129" s="117" t="s">
        <v>4</v>
      </c>
      <c r="D129" s="117" t="s">
        <v>4</v>
      </c>
      <c r="E129" s="117" t="s">
        <v>3</v>
      </c>
      <c r="F129" s="117">
        <v>908</v>
      </c>
      <c r="G129" s="117">
        <v>100</v>
      </c>
      <c r="H129" s="117">
        <v>100</v>
      </c>
      <c r="I129" s="117"/>
      <c r="J129" s="117"/>
      <c r="K129" s="117" t="s">
        <v>17</v>
      </c>
      <c r="L129" s="117" t="s">
        <v>78</v>
      </c>
      <c r="M129" s="117" t="s">
        <v>17</v>
      </c>
      <c r="N129" s="117" t="s">
        <v>78</v>
      </c>
      <c r="O129" s="117"/>
      <c r="P129" s="117"/>
      <c r="Q129" s="117"/>
      <c r="R129" s="117"/>
    </row>
    <row r="130" spans="1:20" ht="27" customHeight="1">
      <c r="A130" s="117">
        <v>125</v>
      </c>
      <c r="B130" s="117" t="s">
        <v>724</v>
      </c>
      <c r="C130" s="117" t="s">
        <v>280</v>
      </c>
      <c r="D130" s="117" t="s">
        <v>280</v>
      </c>
      <c r="E130" s="117" t="s">
        <v>3</v>
      </c>
      <c r="F130" s="117">
        <v>23</v>
      </c>
      <c r="G130" s="117">
        <v>23</v>
      </c>
      <c r="H130" s="117">
        <v>23</v>
      </c>
      <c r="I130" s="117"/>
      <c r="J130" s="117"/>
      <c r="K130" s="117" t="s">
        <v>17</v>
      </c>
      <c r="L130" s="117" t="s">
        <v>72</v>
      </c>
      <c r="M130" s="117" t="s">
        <v>17</v>
      </c>
      <c r="N130" s="117" t="s">
        <v>72</v>
      </c>
      <c r="O130" s="117"/>
      <c r="P130" s="117"/>
      <c r="Q130" s="117"/>
      <c r="R130" s="117"/>
      <c r="S130" s="126"/>
      <c r="T130" s="126"/>
    </row>
    <row r="131" spans="1:20" ht="27" customHeight="1">
      <c r="A131" s="117">
        <v>126</v>
      </c>
      <c r="B131" s="117" t="s">
        <v>724</v>
      </c>
      <c r="C131" s="117" t="s">
        <v>281</v>
      </c>
      <c r="D131" s="117" t="s">
        <v>281</v>
      </c>
      <c r="E131" s="117" t="s">
        <v>2</v>
      </c>
      <c r="F131" s="117">
        <v>18393</v>
      </c>
      <c r="G131" s="117">
        <v>799</v>
      </c>
      <c r="H131" s="117">
        <v>799</v>
      </c>
      <c r="I131" s="117"/>
      <c r="J131" s="117"/>
      <c r="K131" s="117" t="s">
        <v>17</v>
      </c>
      <c r="L131" s="117" t="s">
        <v>78</v>
      </c>
      <c r="M131" s="117" t="s">
        <v>17</v>
      </c>
      <c r="N131" s="117" t="s">
        <v>78</v>
      </c>
      <c r="O131" s="117"/>
      <c r="P131" s="117"/>
      <c r="Q131" s="117"/>
      <c r="R131" s="117"/>
    </row>
    <row r="132" spans="1:20" ht="27" customHeight="1">
      <c r="A132" s="117">
        <v>127</v>
      </c>
      <c r="B132" s="117" t="s">
        <v>724</v>
      </c>
      <c r="C132" s="117" t="s">
        <v>282</v>
      </c>
      <c r="D132" s="117" t="s">
        <v>282</v>
      </c>
      <c r="E132" s="117" t="s">
        <v>3</v>
      </c>
      <c r="F132" s="117">
        <v>23</v>
      </c>
      <c r="G132" s="117">
        <v>23</v>
      </c>
      <c r="H132" s="117">
        <v>23</v>
      </c>
      <c r="I132" s="117"/>
      <c r="J132" s="117"/>
      <c r="K132" s="117" t="s">
        <v>1947</v>
      </c>
      <c r="L132" s="117" t="s">
        <v>283</v>
      </c>
      <c r="M132" s="117" t="s">
        <v>17</v>
      </c>
      <c r="N132" s="117" t="s">
        <v>18</v>
      </c>
      <c r="O132" s="117"/>
      <c r="P132" s="117"/>
      <c r="Q132" s="117"/>
      <c r="R132" s="117"/>
    </row>
    <row r="133" spans="1:20" ht="27" customHeight="1">
      <c r="A133" s="117">
        <v>128</v>
      </c>
      <c r="B133" s="117" t="s">
        <v>724</v>
      </c>
      <c r="C133" s="117" t="s">
        <v>58</v>
      </c>
      <c r="D133" s="117" t="s">
        <v>58</v>
      </c>
      <c r="E133" s="117" t="s">
        <v>3</v>
      </c>
      <c r="F133" s="117">
        <v>10</v>
      </c>
      <c r="G133" s="117">
        <v>10</v>
      </c>
      <c r="H133" s="117">
        <v>10</v>
      </c>
      <c r="I133" s="117"/>
      <c r="J133" s="117"/>
      <c r="K133" s="117" t="s">
        <v>1</v>
      </c>
      <c r="L133" s="117" t="s">
        <v>18</v>
      </c>
      <c r="M133" s="117" t="s">
        <v>17</v>
      </c>
      <c r="N133" s="117" t="s">
        <v>18</v>
      </c>
      <c r="O133" s="117"/>
      <c r="P133" s="117"/>
      <c r="Q133" s="117"/>
      <c r="R133" s="117"/>
    </row>
    <row r="134" spans="1:20" ht="27" customHeight="1">
      <c r="A134" s="117">
        <v>129</v>
      </c>
      <c r="B134" s="117" t="s">
        <v>724</v>
      </c>
      <c r="C134" s="117" t="s">
        <v>285</v>
      </c>
      <c r="D134" s="117" t="s">
        <v>286</v>
      </c>
      <c r="E134" s="117" t="s">
        <v>23</v>
      </c>
      <c r="F134" s="117">
        <v>1231</v>
      </c>
      <c r="G134" s="117">
        <v>29</v>
      </c>
      <c r="H134" s="117">
        <v>29</v>
      </c>
      <c r="I134" s="117"/>
      <c r="J134" s="117"/>
      <c r="K134" s="117" t="s">
        <v>1948</v>
      </c>
      <c r="L134" s="117" t="s">
        <v>287</v>
      </c>
      <c r="M134" s="117" t="s">
        <v>17</v>
      </c>
      <c r="N134" s="117" t="s">
        <v>18</v>
      </c>
      <c r="O134" s="117"/>
      <c r="P134" s="117"/>
      <c r="Q134" s="117"/>
      <c r="R134" s="117"/>
    </row>
    <row r="135" spans="1:20" ht="27" customHeight="1">
      <c r="A135" s="117">
        <v>130</v>
      </c>
      <c r="B135" s="117" t="s">
        <v>724</v>
      </c>
      <c r="C135" s="117" t="s">
        <v>288</v>
      </c>
      <c r="D135" s="117" t="s">
        <v>288</v>
      </c>
      <c r="E135" s="117" t="s">
        <v>3</v>
      </c>
      <c r="F135" s="117">
        <v>5830</v>
      </c>
      <c r="G135" s="117">
        <v>5830</v>
      </c>
      <c r="H135" s="117">
        <v>5830</v>
      </c>
      <c r="I135" s="117"/>
      <c r="J135" s="117"/>
      <c r="K135" s="117" t="s">
        <v>17</v>
      </c>
      <c r="L135" s="117" t="s">
        <v>72</v>
      </c>
      <c r="M135" s="117" t="s">
        <v>17</v>
      </c>
      <c r="N135" s="117" t="s">
        <v>72</v>
      </c>
      <c r="O135" s="117"/>
      <c r="P135" s="117"/>
      <c r="Q135" s="117"/>
      <c r="R135" s="117"/>
    </row>
    <row r="136" spans="1:20" ht="27" customHeight="1">
      <c r="A136" s="117">
        <v>131</v>
      </c>
      <c r="B136" s="117" t="s">
        <v>724</v>
      </c>
      <c r="C136" s="117" t="s">
        <v>289</v>
      </c>
      <c r="D136" s="117" t="s">
        <v>290</v>
      </c>
      <c r="E136" s="117" t="s">
        <v>23</v>
      </c>
      <c r="F136" s="117">
        <v>738</v>
      </c>
      <c r="G136" s="117">
        <v>284</v>
      </c>
      <c r="H136" s="117">
        <v>284</v>
      </c>
      <c r="I136" s="117"/>
      <c r="J136" s="117"/>
      <c r="K136" s="117" t="s">
        <v>1948</v>
      </c>
      <c r="L136" s="117" t="s">
        <v>287</v>
      </c>
      <c r="M136" s="117" t="s">
        <v>17</v>
      </c>
      <c r="N136" s="117" t="s">
        <v>18</v>
      </c>
      <c r="O136" s="117"/>
      <c r="P136" s="117"/>
      <c r="Q136" s="117"/>
      <c r="R136" s="117"/>
    </row>
    <row r="137" spans="1:20" ht="27" customHeight="1">
      <c r="A137" s="117">
        <v>132</v>
      </c>
      <c r="B137" s="117" t="s">
        <v>724</v>
      </c>
      <c r="C137" s="117" t="s">
        <v>291</v>
      </c>
      <c r="D137" s="117" t="s">
        <v>292</v>
      </c>
      <c r="E137" s="117" t="s">
        <v>6</v>
      </c>
      <c r="F137" s="117">
        <v>709</v>
      </c>
      <c r="G137" s="117">
        <v>326</v>
      </c>
      <c r="H137" s="117">
        <v>326</v>
      </c>
      <c r="I137" s="117"/>
      <c r="J137" s="117"/>
      <c r="K137" s="117" t="s">
        <v>1948</v>
      </c>
      <c r="L137" s="117" t="s">
        <v>287</v>
      </c>
      <c r="M137" s="117" t="s">
        <v>17</v>
      </c>
      <c r="N137" s="117" t="s">
        <v>18</v>
      </c>
      <c r="O137" s="117"/>
      <c r="P137" s="117"/>
      <c r="Q137" s="117"/>
      <c r="R137" s="117"/>
    </row>
    <row r="138" spans="1:20" ht="27" customHeight="1">
      <c r="A138" s="117">
        <v>133</v>
      </c>
      <c r="B138" s="117" t="s">
        <v>724</v>
      </c>
      <c r="C138" s="117" t="s">
        <v>293</v>
      </c>
      <c r="D138" s="117" t="s">
        <v>294</v>
      </c>
      <c r="E138" s="117" t="s">
        <v>23</v>
      </c>
      <c r="F138" s="117">
        <v>330</v>
      </c>
      <c r="G138" s="117">
        <v>48</v>
      </c>
      <c r="H138" s="117">
        <v>48</v>
      </c>
      <c r="I138" s="117"/>
      <c r="J138" s="117"/>
      <c r="K138" s="117" t="s">
        <v>1948</v>
      </c>
      <c r="L138" s="117" t="s">
        <v>287</v>
      </c>
      <c r="M138" s="117" t="s">
        <v>17</v>
      </c>
      <c r="N138" s="117" t="s">
        <v>18</v>
      </c>
      <c r="O138" s="117"/>
      <c r="P138" s="117"/>
      <c r="Q138" s="117"/>
      <c r="R138" s="117"/>
    </row>
    <row r="139" spans="1:20" ht="27" customHeight="1">
      <c r="A139" s="117">
        <v>134</v>
      </c>
      <c r="B139" s="117" t="s">
        <v>724</v>
      </c>
      <c r="C139" s="117" t="s">
        <v>295</v>
      </c>
      <c r="D139" s="117" t="s">
        <v>296</v>
      </c>
      <c r="E139" s="117" t="s">
        <v>23</v>
      </c>
      <c r="F139" s="117">
        <v>530</v>
      </c>
      <c r="G139" s="117">
        <v>230</v>
      </c>
      <c r="H139" s="117">
        <v>230</v>
      </c>
      <c r="I139" s="117"/>
      <c r="J139" s="117"/>
      <c r="K139" s="117" t="s">
        <v>1948</v>
      </c>
      <c r="L139" s="117" t="s">
        <v>1237</v>
      </c>
      <c r="M139" s="117" t="s">
        <v>17</v>
      </c>
      <c r="N139" s="117" t="s">
        <v>18</v>
      </c>
      <c r="O139" s="117"/>
      <c r="P139" s="117"/>
      <c r="Q139" s="117"/>
      <c r="R139" s="117"/>
    </row>
    <row r="140" spans="1:20" ht="27" customHeight="1">
      <c r="A140" s="117">
        <v>135</v>
      </c>
      <c r="B140" s="117" t="s">
        <v>724</v>
      </c>
      <c r="C140" s="117" t="s">
        <v>297</v>
      </c>
      <c r="D140" s="117" t="s">
        <v>297</v>
      </c>
      <c r="E140" s="117" t="s">
        <v>6</v>
      </c>
      <c r="F140" s="117">
        <v>330</v>
      </c>
      <c r="G140" s="117">
        <v>38</v>
      </c>
      <c r="H140" s="117">
        <v>38</v>
      </c>
      <c r="I140" s="117"/>
      <c r="J140" s="117"/>
      <c r="K140" s="117" t="s">
        <v>17</v>
      </c>
      <c r="L140" s="117"/>
      <c r="M140" s="117" t="s">
        <v>17</v>
      </c>
      <c r="N140" s="117"/>
      <c r="O140" s="117"/>
      <c r="P140" s="117"/>
      <c r="Q140" s="117"/>
      <c r="R140" s="117"/>
    </row>
    <row r="141" spans="1:20" ht="27" customHeight="1">
      <c r="A141" s="117">
        <v>136</v>
      </c>
      <c r="B141" s="117" t="s">
        <v>724</v>
      </c>
      <c r="C141" s="117" t="s">
        <v>298</v>
      </c>
      <c r="D141" s="117" t="s">
        <v>299</v>
      </c>
      <c r="E141" s="117" t="s">
        <v>23</v>
      </c>
      <c r="F141" s="117">
        <v>103</v>
      </c>
      <c r="G141" s="117">
        <v>1</v>
      </c>
      <c r="H141" s="117">
        <v>1</v>
      </c>
      <c r="I141" s="117"/>
      <c r="J141" s="117"/>
      <c r="K141" s="117" t="s">
        <v>1949</v>
      </c>
      <c r="L141" s="117" t="s">
        <v>300</v>
      </c>
      <c r="M141" s="117" t="s">
        <v>17</v>
      </c>
      <c r="N141" s="117" t="s">
        <v>18</v>
      </c>
      <c r="O141" s="117"/>
      <c r="P141" s="117"/>
      <c r="Q141" s="117"/>
      <c r="R141" s="117"/>
    </row>
    <row r="142" spans="1:20" ht="27" customHeight="1">
      <c r="A142" s="117">
        <v>137</v>
      </c>
      <c r="B142" s="117" t="s">
        <v>724</v>
      </c>
      <c r="C142" s="117" t="s">
        <v>302</v>
      </c>
      <c r="D142" s="117" t="s">
        <v>303</v>
      </c>
      <c r="E142" s="117" t="s">
        <v>23</v>
      </c>
      <c r="F142" s="117">
        <v>227</v>
      </c>
      <c r="G142" s="117">
        <v>43</v>
      </c>
      <c r="H142" s="117">
        <v>43</v>
      </c>
      <c r="I142" s="117"/>
      <c r="J142" s="117"/>
      <c r="K142" s="117" t="s">
        <v>17</v>
      </c>
      <c r="L142" s="117" t="s">
        <v>72</v>
      </c>
      <c r="M142" s="117" t="s">
        <v>17</v>
      </c>
      <c r="N142" s="117" t="s">
        <v>72</v>
      </c>
      <c r="O142" s="117"/>
      <c r="P142" s="117"/>
      <c r="Q142" s="117"/>
      <c r="R142" s="117"/>
    </row>
    <row r="143" spans="1:20" ht="27" customHeight="1">
      <c r="A143" s="117">
        <v>138</v>
      </c>
      <c r="B143" s="117" t="s">
        <v>724</v>
      </c>
      <c r="C143" s="117" t="s">
        <v>305</v>
      </c>
      <c r="D143" s="117" t="s">
        <v>306</v>
      </c>
      <c r="E143" s="117" t="s">
        <v>3</v>
      </c>
      <c r="F143" s="117">
        <v>1356</v>
      </c>
      <c r="G143" s="117">
        <v>138</v>
      </c>
      <c r="H143" s="117">
        <v>138</v>
      </c>
      <c r="I143" s="117"/>
      <c r="J143" s="117"/>
      <c r="K143" s="117" t="s">
        <v>17</v>
      </c>
      <c r="L143" s="117" t="s">
        <v>72</v>
      </c>
      <c r="M143" s="117" t="s">
        <v>17</v>
      </c>
      <c r="N143" s="117" t="s">
        <v>72</v>
      </c>
      <c r="O143" s="117"/>
      <c r="P143" s="117"/>
      <c r="Q143" s="117"/>
      <c r="R143" s="117"/>
    </row>
    <row r="144" spans="1:20" ht="27" customHeight="1">
      <c r="A144" s="117">
        <v>139</v>
      </c>
      <c r="B144" s="117" t="s">
        <v>724</v>
      </c>
      <c r="C144" s="117" t="s">
        <v>307</v>
      </c>
      <c r="D144" s="117" t="s">
        <v>307</v>
      </c>
      <c r="E144" s="117" t="s">
        <v>3</v>
      </c>
      <c r="F144" s="117">
        <v>913</v>
      </c>
      <c r="G144" s="117">
        <v>913</v>
      </c>
      <c r="H144" s="117">
        <v>913</v>
      </c>
      <c r="I144" s="117"/>
      <c r="J144" s="117"/>
      <c r="K144" s="117" t="s">
        <v>17</v>
      </c>
      <c r="L144" s="117" t="s">
        <v>72</v>
      </c>
      <c r="M144" s="117" t="s">
        <v>17</v>
      </c>
      <c r="N144" s="117" t="s">
        <v>72</v>
      </c>
      <c r="O144" s="117"/>
      <c r="P144" s="117"/>
      <c r="Q144" s="117"/>
      <c r="R144" s="117"/>
    </row>
    <row r="145" spans="1:20" ht="27" customHeight="1">
      <c r="A145" s="117">
        <v>140</v>
      </c>
      <c r="B145" s="117" t="s">
        <v>724</v>
      </c>
      <c r="C145" s="117" t="s">
        <v>308</v>
      </c>
      <c r="D145" s="117" t="s">
        <v>309</v>
      </c>
      <c r="E145" s="117" t="s">
        <v>3</v>
      </c>
      <c r="F145" s="117">
        <v>1277</v>
      </c>
      <c r="G145" s="117">
        <v>729</v>
      </c>
      <c r="H145" s="117">
        <v>729</v>
      </c>
      <c r="I145" s="117"/>
      <c r="J145" s="117"/>
      <c r="K145" s="117" t="s">
        <v>17</v>
      </c>
      <c r="L145" s="117" t="s">
        <v>72</v>
      </c>
      <c r="M145" s="117" t="s">
        <v>17</v>
      </c>
      <c r="N145" s="117" t="s">
        <v>72</v>
      </c>
      <c r="O145" s="117"/>
      <c r="P145" s="117"/>
      <c r="Q145" s="117"/>
      <c r="R145" s="117"/>
    </row>
    <row r="146" spans="1:20" ht="27" customHeight="1">
      <c r="A146" s="117">
        <v>141</v>
      </c>
      <c r="B146" s="117" t="s">
        <v>724</v>
      </c>
      <c r="C146" s="117" t="s">
        <v>310</v>
      </c>
      <c r="D146" s="117" t="s">
        <v>310</v>
      </c>
      <c r="E146" s="117" t="s">
        <v>3</v>
      </c>
      <c r="F146" s="117">
        <v>106</v>
      </c>
      <c r="G146" s="117">
        <v>106</v>
      </c>
      <c r="H146" s="117">
        <v>106</v>
      </c>
      <c r="I146" s="117"/>
      <c r="J146" s="117"/>
      <c r="K146" s="117" t="s">
        <v>1950</v>
      </c>
      <c r="L146" s="117" t="s">
        <v>1242</v>
      </c>
      <c r="M146" s="117" t="s">
        <v>17</v>
      </c>
      <c r="N146" s="117" t="s">
        <v>18</v>
      </c>
      <c r="O146" s="117"/>
      <c r="P146" s="117"/>
      <c r="Q146" s="117"/>
      <c r="R146" s="117"/>
    </row>
    <row r="147" spans="1:20" ht="27" customHeight="1">
      <c r="A147" s="117">
        <v>142</v>
      </c>
      <c r="B147" s="117" t="s">
        <v>724</v>
      </c>
      <c r="C147" s="117" t="s">
        <v>311</v>
      </c>
      <c r="D147" s="117" t="s">
        <v>312</v>
      </c>
      <c r="E147" s="117" t="s">
        <v>3</v>
      </c>
      <c r="F147" s="117">
        <v>63</v>
      </c>
      <c r="G147" s="117">
        <v>17</v>
      </c>
      <c r="H147" s="117">
        <v>17</v>
      </c>
      <c r="I147" s="117"/>
      <c r="J147" s="117"/>
      <c r="K147" s="117" t="s">
        <v>1950</v>
      </c>
      <c r="L147" s="117" t="s">
        <v>313</v>
      </c>
      <c r="M147" s="117" t="s">
        <v>17</v>
      </c>
      <c r="N147" s="117" t="s">
        <v>18</v>
      </c>
      <c r="O147" s="117"/>
      <c r="P147" s="117"/>
      <c r="Q147" s="117"/>
      <c r="R147" s="117"/>
    </row>
    <row r="148" spans="1:20" ht="27" customHeight="1">
      <c r="A148" s="117">
        <v>143</v>
      </c>
      <c r="B148" s="117" t="s">
        <v>724</v>
      </c>
      <c r="C148" s="117" t="s">
        <v>314</v>
      </c>
      <c r="D148" s="117" t="s">
        <v>315</v>
      </c>
      <c r="E148" s="117" t="s">
        <v>3</v>
      </c>
      <c r="F148" s="117">
        <v>4373</v>
      </c>
      <c r="G148" s="117">
        <v>131</v>
      </c>
      <c r="H148" s="117">
        <v>131</v>
      </c>
      <c r="I148" s="117"/>
      <c r="J148" s="117"/>
      <c r="K148" s="117" t="s">
        <v>17</v>
      </c>
      <c r="L148" s="117" t="s">
        <v>72</v>
      </c>
      <c r="M148" s="117" t="s">
        <v>17</v>
      </c>
      <c r="N148" s="117" t="s">
        <v>72</v>
      </c>
      <c r="O148" s="117"/>
      <c r="P148" s="117"/>
      <c r="Q148" s="117"/>
      <c r="R148" s="117"/>
    </row>
    <row r="149" spans="1:20" ht="27" customHeight="1">
      <c r="A149" s="117">
        <v>144</v>
      </c>
      <c r="B149" s="117" t="s">
        <v>724</v>
      </c>
      <c r="C149" s="117" t="s">
        <v>316</v>
      </c>
      <c r="D149" s="117" t="s">
        <v>317</v>
      </c>
      <c r="E149" s="117" t="s">
        <v>3</v>
      </c>
      <c r="F149" s="117">
        <v>110</v>
      </c>
      <c r="G149" s="117">
        <v>56</v>
      </c>
      <c r="H149" s="117">
        <v>56</v>
      </c>
      <c r="I149" s="117"/>
      <c r="J149" s="117"/>
      <c r="K149" s="117" t="s">
        <v>17</v>
      </c>
      <c r="L149" s="117" t="s">
        <v>72</v>
      </c>
      <c r="M149" s="117" t="s">
        <v>17</v>
      </c>
      <c r="N149" s="117" t="s">
        <v>72</v>
      </c>
      <c r="O149" s="117"/>
      <c r="P149" s="117"/>
      <c r="Q149" s="117"/>
      <c r="R149" s="117"/>
    </row>
    <row r="150" spans="1:20" ht="27" customHeight="1">
      <c r="A150" s="117">
        <v>145</v>
      </c>
      <c r="B150" s="117" t="s">
        <v>724</v>
      </c>
      <c r="C150" s="117" t="s">
        <v>318</v>
      </c>
      <c r="D150" s="117" t="s">
        <v>318</v>
      </c>
      <c r="E150" s="117" t="s">
        <v>3</v>
      </c>
      <c r="F150" s="117">
        <v>83</v>
      </c>
      <c r="G150" s="117">
        <v>83</v>
      </c>
      <c r="H150" s="117">
        <v>83</v>
      </c>
      <c r="I150" s="117"/>
      <c r="J150" s="117"/>
      <c r="K150" s="117" t="s">
        <v>17</v>
      </c>
      <c r="L150" s="117" t="s">
        <v>72</v>
      </c>
      <c r="M150" s="117" t="s">
        <v>17</v>
      </c>
      <c r="N150" s="117" t="s">
        <v>72</v>
      </c>
      <c r="O150" s="117"/>
      <c r="P150" s="117"/>
      <c r="Q150" s="117"/>
      <c r="R150" s="117"/>
      <c r="S150" s="126"/>
      <c r="T150" s="126"/>
    </row>
    <row r="151" spans="1:20" ht="27" customHeight="1">
      <c r="A151" s="117">
        <v>146</v>
      </c>
      <c r="B151" s="117" t="s">
        <v>724</v>
      </c>
      <c r="C151" s="117" t="s">
        <v>320</v>
      </c>
      <c r="D151" s="117" t="s">
        <v>321</v>
      </c>
      <c r="E151" s="117" t="s">
        <v>23</v>
      </c>
      <c r="F151" s="117">
        <v>55</v>
      </c>
      <c r="G151" s="117">
        <v>32</v>
      </c>
      <c r="H151" s="117">
        <v>32</v>
      </c>
      <c r="I151" s="117"/>
      <c r="J151" s="117"/>
      <c r="K151" s="117" t="s">
        <v>17</v>
      </c>
      <c r="L151" s="117" t="s">
        <v>72</v>
      </c>
      <c r="M151" s="117" t="s">
        <v>17</v>
      </c>
      <c r="N151" s="117" t="s">
        <v>72</v>
      </c>
      <c r="O151" s="117"/>
      <c r="P151" s="117"/>
      <c r="Q151" s="117"/>
      <c r="R151" s="117"/>
      <c r="S151" s="126"/>
      <c r="T151" s="126"/>
    </row>
    <row r="152" spans="1:20" ht="27" customHeight="1">
      <c r="A152" s="117">
        <v>147</v>
      </c>
      <c r="B152" s="117" t="s">
        <v>724</v>
      </c>
      <c r="C152" s="117" t="s">
        <v>323</v>
      </c>
      <c r="D152" s="117" t="s">
        <v>324</v>
      </c>
      <c r="E152" s="117" t="s">
        <v>6</v>
      </c>
      <c r="F152" s="117">
        <v>201</v>
      </c>
      <c r="G152" s="117">
        <v>43</v>
      </c>
      <c r="H152" s="117">
        <v>43</v>
      </c>
      <c r="I152" s="117"/>
      <c r="J152" s="117"/>
      <c r="K152" s="117" t="s">
        <v>17</v>
      </c>
      <c r="L152" s="117" t="s">
        <v>72</v>
      </c>
      <c r="M152" s="117" t="s">
        <v>17</v>
      </c>
      <c r="N152" s="117" t="s">
        <v>72</v>
      </c>
      <c r="O152" s="117"/>
      <c r="P152" s="117"/>
      <c r="Q152" s="117"/>
      <c r="R152" s="117"/>
    </row>
    <row r="153" spans="1:20" ht="27" customHeight="1">
      <c r="A153" s="117">
        <v>148</v>
      </c>
      <c r="B153" s="117" t="s">
        <v>724</v>
      </c>
      <c r="C153" s="117" t="s">
        <v>325</v>
      </c>
      <c r="D153" s="117" t="s">
        <v>326</v>
      </c>
      <c r="E153" s="117" t="s">
        <v>23</v>
      </c>
      <c r="F153" s="117">
        <v>959</v>
      </c>
      <c r="G153" s="117">
        <v>111</v>
      </c>
      <c r="H153" s="117">
        <v>111</v>
      </c>
      <c r="I153" s="117"/>
      <c r="J153" s="117"/>
      <c r="K153" s="117" t="s">
        <v>1</v>
      </c>
      <c r="L153" s="117" t="s">
        <v>18</v>
      </c>
      <c r="M153" s="117" t="s">
        <v>17</v>
      </c>
      <c r="N153" s="117" t="s">
        <v>18</v>
      </c>
      <c r="O153" s="117"/>
      <c r="P153" s="117"/>
      <c r="Q153" s="117"/>
      <c r="R153" s="117"/>
    </row>
    <row r="154" spans="1:20" ht="27" customHeight="1">
      <c r="A154" s="117">
        <v>149</v>
      </c>
      <c r="B154" s="117" t="s">
        <v>724</v>
      </c>
      <c r="C154" s="117" t="s">
        <v>327</v>
      </c>
      <c r="D154" s="117" t="s">
        <v>327</v>
      </c>
      <c r="E154" s="117" t="s">
        <v>235</v>
      </c>
      <c r="F154" s="117">
        <v>12</v>
      </c>
      <c r="G154" s="117">
        <v>12</v>
      </c>
      <c r="H154" s="117">
        <v>12</v>
      </c>
      <c r="I154" s="117"/>
      <c r="J154" s="117"/>
      <c r="K154" s="117" t="s">
        <v>1</v>
      </c>
      <c r="L154" s="117" t="s">
        <v>18</v>
      </c>
      <c r="M154" s="117" t="s">
        <v>17</v>
      </c>
      <c r="N154" s="117" t="s">
        <v>18</v>
      </c>
      <c r="O154" s="117"/>
      <c r="P154" s="117"/>
      <c r="Q154" s="117"/>
      <c r="R154" s="117"/>
    </row>
    <row r="155" spans="1:20" ht="27" customHeight="1">
      <c r="A155" s="117">
        <v>150</v>
      </c>
      <c r="B155" s="117" t="s">
        <v>724</v>
      </c>
      <c r="C155" s="117" t="s">
        <v>328</v>
      </c>
      <c r="D155" s="117" t="s">
        <v>329</v>
      </c>
      <c r="E155" s="117" t="s">
        <v>23</v>
      </c>
      <c r="F155" s="117">
        <v>13</v>
      </c>
      <c r="G155" s="117">
        <v>4</v>
      </c>
      <c r="H155" s="117">
        <v>4</v>
      </c>
      <c r="I155" s="117"/>
      <c r="J155" s="117"/>
      <c r="K155" s="117" t="s">
        <v>1</v>
      </c>
      <c r="L155" s="117" t="s">
        <v>18</v>
      </c>
      <c r="M155" s="117" t="s">
        <v>17</v>
      </c>
      <c r="N155" s="117" t="s">
        <v>18</v>
      </c>
      <c r="O155" s="117"/>
      <c r="P155" s="117"/>
      <c r="Q155" s="117"/>
      <c r="R155" s="117"/>
    </row>
    <row r="156" spans="1:20" ht="27" customHeight="1">
      <c r="A156" s="117">
        <v>151</v>
      </c>
      <c r="B156" s="117" t="s">
        <v>724</v>
      </c>
      <c r="C156" s="117" t="s">
        <v>330</v>
      </c>
      <c r="D156" s="117" t="s">
        <v>331</v>
      </c>
      <c r="E156" s="117" t="s">
        <v>6</v>
      </c>
      <c r="F156" s="117">
        <v>12</v>
      </c>
      <c r="G156" s="117">
        <v>2</v>
      </c>
      <c r="H156" s="117">
        <v>2</v>
      </c>
      <c r="I156" s="117"/>
      <c r="J156" s="117"/>
      <c r="K156" s="117" t="s">
        <v>1951</v>
      </c>
      <c r="L156" s="117" t="s">
        <v>332</v>
      </c>
      <c r="M156" s="117" t="s">
        <v>17</v>
      </c>
      <c r="N156" s="117" t="s">
        <v>18</v>
      </c>
      <c r="O156" s="117"/>
      <c r="P156" s="117"/>
      <c r="Q156" s="117"/>
      <c r="R156" s="117"/>
    </row>
    <row r="157" spans="1:20" ht="27" customHeight="1">
      <c r="A157" s="117">
        <v>152</v>
      </c>
      <c r="B157" s="117" t="s">
        <v>724</v>
      </c>
      <c r="C157" s="117" t="s">
        <v>333</v>
      </c>
      <c r="D157" s="117" t="s">
        <v>334</v>
      </c>
      <c r="E157" s="117" t="s">
        <v>6</v>
      </c>
      <c r="F157" s="117">
        <v>15</v>
      </c>
      <c r="G157" s="117">
        <v>2</v>
      </c>
      <c r="H157" s="117">
        <v>2</v>
      </c>
      <c r="I157" s="117"/>
      <c r="J157" s="117"/>
      <c r="K157" s="117" t="s">
        <v>1</v>
      </c>
      <c r="L157" s="117" t="s">
        <v>18</v>
      </c>
      <c r="M157" s="117" t="s">
        <v>17</v>
      </c>
      <c r="N157" s="117" t="s">
        <v>18</v>
      </c>
      <c r="O157" s="117"/>
      <c r="P157" s="117"/>
      <c r="Q157" s="117"/>
      <c r="R157" s="117"/>
    </row>
    <row r="158" spans="1:20" ht="27" customHeight="1">
      <c r="A158" s="117">
        <v>153</v>
      </c>
      <c r="B158" s="117" t="s">
        <v>724</v>
      </c>
      <c r="C158" s="117" t="s">
        <v>335</v>
      </c>
      <c r="D158" s="117" t="s">
        <v>335</v>
      </c>
      <c r="E158" s="117" t="s">
        <v>3</v>
      </c>
      <c r="F158" s="117">
        <v>3277</v>
      </c>
      <c r="G158" s="117">
        <v>3277</v>
      </c>
      <c r="H158" s="117">
        <v>3277</v>
      </c>
      <c r="I158" s="117"/>
      <c r="J158" s="117"/>
      <c r="K158" s="117" t="s">
        <v>17</v>
      </c>
      <c r="L158" s="117" t="s">
        <v>72</v>
      </c>
      <c r="M158" s="117" t="s">
        <v>17</v>
      </c>
      <c r="N158" s="117" t="s">
        <v>72</v>
      </c>
      <c r="O158" s="117"/>
      <c r="P158" s="117"/>
      <c r="Q158" s="117"/>
      <c r="R158" s="117"/>
    </row>
    <row r="159" spans="1:20" ht="27" customHeight="1">
      <c r="A159" s="117">
        <v>154</v>
      </c>
      <c r="B159" s="117" t="s">
        <v>724</v>
      </c>
      <c r="C159" s="117" t="s">
        <v>336</v>
      </c>
      <c r="D159" s="117" t="s">
        <v>337</v>
      </c>
      <c r="E159" s="117" t="s">
        <v>6</v>
      </c>
      <c r="F159" s="117">
        <v>2645</v>
      </c>
      <c r="G159" s="117">
        <v>36</v>
      </c>
      <c r="H159" s="117">
        <v>36</v>
      </c>
      <c r="I159" s="117"/>
      <c r="J159" s="117"/>
      <c r="K159" s="117" t="s">
        <v>1952</v>
      </c>
      <c r="L159" s="117" t="s">
        <v>338</v>
      </c>
      <c r="M159" s="117" t="s">
        <v>17</v>
      </c>
      <c r="N159" s="117" t="s">
        <v>18</v>
      </c>
      <c r="O159" s="117"/>
      <c r="P159" s="117"/>
      <c r="Q159" s="117"/>
      <c r="R159" s="117"/>
    </row>
    <row r="160" spans="1:20" ht="27" customHeight="1">
      <c r="A160" s="117">
        <v>155</v>
      </c>
      <c r="B160" s="117" t="s">
        <v>724</v>
      </c>
      <c r="C160" s="117" t="s">
        <v>339</v>
      </c>
      <c r="D160" s="117" t="s">
        <v>339</v>
      </c>
      <c r="E160" s="117" t="s">
        <v>3</v>
      </c>
      <c r="F160" s="117">
        <v>198</v>
      </c>
      <c r="G160" s="117">
        <v>198</v>
      </c>
      <c r="H160" s="117">
        <v>198</v>
      </c>
      <c r="I160" s="117"/>
      <c r="J160" s="117"/>
      <c r="K160" s="117" t="s">
        <v>17</v>
      </c>
      <c r="L160" s="117" t="s">
        <v>72</v>
      </c>
      <c r="M160" s="117" t="s">
        <v>17</v>
      </c>
      <c r="N160" s="117" t="s">
        <v>72</v>
      </c>
      <c r="O160" s="117"/>
      <c r="P160" s="117"/>
      <c r="Q160" s="117"/>
      <c r="R160" s="117"/>
    </row>
    <row r="161" spans="1:18" ht="27" customHeight="1">
      <c r="A161" s="117">
        <v>156</v>
      </c>
      <c r="B161" s="117" t="s">
        <v>724</v>
      </c>
      <c r="C161" s="117" t="s">
        <v>340</v>
      </c>
      <c r="D161" s="117" t="s">
        <v>341</v>
      </c>
      <c r="E161" s="117" t="s">
        <v>0</v>
      </c>
      <c r="F161" s="117">
        <v>1306</v>
      </c>
      <c r="G161" s="117">
        <v>103</v>
      </c>
      <c r="H161" s="117">
        <v>103</v>
      </c>
      <c r="I161" s="117"/>
      <c r="J161" s="117"/>
      <c r="K161" s="117" t="s">
        <v>1</v>
      </c>
      <c r="L161" s="117" t="s">
        <v>18</v>
      </c>
      <c r="M161" s="117" t="s">
        <v>17</v>
      </c>
      <c r="N161" s="117" t="s">
        <v>18</v>
      </c>
      <c r="O161" s="117"/>
      <c r="P161" s="117"/>
      <c r="Q161" s="117"/>
      <c r="R161" s="117"/>
    </row>
    <row r="162" spans="1:18" ht="27" customHeight="1">
      <c r="A162" s="117">
        <v>157</v>
      </c>
      <c r="B162" s="117" t="s">
        <v>724</v>
      </c>
      <c r="C162" s="117" t="s">
        <v>342</v>
      </c>
      <c r="D162" s="117" t="s">
        <v>342</v>
      </c>
      <c r="E162" s="117" t="s">
        <v>6</v>
      </c>
      <c r="F162" s="117">
        <v>328</v>
      </c>
      <c r="G162" s="117">
        <v>328</v>
      </c>
      <c r="H162" s="117">
        <v>328</v>
      </c>
      <c r="I162" s="117"/>
      <c r="J162" s="117"/>
      <c r="K162" s="117" t="s">
        <v>205</v>
      </c>
      <c r="L162" s="117"/>
      <c r="M162" s="117" t="s">
        <v>17</v>
      </c>
      <c r="N162" s="117" t="s">
        <v>1263</v>
      </c>
      <c r="O162" s="117"/>
      <c r="P162" s="117"/>
      <c r="Q162" s="117"/>
      <c r="R162" s="117"/>
    </row>
    <row r="163" spans="1:18" ht="27" customHeight="1">
      <c r="A163" s="117">
        <v>158</v>
      </c>
      <c r="B163" s="117" t="s">
        <v>724</v>
      </c>
      <c r="C163" s="117" t="s">
        <v>343</v>
      </c>
      <c r="D163" s="117" t="s">
        <v>343</v>
      </c>
      <c r="E163" s="117" t="s">
        <v>3</v>
      </c>
      <c r="F163" s="117">
        <v>241</v>
      </c>
      <c r="G163" s="117">
        <v>241</v>
      </c>
      <c r="H163" s="117">
        <v>241</v>
      </c>
      <c r="I163" s="117"/>
      <c r="J163" s="117"/>
      <c r="K163" s="117" t="s">
        <v>17</v>
      </c>
      <c r="L163" s="117" t="s">
        <v>72</v>
      </c>
      <c r="M163" s="117" t="s">
        <v>17</v>
      </c>
      <c r="N163" s="117" t="s">
        <v>72</v>
      </c>
      <c r="O163" s="117"/>
      <c r="P163" s="117"/>
      <c r="Q163" s="117"/>
      <c r="R163" s="117"/>
    </row>
    <row r="164" spans="1:18" ht="27" customHeight="1">
      <c r="A164" s="117">
        <v>159</v>
      </c>
      <c r="B164" s="117" t="s">
        <v>724</v>
      </c>
      <c r="C164" s="117" t="s">
        <v>344</v>
      </c>
      <c r="D164" s="117" t="s">
        <v>344</v>
      </c>
      <c r="E164" s="117" t="s">
        <v>3</v>
      </c>
      <c r="F164" s="117"/>
      <c r="G164" s="117">
        <v>106</v>
      </c>
      <c r="H164" s="117">
        <v>106</v>
      </c>
      <c r="I164" s="117"/>
      <c r="J164" s="117"/>
      <c r="K164" s="117" t="s">
        <v>284</v>
      </c>
      <c r="L164" s="117"/>
      <c r="M164" s="117" t="s">
        <v>17</v>
      </c>
      <c r="N164" s="117" t="s">
        <v>284</v>
      </c>
      <c r="O164" s="117"/>
      <c r="P164" s="117"/>
      <c r="Q164" s="117"/>
      <c r="R164" s="117"/>
    </row>
    <row r="165" spans="1:18" ht="27" customHeight="1">
      <c r="A165" s="117">
        <v>160</v>
      </c>
      <c r="B165" s="117" t="s">
        <v>724</v>
      </c>
      <c r="C165" s="117" t="s">
        <v>345</v>
      </c>
      <c r="D165" s="117" t="s">
        <v>345</v>
      </c>
      <c r="E165" s="117" t="s">
        <v>2</v>
      </c>
      <c r="F165" s="117">
        <v>21</v>
      </c>
      <c r="G165" s="117">
        <v>21</v>
      </c>
      <c r="H165" s="117">
        <v>21</v>
      </c>
      <c r="I165" s="117"/>
      <c r="J165" s="117"/>
      <c r="K165" s="117" t="s">
        <v>1953</v>
      </c>
      <c r="L165" s="117" t="s">
        <v>1267</v>
      </c>
      <c r="M165" s="117" t="s">
        <v>17</v>
      </c>
      <c r="N165" s="117" t="s">
        <v>1269</v>
      </c>
      <c r="O165" s="117"/>
      <c r="P165" s="117"/>
      <c r="Q165" s="117"/>
      <c r="R165" s="117"/>
    </row>
    <row r="166" spans="1:18" ht="27" customHeight="1">
      <c r="A166" s="117">
        <v>161</v>
      </c>
      <c r="B166" s="117" t="s">
        <v>724</v>
      </c>
      <c r="C166" s="117" t="s">
        <v>1291</v>
      </c>
      <c r="D166" s="117" t="s">
        <v>1291</v>
      </c>
      <c r="E166" s="117" t="s">
        <v>3</v>
      </c>
      <c r="F166" s="117">
        <v>407</v>
      </c>
      <c r="G166" s="117">
        <v>407</v>
      </c>
      <c r="H166" s="117">
        <v>407</v>
      </c>
      <c r="I166" s="117"/>
      <c r="J166" s="117"/>
      <c r="K166" s="117" t="s">
        <v>17</v>
      </c>
      <c r="L166" s="117" t="s">
        <v>72</v>
      </c>
      <c r="M166" s="117" t="s">
        <v>17</v>
      </c>
      <c r="N166" s="117" t="s">
        <v>72</v>
      </c>
      <c r="O166" s="117"/>
      <c r="P166" s="117"/>
      <c r="Q166" s="117"/>
      <c r="R166" s="117"/>
    </row>
    <row r="167" spans="1:18" ht="27" customHeight="1">
      <c r="A167" s="117">
        <v>162</v>
      </c>
      <c r="B167" s="117" t="s">
        <v>724</v>
      </c>
      <c r="C167" s="117" t="s">
        <v>1292</v>
      </c>
      <c r="D167" s="117" t="s">
        <v>1292</v>
      </c>
      <c r="E167" s="117" t="s">
        <v>3</v>
      </c>
      <c r="F167" s="117">
        <v>679</v>
      </c>
      <c r="G167" s="117">
        <v>679</v>
      </c>
      <c r="H167" s="117">
        <v>679</v>
      </c>
      <c r="I167" s="117"/>
      <c r="J167" s="117"/>
      <c r="K167" s="117" t="s">
        <v>17</v>
      </c>
      <c r="L167" s="117" t="s">
        <v>72</v>
      </c>
      <c r="M167" s="117" t="s">
        <v>17</v>
      </c>
      <c r="N167" s="117" t="s">
        <v>72</v>
      </c>
      <c r="O167" s="117"/>
      <c r="P167" s="117"/>
      <c r="Q167" s="117"/>
      <c r="R167" s="117"/>
    </row>
    <row r="168" spans="1:18" ht="27" customHeight="1">
      <c r="A168" s="117">
        <v>163</v>
      </c>
      <c r="B168" s="117" t="s">
        <v>724</v>
      </c>
      <c r="C168" s="117" t="s">
        <v>346</v>
      </c>
      <c r="D168" s="117" t="s">
        <v>347</v>
      </c>
      <c r="E168" s="117" t="s">
        <v>11</v>
      </c>
      <c r="F168" s="117">
        <v>7401</v>
      </c>
      <c r="G168" s="117">
        <v>44</v>
      </c>
      <c r="H168" s="117">
        <v>44</v>
      </c>
      <c r="I168" s="117"/>
      <c r="J168" s="117"/>
      <c r="K168" s="117" t="s">
        <v>1954</v>
      </c>
      <c r="L168" s="117" t="s">
        <v>348</v>
      </c>
      <c r="M168" s="117" t="s">
        <v>17</v>
      </c>
      <c r="N168" s="117" t="s">
        <v>18</v>
      </c>
      <c r="O168" s="117"/>
      <c r="P168" s="117"/>
      <c r="Q168" s="117"/>
      <c r="R168" s="117"/>
    </row>
    <row r="169" spans="1:18" ht="27" customHeight="1">
      <c r="A169" s="117">
        <v>164</v>
      </c>
      <c r="B169" s="117" t="s">
        <v>724</v>
      </c>
      <c r="C169" s="117" t="s">
        <v>346</v>
      </c>
      <c r="D169" s="117" t="s">
        <v>349</v>
      </c>
      <c r="E169" s="117" t="s">
        <v>11</v>
      </c>
      <c r="F169" s="117">
        <v>7401</v>
      </c>
      <c r="G169" s="117">
        <v>545</v>
      </c>
      <c r="H169" s="117">
        <v>545</v>
      </c>
      <c r="I169" s="117"/>
      <c r="J169" s="117"/>
      <c r="K169" s="117" t="s">
        <v>1954</v>
      </c>
      <c r="L169" s="117" t="s">
        <v>348</v>
      </c>
      <c r="M169" s="117" t="s">
        <v>17</v>
      </c>
      <c r="N169" s="117" t="s">
        <v>18</v>
      </c>
      <c r="O169" s="117"/>
      <c r="P169" s="117"/>
      <c r="Q169" s="117"/>
      <c r="R169" s="117"/>
    </row>
    <row r="170" spans="1:18" ht="27" customHeight="1">
      <c r="A170" s="117">
        <v>165</v>
      </c>
      <c r="B170" s="117" t="s">
        <v>724</v>
      </c>
      <c r="C170" s="117" t="s">
        <v>350</v>
      </c>
      <c r="D170" s="117" t="s">
        <v>350</v>
      </c>
      <c r="E170" s="117" t="s">
        <v>3</v>
      </c>
      <c r="F170" s="117">
        <v>1096</v>
      </c>
      <c r="G170" s="117">
        <v>122</v>
      </c>
      <c r="H170" s="117">
        <v>122</v>
      </c>
      <c r="I170" s="117"/>
      <c r="J170" s="117"/>
      <c r="K170" s="117" t="s">
        <v>17</v>
      </c>
      <c r="L170" s="117" t="s">
        <v>72</v>
      </c>
      <c r="M170" s="117" t="s">
        <v>17</v>
      </c>
      <c r="N170" s="117" t="s">
        <v>72</v>
      </c>
      <c r="O170" s="117"/>
      <c r="P170" s="117"/>
      <c r="Q170" s="117"/>
      <c r="R170" s="117"/>
    </row>
    <row r="171" spans="1:18" ht="27" customHeight="1">
      <c r="A171" s="117">
        <v>166</v>
      </c>
      <c r="B171" s="117" t="s">
        <v>724</v>
      </c>
      <c r="C171" s="117" t="s">
        <v>351</v>
      </c>
      <c r="D171" s="117" t="s">
        <v>352</v>
      </c>
      <c r="E171" s="117" t="s">
        <v>23</v>
      </c>
      <c r="F171" s="117">
        <v>167</v>
      </c>
      <c r="G171" s="117">
        <v>112</v>
      </c>
      <c r="H171" s="117">
        <v>112</v>
      </c>
      <c r="I171" s="117"/>
      <c r="J171" s="117"/>
      <c r="K171" s="117" t="s">
        <v>1954</v>
      </c>
      <c r="L171" s="117" t="s">
        <v>348</v>
      </c>
      <c r="M171" s="117" t="s">
        <v>17</v>
      </c>
      <c r="N171" s="117" t="s">
        <v>18</v>
      </c>
      <c r="O171" s="117"/>
      <c r="P171" s="117"/>
      <c r="Q171" s="117"/>
      <c r="R171" s="117"/>
    </row>
    <row r="172" spans="1:18" ht="27" customHeight="1">
      <c r="A172" s="117">
        <v>167</v>
      </c>
      <c r="B172" s="117" t="s">
        <v>724</v>
      </c>
      <c r="C172" s="117" t="s">
        <v>353</v>
      </c>
      <c r="D172" s="117" t="s">
        <v>353</v>
      </c>
      <c r="E172" s="117" t="s">
        <v>23</v>
      </c>
      <c r="F172" s="117">
        <v>221</v>
      </c>
      <c r="G172" s="117">
        <v>221</v>
      </c>
      <c r="H172" s="117">
        <v>221</v>
      </c>
      <c r="I172" s="117"/>
      <c r="J172" s="117"/>
      <c r="K172" s="117" t="s">
        <v>1954</v>
      </c>
      <c r="L172" s="117" t="s">
        <v>348</v>
      </c>
      <c r="M172" s="117" t="s">
        <v>17</v>
      </c>
      <c r="N172" s="117" t="s">
        <v>18</v>
      </c>
      <c r="O172" s="117"/>
      <c r="P172" s="117"/>
      <c r="Q172" s="117"/>
      <c r="R172" s="117"/>
    </row>
    <row r="173" spans="1:18" ht="27" customHeight="1">
      <c r="A173" s="117">
        <v>168</v>
      </c>
      <c r="B173" s="117" t="s">
        <v>724</v>
      </c>
      <c r="C173" s="117" t="s">
        <v>354</v>
      </c>
      <c r="D173" s="117" t="s">
        <v>354</v>
      </c>
      <c r="E173" s="117" t="s">
        <v>23</v>
      </c>
      <c r="F173" s="117">
        <v>53</v>
      </c>
      <c r="G173" s="117">
        <v>53</v>
      </c>
      <c r="H173" s="117">
        <v>53</v>
      </c>
      <c r="I173" s="117"/>
      <c r="J173" s="117"/>
      <c r="K173" s="117" t="s">
        <v>1955</v>
      </c>
      <c r="L173" s="117" t="s">
        <v>1239</v>
      </c>
      <c r="M173" s="117" t="s">
        <v>17</v>
      </c>
      <c r="N173" s="117" t="s">
        <v>18</v>
      </c>
      <c r="O173" s="117"/>
      <c r="P173" s="117"/>
      <c r="Q173" s="117"/>
      <c r="R173" s="117"/>
    </row>
    <row r="174" spans="1:18" ht="27" customHeight="1">
      <c r="A174" s="117">
        <v>169</v>
      </c>
      <c r="B174" s="117" t="s">
        <v>724</v>
      </c>
      <c r="C174" s="117" t="s">
        <v>355</v>
      </c>
      <c r="D174" s="117" t="s">
        <v>355</v>
      </c>
      <c r="E174" s="117" t="s">
        <v>0</v>
      </c>
      <c r="F174" s="117">
        <v>28</v>
      </c>
      <c r="G174" s="117">
        <v>28</v>
      </c>
      <c r="H174" s="117">
        <v>28</v>
      </c>
      <c r="I174" s="117"/>
      <c r="J174" s="117"/>
      <c r="K174" s="117" t="s">
        <v>1</v>
      </c>
      <c r="L174" s="117" t="s">
        <v>18</v>
      </c>
      <c r="M174" s="117" t="s">
        <v>17</v>
      </c>
      <c r="N174" s="117" t="s">
        <v>18</v>
      </c>
      <c r="O174" s="117"/>
      <c r="P174" s="117"/>
      <c r="Q174" s="117"/>
      <c r="R174" s="117"/>
    </row>
    <row r="175" spans="1:18" ht="27" customHeight="1">
      <c r="A175" s="117">
        <v>170</v>
      </c>
      <c r="B175" s="117" t="s">
        <v>724</v>
      </c>
      <c r="C175" s="117" t="s">
        <v>356</v>
      </c>
      <c r="D175" s="117" t="s">
        <v>357</v>
      </c>
      <c r="E175" s="117" t="s">
        <v>6</v>
      </c>
      <c r="F175" s="117">
        <v>23</v>
      </c>
      <c r="G175" s="117">
        <v>16</v>
      </c>
      <c r="H175" s="117">
        <v>16</v>
      </c>
      <c r="I175" s="117"/>
      <c r="J175" s="117"/>
      <c r="K175" s="117" t="s">
        <v>1956</v>
      </c>
      <c r="L175" s="117" t="s">
        <v>358</v>
      </c>
      <c r="M175" s="117" t="s">
        <v>17</v>
      </c>
      <c r="N175" s="117" t="s">
        <v>18</v>
      </c>
      <c r="O175" s="117"/>
      <c r="P175" s="117"/>
      <c r="Q175" s="117"/>
      <c r="R175" s="117"/>
    </row>
    <row r="176" spans="1:18" ht="27" customHeight="1">
      <c r="A176" s="117">
        <v>171</v>
      </c>
      <c r="B176" s="117" t="s">
        <v>724</v>
      </c>
      <c r="C176" s="117" t="s">
        <v>359</v>
      </c>
      <c r="D176" s="117" t="s">
        <v>360</v>
      </c>
      <c r="E176" s="117" t="s">
        <v>3</v>
      </c>
      <c r="F176" s="117">
        <v>52</v>
      </c>
      <c r="G176" s="117">
        <v>18</v>
      </c>
      <c r="H176" s="117">
        <v>18</v>
      </c>
      <c r="I176" s="117"/>
      <c r="J176" s="117"/>
      <c r="K176" s="117" t="s">
        <v>1956</v>
      </c>
      <c r="L176" s="117" t="s">
        <v>358</v>
      </c>
      <c r="M176" s="117" t="s">
        <v>17</v>
      </c>
      <c r="N176" s="117" t="s">
        <v>18</v>
      </c>
      <c r="O176" s="117"/>
      <c r="P176" s="117"/>
      <c r="Q176" s="117"/>
      <c r="R176" s="117"/>
    </row>
    <row r="177" spans="1:20" ht="27" customHeight="1">
      <c r="A177" s="117">
        <v>172</v>
      </c>
      <c r="B177" s="117" t="s">
        <v>724</v>
      </c>
      <c r="C177" s="117" t="s">
        <v>361</v>
      </c>
      <c r="D177" s="117" t="s">
        <v>361</v>
      </c>
      <c r="E177" s="117" t="s">
        <v>3</v>
      </c>
      <c r="F177" s="117">
        <v>93</v>
      </c>
      <c r="G177" s="117">
        <v>93</v>
      </c>
      <c r="H177" s="117">
        <v>93</v>
      </c>
      <c r="I177" s="117"/>
      <c r="J177" s="117"/>
      <c r="K177" s="117" t="s">
        <v>1956</v>
      </c>
      <c r="L177" s="117" t="s">
        <v>362</v>
      </c>
      <c r="M177" s="117" t="s">
        <v>17</v>
      </c>
      <c r="N177" s="117" t="s">
        <v>18</v>
      </c>
      <c r="O177" s="117"/>
      <c r="P177" s="117"/>
      <c r="Q177" s="117"/>
      <c r="R177" s="117"/>
    </row>
    <row r="178" spans="1:20" ht="27" customHeight="1">
      <c r="A178" s="117">
        <v>173</v>
      </c>
      <c r="B178" s="117" t="s">
        <v>724</v>
      </c>
      <c r="C178" s="117" t="s">
        <v>363</v>
      </c>
      <c r="D178" s="117" t="s">
        <v>364</v>
      </c>
      <c r="E178" s="117" t="s">
        <v>6</v>
      </c>
      <c r="F178" s="117">
        <v>113</v>
      </c>
      <c r="G178" s="117">
        <v>10</v>
      </c>
      <c r="H178" s="117">
        <v>10</v>
      </c>
      <c r="I178" s="117"/>
      <c r="J178" s="117"/>
      <c r="K178" s="117" t="s">
        <v>1956</v>
      </c>
      <c r="L178" s="117" t="s">
        <v>358</v>
      </c>
      <c r="M178" s="117" t="s">
        <v>17</v>
      </c>
      <c r="N178" s="117" t="s">
        <v>18</v>
      </c>
      <c r="O178" s="117"/>
      <c r="P178" s="117"/>
      <c r="Q178" s="117"/>
      <c r="R178" s="117"/>
    </row>
    <row r="179" spans="1:20" ht="27" customHeight="1">
      <c r="A179" s="117">
        <v>174</v>
      </c>
      <c r="B179" s="117" t="s">
        <v>724</v>
      </c>
      <c r="C179" s="117" t="s">
        <v>365</v>
      </c>
      <c r="D179" s="117" t="s">
        <v>365</v>
      </c>
      <c r="E179" s="117" t="s">
        <v>6</v>
      </c>
      <c r="F179" s="117">
        <v>247</v>
      </c>
      <c r="G179" s="117">
        <v>247</v>
      </c>
      <c r="H179" s="117">
        <v>247</v>
      </c>
      <c r="I179" s="117"/>
      <c r="J179" s="117"/>
      <c r="K179" s="117" t="s">
        <v>1956</v>
      </c>
      <c r="L179" s="117" t="s">
        <v>362</v>
      </c>
      <c r="M179" s="117" t="s">
        <v>17</v>
      </c>
      <c r="N179" s="117" t="s">
        <v>18</v>
      </c>
      <c r="O179" s="117"/>
      <c r="P179" s="117"/>
      <c r="Q179" s="117"/>
      <c r="R179" s="117"/>
    </row>
    <row r="180" spans="1:20" ht="27" customHeight="1">
      <c r="A180" s="117">
        <v>175</v>
      </c>
      <c r="B180" s="117" t="s">
        <v>724</v>
      </c>
      <c r="C180" s="117" t="s">
        <v>366</v>
      </c>
      <c r="D180" s="117" t="s">
        <v>367</v>
      </c>
      <c r="E180" s="117" t="s">
        <v>11</v>
      </c>
      <c r="F180" s="117">
        <v>99</v>
      </c>
      <c r="G180" s="117">
        <v>12</v>
      </c>
      <c r="H180" s="117">
        <v>12</v>
      </c>
      <c r="I180" s="117"/>
      <c r="J180" s="117"/>
      <c r="K180" s="117" t="s">
        <v>1957</v>
      </c>
      <c r="L180" s="117" t="s">
        <v>368</v>
      </c>
      <c r="M180" s="117" t="s">
        <v>17</v>
      </c>
      <c r="N180" s="117" t="s">
        <v>18</v>
      </c>
      <c r="O180" s="117"/>
      <c r="P180" s="117"/>
      <c r="Q180" s="117"/>
      <c r="R180" s="117"/>
    </row>
    <row r="181" spans="1:20" ht="27" customHeight="1">
      <c r="A181" s="117">
        <v>176</v>
      </c>
      <c r="B181" s="117" t="s">
        <v>724</v>
      </c>
      <c r="C181" s="117" t="s">
        <v>1293</v>
      </c>
      <c r="D181" s="117" t="s">
        <v>369</v>
      </c>
      <c r="E181" s="117" t="s">
        <v>23</v>
      </c>
      <c r="F181" s="117">
        <v>456</v>
      </c>
      <c r="G181" s="117">
        <v>74</v>
      </c>
      <c r="H181" s="117">
        <v>74</v>
      </c>
      <c r="I181" s="117"/>
      <c r="J181" s="117"/>
      <c r="K181" s="117" t="s">
        <v>1956</v>
      </c>
      <c r="L181" s="117" t="s">
        <v>1294</v>
      </c>
      <c r="M181" s="117" t="s">
        <v>17</v>
      </c>
      <c r="N181" s="117" t="s">
        <v>1269</v>
      </c>
      <c r="O181" s="117"/>
      <c r="P181" s="117"/>
      <c r="Q181" s="117"/>
      <c r="R181" s="117"/>
    </row>
    <row r="182" spans="1:20" ht="27" customHeight="1">
      <c r="A182" s="117">
        <v>177</v>
      </c>
      <c r="B182" s="117" t="s">
        <v>724</v>
      </c>
      <c r="C182" s="117" t="s">
        <v>1295</v>
      </c>
      <c r="D182" s="117" t="s">
        <v>370</v>
      </c>
      <c r="E182" s="117" t="s">
        <v>6</v>
      </c>
      <c r="F182" s="117">
        <v>290</v>
      </c>
      <c r="G182" s="117">
        <v>169</v>
      </c>
      <c r="H182" s="117">
        <v>169</v>
      </c>
      <c r="I182" s="117"/>
      <c r="J182" s="117"/>
      <c r="K182" s="117" t="s">
        <v>1956</v>
      </c>
      <c r="L182" s="117" t="s">
        <v>1296</v>
      </c>
      <c r="M182" s="117" t="s">
        <v>17</v>
      </c>
      <c r="N182" s="117" t="s">
        <v>1269</v>
      </c>
      <c r="O182" s="117"/>
      <c r="P182" s="117"/>
      <c r="Q182" s="117"/>
      <c r="R182" s="117"/>
    </row>
    <row r="183" spans="1:20" ht="27" customHeight="1">
      <c r="A183" s="117">
        <v>178</v>
      </c>
      <c r="B183" s="117" t="s">
        <v>724</v>
      </c>
      <c r="C183" s="117" t="s">
        <v>1297</v>
      </c>
      <c r="D183" s="117" t="s">
        <v>1300</v>
      </c>
      <c r="E183" s="117" t="s">
        <v>3</v>
      </c>
      <c r="F183" s="117">
        <v>5180</v>
      </c>
      <c r="G183" s="117">
        <v>7008</v>
      </c>
      <c r="H183" s="117">
        <v>5180</v>
      </c>
      <c r="I183" s="117"/>
      <c r="J183" s="117"/>
      <c r="K183" s="117" t="s">
        <v>17</v>
      </c>
      <c r="L183" s="117" t="s">
        <v>72</v>
      </c>
      <c r="M183" s="117" t="s">
        <v>17</v>
      </c>
      <c r="N183" s="117" t="s">
        <v>72</v>
      </c>
      <c r="O183" s="117"/>
      <c r="P183" s="117"/>
      <c r="Q183" s="117"/>
      <c r="R183" s="117" t="s">
        <v>1337</v>
      </c>
    </row>
    <row r="184" spans="1:20" ht="27" customHeight="1">
      <c r="A184" s="117">
        <v>179</v>
      </c>
      <c r="B184" s="117" t="s">
        <v>724</v>
      </c>
      <c r="C184" s="117" t="s">
        <v>1298</v>
      </c>
      <c r="D184" s="117" t="s">
        <v>371</v>
      </c>
      <c r="E184" s="117" t="s">
        <v>23</v>
      </c>
      <c r="F184" s="117">
        <v>804</v>
      </c>
      <c r="G184" s="117">
        <v>2</v>
      </c>
      <c r="H184" s="117">
        <v>2</v>
      </c>
      <c r="I184" s="117"/>
      <c r="J184" s="117"/>
      <c r="K184" s="117" t="s">
        <v>1</v>
      </c>
      <c r="L184" s="117" t="s">
        <v>18</v>
      </c>
      <c r="M184" s="117" t="s">
        <v>17</v>
      </c>
      <c r="N184" s="117" t="s">
        <v>18</v>
      </c>
      <c r="O184" s="117"/>
      <c r="P184" s="117"/>
      <c r="Q184" s="117"/>
      <c r="R184" s="117"/>
    </row>
    <row r="185" spans="1:20" ht="27" customHeight="1">
      <c r="A185" s="117">
        <v>180</v>
      </c>
      <c r="B185" s="117" t="s">
        <v>724</v>
      </c>
      <c r="C185" s="117" t="s">
        <v>1299</v>
      </c>
      <c r="D185" s="117" t="s">
        <v>1270</v>
      </c>
      <c r="E185" s="117" t="s">
        <v>23</v>
      </c>
      <c r="F185" s="117">
        <v>642</v>
      </c>
      <c r="G185" s="117">
        <v>310</v>
      </c>
      <c r="H185" s="117">
        <v>310</v>
      </c>
      <c r="I185" s="117"/>
      <c r="J185" s="117"/>
      <c r="K185" s="117" t="s">
        <v>1956</v>
      </c>
      <c r="L185" s="117" t="s">
        <v>1294</v>
      </c>
      <c r="M185" s="117" t="s">
        <v>17</v>
      </c>
      <c r="N185" s="117" t="s">
        <v>1269</v>
      </c>
      <c r="O185" s="117"/>
      <c r="P185" s="117"/>
      <c r="Q185" s="117"/>
      <c r="R185" s="117"/>
      <c r="S185" s="126"/>
      <c r="T185" s="126"/>
    </row>
    <row r="186" spans="1:20" ht="27" customHeight="1">
      <c r="A186" s="117">
        <v>181</v>
      </c>
      <c r="B186" s="117" t="s">
        <v>724</v>
      </c>
      <c r="C186" s="117" t="s">
        <v>372</v>
      </c>
      <c r="D186" s="117" t="s">
        <v>373</v>
      </c>
      <c r="E186" s="117" t="s">
        <v>6</v>
      </c>
      <c r="F186" s="117">
        <v>1653</v>
      </c>
      <c r="G186" s="117">
        <v>798</v>
      </c>
      <c r="H186" s="117">
        <v>798</v>
      </c>
      <c r="I186" s="117"/>
      <c r="J186" s="117"/>
      <c r="K186" s="117" t="s">
        <v>1</v>
      </c>
      <c r="L186" s="117" t="s">
        <v>18</v>
      </c>
      <c r="M186" s="117" t="s">
        <v>17</v>
      </c>
      <c r="N186" s="117" t="s">
        <v>18</v>
      </c>
      <c r="O186" s="117"/>
      <c r="P186" s="117"/>
      <c r="Q186" s="117"/>
      <c r="R186" s="117"/>
      <c r="S186" s="126"/>
      <c r="T186" s="126"/>
    </row>
    <row r="187" spans="1:20" ht="27" customHeight="1">
      <c r="A187" s="117">
        <v>182</v>
      </c>
      <c r="B187" s="117" t="s">
        <v>724</v>
      </c>
      <c r="C187" s="117" t="s">
        <v>375</v>
      </c>
      <c r="D187" s="117" t="s">
        <v>376</v>
      </c>
      <c r="E187" s="117" t="s">
        <v>23</v>
      </c>
      <c r="F187" s="117">
        <v>180</v>
      </c>
      <c r="G187" s="117">
        <v>14</v>
      </c>
      <c r="H187" s="117">
        <v>14</v>
      </c>
      <c r="I187" s="117"/>
      <c r="J187" s="117"/>
      <c r="K187" s="117" t="s">
        <v>1</v>
      </c>
      <c r="L187" s="117" t="s">
        <v>18</v>
      </c>
      <c r="M187" s="117" t="s">
        <v>17</v>
      </c>
      <c r="N187" s="117" t="s">
        <v>18</v>
      </c>
      <c r="O187" s="117"/>
      <c r="P187" s="117"/>
      <c r="Q187" s="117"/>
      <c r="R187" s="117"/>
    </row>
    <row r="188" spans="1:20" ht="27" customHeight="1">
      <c r="A188" s="117">
        <v>183</v>
      </c>
      <c r="B188" s="117" t="s">
        <v>724</v>
      </c>
      <c r="C188" s="117" t="s">
        <v>377</v>
      </c>
      <c r="D188" s="117" t="s">
        <v>378</v>
      </c>
      <c r="E188" s="117" t="s">
        <v>23</v>
      </c>
      <c r="F188" s="117">
        <v>1147</v>
      </c>
      <c r="G188" s="117">
        <v>54</v>
      </c>
      <c r="H188" s="117">
        <v>54</v>
      </c>
      <c r="I188" s="117"/>
      <c r="J188" s="117"/>
      <c r="K188" s="117" t="s">
        <v>1</v>
      </c>
      <c r="L188" s="117" t="s">
        <v>18</v>
      </c>
      <c r="M188" s="117" t="s">
        <v>17</v>
      </c>
      <c r="N188" s="117" t="s">
        <v>18</v>
      </c>
      <c r="O188" s="117"/>
      <c r="P188" s="117"/>
      <c r="Q188" s="117"/>
      <c r="R188" s="117"/>
    </row>
    <row r="189" spans="1:20" ht="27" customHeight="1">
      <c r="A189" s="117">
        <v>184</v>
      </c>
      <c r="B189" s="117" t="s">
        <v>724</v>
      </c>
      <c r="C189" s="117" t="s">
        <v>379</v>
      </c>
      <c r="D189" s="117" t="s">
        <v>380</v>
      </c>
      <c r="E189" s="117" t="s">
        <v>0</v>
      </c>
      <c r="F189" s="117">
        <v>341</v>
      </c>
      <c r="G189" s="117">
        <v>285</v>
      </c>
      <c r="H189" s="117">
        <v>285</v>
      </c>
      <c r="I189" s="117"/>
      <c r="J189" s="117"/>
      <c r="K189" s="117" t="s">
        <v>1</v>
      </c>
      <c r="L189" s="117" t="s">
        <v>18</v>
      </c>
      <c r="M189" s="117" t="s">
        <v>17</v>
      </c>
      <c r="N189" s="117" t="s">
        <v>18</v>
      </c>
      <c r="O189" s="117"/>
      <c r="P189" s="117"/>
      <c r="Q189" s="117"/>
      <c r="R189" s="117"/>
    </row>
    <row r="190" spans="1:20" ht="27" customHeight="1">
      <c r="A190" s="117">
        <v>185</v>
      </c>
      <c r="B190" s="117" t="s">
        <v>724</v>
      </c>
      <c r="C190" s="117" t="s">
        <v>381</v>
      </c>
      <c r="D190" s="117" t="s">
        <v>381</v>
      </c>
      <c r="E190" s="117" t="s">
        <v>23</v>
      </c>
      <c r="F190" s="117">
        <v>145</v>
      </c>
      <c r="G190" s="117">
        <v>145</v>
      </c>
      <c r="H190" s="117">
        <v>145</v>
      </c>
      <c r="I190" s="117"/>
      <c r="J190" s="117"/>
      <c r="K190" s="117" t="s">
        <v>1958</v>
      </c>
      <c r="L190" s="117" t="s">
        <v>271</v>
      </c>
      <c r="M190" s="117" t="s">
        <v>17</v>
      </c>
      <c r="N190" s="117" t="s">
        <v>18</v>
      </c>
      <c r="O190" s="117"/>
      <c r="P190" s="117"/>
      <c r="Q190" s="117"/>
      <c r="R190" s="117"/>
    </row>
    <row r="191" spans="1:20" ht="27" customHeight="1">
      <c r="A191" s="117">
        <v>186</v>
      </c>
      <c r="B191" s="117" t="s">
        <v>724</v>
      </c>
      <c r="C191" s="117" t="s">
        <v>382</v>
      </c>
      <c r="D191" s="117" t="s">
        <v>382</v>
      </c>
      <c r="E191" s="117" t="s">
        <v>23</v>
      </c>
      <c r="F191" s="117">
        <v>188</v>
      </c>
      <c r="G191" s="117">
        <v>188</v>
      </c>
      <c r="H191" s="117">
        <v>188</v>
      </c>
      <c r="I191" s="117"/>
      <c r="J191" s="117"/>
      <c r="K191" s="117" t="s">
        <v>1929</v>
      </c>
      <c r="L191" s="117" t="s">
        <v>179</v>
      </c>
      <c r="M191" s="117" t="s">
        <v>17</v>
      </c>
      <c r="N191" s="117" t="s">
        <v>18</v>
      </c>
      <c r="O191" s="117"/>
      <c r="P191" s="117"/>
      <c r="Q191" s="117"/>
      <c r="R191" s="117"/>
    </row>
    <row r="192" spans="1:20" ht="27" customHeight="1">
      <c r="A192" s="117">
        <v>187</v>
      </c>
      <c r="B192" s="117" t="s">
        <v>724</v>
      </c>
      <c r="C192" s="117" t="s">
        <v>383</v>
      </c>
      <c r="D192" s="117" t="s">
        <v>384</v>
      </c>
      <c r="E192" s="117" t="s">
        <v>23</v>
      </c>
      <c r="F192" s="117">
        <v>443</v>
      </c>
      <c r="G192" s="117">
        <v>162</v>
      </c>
      <c r="H192" s="117">
        <v>162</v>
      </c>
      <c r="I192" s="117"/>
      <c r="J192" s="117"/>
      <c r="K192" s="117" t="s">
        <v>1</v>
      </c>
      <c r="L192" s="117" t="s">
        <v>18</v>
      </c>
      <c r="M192" s="117" t="s">
        <v>17</v>
      </c>
      <c r="N192" s="117" t="s">
        <v>18</v>
      </c>
      <c r="O192" s="117"/>
      <c r="P192" s="117"/>
      <c r="Q192" s="117"/>
      <c r="R192" s="117"/>
    </row>
    <row r="193" spans="1:20" ht="27" customHeight="1">
      <c r="A193" s="117">
        <v>188</v>
      </c>
      <c r="B193" s="117" t="s">
        <v>724</v>
      </c>
      <c r="C193" s="117" t="s">
        <v>385</v>
      </c>
      <c r="D193" s="117" t="s">
        <v>385</v>
      </c>
      <c r="E193" s="117" t="s">
        <v>23</v>
      </c>
      <c r="F193" s="117">
        <v>145</v>
      </c>
      <c r="G193" s="117">
        <v>145</v>
      </c>
      <c r="H193" s="117">
        <v>145</v>
      </c>
      <c r="I193" s="117"/>
      <c r="J193" s="117"/>
      <c r="K193" s="117" t="s">
        <v>1958</v>
      </c>
      <c r="L193" s="117" t="s">
        <v>271</v>
      </c>
      <c r="M193" s="117" t="s">
        <v>17</v>
      </c>
      <c r="N193" s="117" t="s">
        <v>18</v>
      </c>
      <c r="O193" s="117"/>
      <c r="P193" s="117"/>
      <c r="Q193" s="117"/>
      <c r="R193" s="117"/>
    </row>
    <row r="194" spans="1:20" ht="27" customHeight="1">
      <c r="A194" s="117">
        <v>189</v>
      </c>
      <c r="B194" s="117" t="s">
        <v>724</v>
      </c>
      <c r="C194" s="117" t="s">
        <v>386</v>
      </c>
      <c r="D194" s="117" t="s">
        <v>387</v>
      </c>
      <c r="E194" s="117" t="s">
        <v>6</v>
      </c>
      <c r="F194" s="117">
        <v>2017</v>
      </c>
      <c r="G194" s="117">
        <v>80</v>
      </c>
      <c r="H194" s="117">
        <v>80</v>
      </c>
      <c r="I194" s="117"/>
      <c r="J194" s="117"/>
      <c r="K194" s="117" t="s">
        <v>1929</v>
      </c>
      <c r="L194" s="117" t="s">
        <v>1246</v>
      </c>
      <c r="M194" s="117" t="s">
        <v>17</v>
      </c>
      <c r="N194" s="117" t="s">
        <v>18</v>
      </c>
      <c r="O194" s="117"/>
      <c r="P194" s="117"/>
      <c r="Q194" s="117"/>
      <c r="R194" s="117"/>
    </row>
    <row r="195" spans="1:20" ht="27" customHeight="1">
      <c r="A195" s="117">
        <v>190</v>
      </c>
      <c r="B195" s="117" t="s">
        <v>724</v>
      </c>
      <c r="C195" s="117" t="s">
        <v>388</v>
      </c>
      <c r="D195" s="117" t="s">
        <v>388</v>
      </c>
      <c r="E195" s="117" t="s">
        <v>2</v>
      </c>
      <c r="F195" s="117">
        <v>15</v>
      </c>
      <c r="G195" s="117">
        <v>15</v>
      </c>
      <c r="H195" s="117">
        <v>15</v>
      </c>
      <c r="I195" s="117"/>
      <c r="J195" s="117"/>
      <c r="K195" s="117" t="s">
        <v>1958</v>
      </c>
      <c r="L195" s="117" t="s">
        <v>271</v>
      </c>
      <c r="M195" s="117" t="s">
        <v>17</v>
      </c>
      <c r="N195" s="117" t="s">
        <v>18</v>
      </c>
      <c r="O195" s="117"/>
      <c r="P195" s="117"/>
      <c r="Q195" s="117"/>
      <c r="R195" s="117"/>
    </row>
    <row r="196" spans="1:20" ht="27" customHeight="1">
      <c r="A196" s="117">
        <v>191</v>
      </c>
      <c r="B196" s="117" t="s">
        <v>724</v>
      </c>
      <c r="C196" s="117" t="s">
        <v>389</v>
      </c>
      <c r="D196" s="117" t="s">
        <v>390</v>
      </c>
      <c r="E196" s="117" t="s">
        <v>11</v>
      </c>
      <c r="F196" s="117">
        <v>31828</v>
      </c>
      <c r="G196" s="117">
        <v>4458</v>
      </c>
      <c r="H196" s="117">
        <v>4458</v>
      </c>
      <c r="I196" s="117"/>
      <c r="J196" s="117"/>
      <c r="K196" s="117" t="s">
        <v>1</v>
      </c>
      <c r="L196" s="117" t="s">
        <v>18</v>
      </c>
      <c r="M196" s="117" t="s">
        <v>17</v>
      </c>
      <c r="N196" s="117" t="s">
        <v>18</v>
      </c>
      <c r="O196" s="117"/>
      <c r="P196" s="117"/>
      <c r="Q196" s="117"/>
      <c r="R196" s="117"/>
    </row>
    <row r="197" spans="1:20" ht="27" customHeight="1">
      <c r="A197" s="117">
        <v>192</v>
      </c>
      <c r="B197" s="117" t="s">
        <v>724</v>
      </c>
      <c r="C197" s="117" t="s">
        <v>391</v>
      </c>
      <c r="D197" s="117" t="s">
        <v>391</v>
      </c>
      <c r="E197" s="117" t="s">
        <v>1348</v>
      </c>
      <c r="F197" s="117">
        <v>69</v>
      </c>
      <c r="G197" s="117">
        <v>1</v>
      </c>
      <c r="H197" s="117"/>
      <c r="I197" s="117"/>
      <c r="J197" s="117"/>
      <c r="K197" s="117" t="s">
        <v>17</v>
      </c>
      <c r="L197" s="117" t="s">
        <v>72</v>
      </c>
      <c r="M197" s="117" t="s">
        <v>17</v>
      </c>
      <c r="N197" s="117" t="s">
        <v>72</v>
      </c>
      <c r="O197" s="117"/>
      <c r="P197" s="117"/>
      <c r="Q197" s="117"/>
      <c r="R197" s="117" t="s">
        <v>1245</v>
      </c>
    </row>
    <row r="198" spans="1:20" ht="27" customHeight="1">
      <c r="A198" s="117">
        <v>193</v>
      </c>
      <c r="B198" s="117" t="s">
        <v>724</v>
      </c>
      <c r="C198" s="117" t="s">
        <v>392</v>
      </c>
      <c r="D198" s="117" t="s">
        <v>392</v>
      </c>
      <c r="E198" s="117" t="s">
        <v>1348</v>
      </c>
      <c r="F198" s="117">
        <v>1972</v>
      </c>
      <c r="G198" s="117">
        <v>20</v>
      </c>
      <c r="H198" s="117"/>
      <c r="I198" s="117"/>
      <c r="J198" s="117"/>
      <c r="K198" s="117" t="s">
        <v>17</v>
      </c>
      <c r="L198" s="117" t="s">
        <v>72</v>
      </c>
      <c r="M198" s="117" t="s">
        <v>17</v>
      </c>
      <c r="N198" s="117" t="s">
        <v>72</v>
      </c>
      <c r="O198" s="117"/>
      <c r="P198" s="117"/>
      <c r="Q198" s="117"/>
      <c r="R198" s="117" t="s">
        <v>1245</v>
      </c>
    </row>
    <row r="199" spans="1:20" ht="27" customHeight="1">
      <c r="A199" s="117">
        <v>194</v>
      </c>
      <c r="B199" s="117" t="s">
        <v>724</v>
      </c>
      <c r="C199" s="117" t="s">
        <v>393</v>
      </c>
      <c r="D199" s="117" t="s">
        <v>393</v>
      </c>
      <c r="E199" s="117" t="s">
        <v>1348</v>
      </c>
      <c r="F199" s="117">
        <v>1784</v>
      </c>
      <c r="G199" s="117">
        <v>122</v>
      </c>
      <c r="H199" s="117"/>
      <c r="I199" s="117"/>
      <c r="J199" s="117"/>
      <c r="K199" s="117" t="s">
        <v>17</v>
      </c>
      <c r="L199" s="117" t="s">
        <v>72</v>
      </c>
      <c r="M199" s="117" t="s">
        <v>17</v>
      </c>
      <c r="N199" s="117" t="s">
        <v>72</v>
      </c>
      <c r="O199" s="117"/>
      <c r="P199" s="117"/>
      <c r="Q199" s="117"/>
      <c r="R199" s="117" t="s">
        <v>1245</v>
      </c>
    </row>
    <row r="200" spans="1:20" ht="27" customHeight="1">
      <c r="A200" s="117">
        <v>195</v>
      </c>
      <c r="B200" s="117" t="s">
        <v>724</v>
      </c>
      <c r="C200" s="117" t="s">
        <v>394</v>
      </c>
      <c r="D200" s="117" t="s">
        <v>394</v>
      </c>
      <c r="E200" s="117" t="s">
        <v>1348</v>
      </c>
      <c r="F200" s="117">
        <v>1322</v>
      </c>
      <c r="G200" s="117">
        <v>11</v>
      </c>
      <c r="H200" s="117"/>
      <c r="I200" s="117"/>
      <c r="J200" s="117"/>
      <c r="K200" s="117" t="s">
        <v>17</v>
      </c>
      <c r="L200" s="117" t="s">
        <v>78</v>
      </c>
      <c r="M200" s="117" t="s">
        <v>17</v>
      </c>
      <c r="N200" s="117" t="s">
        <v>78</v>
      </c>
      <c r="O200" s="117"/>
      <c r="P200" s="117"/>
      <c r="Q200" s="117"/>
      <c r="R200" s="117" t="s">
        <v>1245</v>
      </c>
    </row>
    <row r="201" spans="1:20" ht="27" customHeight="1">
      <c r="A201" s="117">
        <v>196</v>
      </c>
      <c r="B201" s="117" t="s">
        <v>724</v>
      </c>
      <c r="C201" s="117" t="s">
        <v>395</v>
      </c>
      <c r="D201" s="117" t="s">
        <v>395</v>
      </c>
      <c r="E201" s="117" t="s">
        <v>1348</v>
      </c>
      <c r="F201" s="117">
        <v>178</v>
      </c>
      <c r="G201" s="117">
        <v>178</v>
      </c>
      <c r="H201" s="117"/>
      <c r="I201" s="117"/>
      <c r="J201" s="117"/>
      <c r="K201" s="117" t="s">
        <v>17</v>
      </c>
      <c r="L201" s="117" t="s">
        <v>72</v>
      </c>
      <c r="M201" s="117" t="s">
        <v>17</v>
      </c>
      <c r="N201" s="117" t="s">
        <v>72</v>
      </c>
      <c r="O201" s="117"/>
      <c r="P201" s="117"/>
      <c r="Q201" s="117"/>
      <c r="R201" s="117" t="s">
        <v>1245</v>
      </c>
    </row>
    <row r="202" spans="1:20" ht="27" customHeight="1">
      <c r="A202" s="117">
        <v>197</v>
      </c>
      <c r="B202" s="117" t="s">
        <v>724</v>
      </c>
      <c r="C202" s="117" t="s">
        <v>396</v>
      </c>
      <c r="D202" s="117" t="s">
        <v>396</v>
      </c>
      <c r="E202" s="117" t="s">
        <v>1348</v>
      </c>
      <c r="F202" s="117">
        <v>53</v>
      </c>
      <c r="G202" s="117">
        <v>53</v>
      </c>
      <c r="H202" s="117"/>
      <c r="I202" s="117"/>
      <c r="J202" s="117"/>
      <c r="K202" s="117" t="s">
        <v>17</v>
      </c>
      <c r="L202" s="117" t="s">
        <v>72</v>
      </c>
      <c r="M202" s="117" t="s">
        <v>17</v>
      </c>
      <c r="N202" s="117" t="s">
        <v>72</v>
      </c>
      <c r="O202" s="117"/>
      <c r="P202" s="117"/>
      <c r="Q202" s="117"/>
      <c r="R202" s="117" t="s">
        <v>1245</v>
      </c>
    </row>
    <row r="203" spans="1:20" ht="27" customHeight="1">
      <c r="A203" s="117">
        <v>198</v>
      </c>
      <c r="B203" s="117" t="s">
        <v>724</v>
      </c>
      <c r="C203" s="117" t="s">
        <v>397</v>
      </c>
      <c r="D203" s="117" t="s">
        <v>397</v>
      </c>
      <c r="E203" s="117" t="s">
        <v>1350</v>
      </c>
      <c r="F203" s="117">
        <v>1419</v>
      </c>
      <c r="G203" s="117">
        <v>45</v>
      </c>
      <c r="H203" s="117"/>
      <c r="I203" s="117"/>
      <c r="J203" s="117"/>
      <c r="K203" s="117" t="s">
        <v>17</v>
      </c>
      <c r="L203" s="117" t="s">
        <v>72</v>
      </c>
      <c r="M203" s="117" t="s">
        <v>17</v>
      </c>
      <c r="N203" s="117" t="s">
        <v>72</v>
      </c>
      <c r="O203" s="117"/>
      <c r="P203" s="117"/>
      <c r="Q203" s="117"/>
      <c r="R203" s="117" t="s">
        <v>1245</v>
      </c>
    </row>
    <row r="204" spans="1:20" ht="27" customHeight="1">
      <c r="A204" s="117">
        <v>199</v>
      </c>
      <c r="B204" s="117" t="s">
        <v>724</v>
      </c>
      <c r="C204" s="117" t="s">
        <v>398</v>
      </c>
      <c r="D204" s="117" t="s">
        <v>398</v>
      </c>
      <c r="E204" s="117" t="s">
        <v>3</v>
      </c>
      <c r="F204" s="117">
        <v>4361</v>
      </c>
      <c r="G204" s="117">
        <v>4361</v>
      </c>
      <c r="H204" s="117">
        <v>4361</v>
      </c>
      <c r="I204" s="117"/>
      <c r="J204" s="117"/>
      <c r="K204" s="117" t="s">
        <v>17</v>
      </c>
      <c r="L204" s="117" t="s">
        <v>72</v>
      </c>
      <c r="M204" s="117" t="s">
        <v>17</v>
      </c>
      <c r="N204" s="117" t="s">
        <v>72</v>
      </c>
      <c r="O204" s="117"/>
      <c r="P204" s="117"/>
      <c r="Q204" s="117"/>
      <c r="R204" s="117"/>
    </row>
    <row r="205" spans="1:20" ht="27" customHeight="1">
      <c r="A205" s="117">
        <v>200</v>
      </c>
      <c r="B205" s="117" t="s">
        <v>724</v>
      </c>
      <c r="C205" s="117" t="s">
        <v>1271</v>
      </c>
      <c r="D205" s="117" t="s">
        <v>1271</v>
      </c>
      <c r="E205" s="117" t="s">
        <v>3</v>
      </c>
      <c r="F205" s="117">
        <v>6</v>
      </c>
      <c r="G205" s="117">
        <v>1</v>
      </c>
      <c r="H205" s="117">
        <v>6</v>
      </c>
      <c r="I205" s="117"/>
      <c r="J205" s="117"/>
      <c r="K205" s="117"/>
      <c r="L205" s="117"/>
      <c r="M205" s="117" t="s">
        <v>17</v>
      </c>
      <c r="N205" s="117" t="s">
        <v>72</v>
      </c>
      <c r="O205" s="117"/>
      <c r="P205" s="117"/>
      <c r="Q205" s="117"/>
      <c r="R205" s="117"/>
    </row>
    <row r="206" spans="1:20" ht="27" customHeight="1">
      <c r="A206" s="117">
        <v>201</v>
      </c>
      <c r="B206" s="117" t="s">
        <v>724</v>
      </c>
      <c r="C206" s="117" t="s">
        <v>399</v>
      </c>
      <c r="D206" s="117" t="s">
        <v>399</v>
      </c>
      <c r="E206" s="117" t="s">
        <v>3</v>
      </c>
      <c r="F206" s="117">
        <v>787</v>
      </c>
      <c r="G206" s="117">
        <v>787</v>
      </c>
      <c r="H206" s="117">
        <v>787</v>
      </c>
      <c r="I206" s="117"/>
      <c r="J206" s="117"/>
      <c r="K206" s="117" t="s">
        <v>17</v>
      </c>
      <c r="L206" s="117" t="s">
        <v>400</v>
      </c>
      <c r="M206" s="117" t="s">
        <v>17</v>
      </c>
      <c r="N206" s="117" t="s">
        <v>400</v>
      </c>
      <c r="O206" s="117"/>
      <c r="P206" s="117"/>
      <c r="Q206" s="117"/>
      <c r="R206" s="117"/>
      <c r="S206" s="126"/>
      <c r="T206" s="126"/>
    </row>
    <row r="207" spans="1:20" ht="27" customHeight="1">
      <c r="A207" s="117">
        <v>202</v>
      </c>
      <c r="B207" s="117" t="s">
        <v>724</v>
      </c>
      <c r="C207" s="117" t="s">
        <v>401</v>
      </c>
      <c r="D207" s="117" t="s">
        <v>401</v>
      </c>
      <c r="E207" s="117" t="s">
        <v>3</v>
      </c>
      <c r="F207" s="117">
        <v>11</v>
      </c>
      <c r="G207" s="117">
        <v>11</v>
      </c>
      <c r="H207" s="117">
        <v>11</v>
      </c>
      <c r="I207" s="117"/>
      <c r="J207" s="117"/>
      <c r="K207" s="117" t="s">
        <v>17</v>
      </c>
      <c r="L207" s="117" t="s">
        <v>72</v>
      </c>
      <c r="M207" s="117" t="s">
        <v>17</v>
      </c>
      <c r="N207" s="117" t="s">
        <v>72</v>
      </c>
      <c r="O207" s="117"/>
      <c r="P207" s="117"/>
      <c r="Q207" s="117"/>
      <c r="R207" s="117"/>
      <c r="S207" s="126"/>
      <c r="T207" s="126"/>
    </row>
    <row r="208" spans="1:20" ht="27" customHeight="1">
      <c r="A208" s="117">
        <v>203</v>
      </c>
      <c r="B208" s="117" t="s">
        <v>724</v>
      </c>
      <c r="C208" s="117" t="s">
        <v>402</v>
      </c>
      <c r="D208" s="117" t="s">
        <v>402</v>
      </c>
      <c r="E208" s="117" t="s">
        <v>1348</v>
      </c>
      <c r="F208" s="117">
        <v>50</v>
      </c>
      <c r="G208" s="117">
        <v>13</v>
      </c>
      <c r="H208" s="117"/>
      <c r="I208" s="117"/>
      <c r="J208" s="117"/>
      <c r="K208" s="117" t="s">
        <v>17</v>
      </c>
      <c r="L208" s="117" t="s">
        <v>72</v>
      </c>
      <c r="M208" s="117" t="s">
        <v>17</v>
      </c>
      <c r="N208" s="117" t="s">
        <v>72</v>
      </c>
      <c r="O208" s="117"/>
      <c r="P208" s="117"/>
      <c r="Q208" s="117"/>
      <c r="R208" s="117" t="s">
        <v>1245</v>
      </c>
    </row>
    <row r="209" spans="1:18" ht="27" customHeight="1">
      <c r="A209" s="117">
        <v>204</v>
      </c>
      <c r="B209" s="117" t="s">
        <v>724</v>
      </c>
      <c r="C209" s="117" t="s">
        <v>403</v>
      </c>
      <c r="D209" s="117" t="s">
        <v>403</v>
      </c>
      <c r="E209" s="117" t="s">
        <v>1348</v>
      </c>
      <c r="F209" s="117">
        <v>6</v>
      </c>
      <c r="G209" s="117">
        <v>6</v>
      </c>
      <c r="H209" s="117"/>
      <c r="I209" s="117"/>
      <c r="J209" s="117"/>
      <c r="K209" s="117" t="s">
        <v>17</v>
      </c>
      <c r="L209" s="117" t="s">
        <v>72</v>
      </c>
      <c r="M209" s="117" t="s">
        <v>17</v>
      </c>
      <c r="N209" s="117" t="s">
        <v>72</v>
      </c>
      <c r="O209" s="117"/>
      <c r="P209" s="117"/>
      <c r="Q209" s="117"/>
      <c r="R209" s="117" t="s">
        <v>1245</v>
      </c>
    </row>
    <row r="210" spans="1:18" ht="27" customHeight="1">
      <c r="A210" s="117">
        <v>205</v>
      </c>
      <c r="B210" s="117" t="s">
        <v>724</v>
      </c>
      <c r="C210" s="117" t="s">
        <v>404</v>
      </c>
      <c r="D210" s="117" t="s">
        <v>404</v>
      </c>
      <c r="E210" s="117" t="s">
        <v>1348</v>
      </c>
      <c r="F210" s="117">
        <v>15</v>
      </c>
      <c r="G210" s="117">
        <v>15</v>
      </c>
      <c r="H210" s="117"/>
      <c r="I210" s="117"/>
      <c r="J210" s="117"/>
      <c r="K210" s="117" t="s">
        <v>17</v>
      </c>
      <c r="L210" s="117" t="s">
        <v>72</v>
      </c>
      <c r="M210" s="117" t="s">
        <v>17</v>
      </c>
      <c r="N210" s="117" t="s">
        <v>72</v>
      </c>
      <c r="O210" s="117"/>
      <c r="P210" s="117"/>
      <c r="Q210" s="117"/>
      <c r="R210" s="117" t="s">
        <v>1245</v>
      </c>
    </row>
    <row r="211" spans="1:18" ht="27" customHeight="1">
      <c r="A211" s="117">
        <v>206</v>
      </c>
      <c r="B211" s="117" t="s">
        <v>724</v>
      </c>
      <c r="C211" s="117" t="s">
        <v>405</v>
      </c>
      <c r="D211" s="117" t="s">
        <v>405</v>
      </c>
      <c r="E211" s="117" t="s">
        <v>1348</v>
      </c>
      <c r="F211" s="117">
        <v>86</v>
      </c>
      <c r="G211" s="117">
        <v>86</v>
      </c>
      <c r="H211" s="117"/>
      <c r="I211" s="117"/>
      <c r="J211" s="117"/>
      <c r="K211" s="117" t="s">
        <v>17</v>
      </c>
      <c r="L211" s="117" t="s">
        <v>72</v>
      </c>
      <c r="M211" s="117" t="s">
        <v>17</v>
      </c>
      <c r="N211" s="117" t="s">
        <v>72</v>
      </c>
      <c r="O211" s="117"/>
      <c r="P211" s="117"/>
      <c r="Q211" s="117"/>
      <c r="R211" s="117" t="s">
        <v>1245</v>
      </c>
    </row>
    <row r="212" spans="1:18" ht="27" customHeight="1">
      <c r="A212" s="117">
        <v>207</v>
      </c>
      <c r="B212" s="117" t="s">
        <v>724</v>
      </c>
      <c r="C212" s="117" t="s">
        <v>406</v>
      </c>
      <c r="D212" s="117" t="s">
        <v>406</v>
      </c>
      <c r="E212" s="117" t="s">
        <v>1348</v>
      </c>
      <c r="F212" s="117">
        <v>691</v>
      </c>
      <c r="G212" s="117">
        <v>689</v>
      </c>
      <c r="H212" s="117"/>
      <c r="I212" s="117"/>
      <c r="J212" s="117"/>
      <c r="K212" s="117" t="s">
        <v>17</v>
      </c>
      <c r="L212" s="117" t="s">
        <v>72</v>
      </c>
      <c r="M212" s="117" t="s">
        <v>17</v>
      </c>
      <c r="N212" s="117" t="s">
        <v>72</v>
      </c>
      <c r="O212" s="117"/>
      <c r="P212" s="117"/>
      <c r="Q212" s="117"/>
      <c r="R212" s="117" t="s">
        <v>1245</v>
      </c>
    </row>
    <row r="213" spans="1:18" ht="27" customHeight="1">
      <c r="A213" s="117">
        <v>208</v>
      </c>
      <c r="B213" s="117" t="s">
        <v>724</v>
      </c>
      <c r="C213" s="117" t="s">
        <v>407</v>
      </c>
      <c r="D213" s="117" t="s">
        <v>407</v>
      </c>
      <c r="E213" s="117" t="s">
        <v>1351</v>
      </c>
      <c r="F213" s="117">
        <v>195</v>
      </c>
      <c r="G213" s="117">
        <v>8</v>
      </c>
      <c r="H213" s="117"/>
      <c r="I213" s="117"/>
      <c r="J213" s="117"/>
      <c r="K213" s="117" t="s">
        <v>1959</v>
      </c>
      <c r="L213" s="117" t="s">
        <v>408</v>
      </c>
      <c r="M213" s="117" t="s">
        <v>1959</v>
      </c>
      <c r="N213" s="117" t="s">
        <v>408</v>
      </c>
      <c r="O213" s="117"/>
      <c r="P213" s="117"/>
      <c r="Q213" s="117"/>
      <c r="R213" s="117" t="s">
        <v>1245</v>
      </c>
    </row>
    <row r="214" spans="1:18" ht="27" customHeight="1">
      <c r="A214" s="117">
        <v>209</v>
      </c>
      <c r="B214" s="117" t="s">
        <v>724</v>
      </c>
      <c r="C214" s="117" t="s">
        <v>409</v>
      </c>
      <c r="D214" s="117" t="s">
        <v>409</v>
      </c>
      <c r="E214" s="117" t="s">
        <v>1349</v>
      </c>
      <c r="F214" s="117">
        <v>7650</v>
      </c>
      <c r="G214" s="117">
        <v>19</v>
      </c>
      <c r="H214" s="117"/>
      <c r="I214" s="117"/>
      <c r="J214" s="117"/>
      <c r="K214" s="117" t="s">
        <v>1961</v>
      </c>
      <c r="L214" s="117" t="s">
        <v>410</v>
      </c>
      <c r="M214" s="117" t="s">
        <v>1961</v>
      </c>
      <c r="N214" s="117" t="s">
        <v>410</v>
      </c>
      <c r="O214" s="117"/>
      <c r="P214" s="117"/>
      <c r="Q214" s="117"/>
      <c r="R214" s="117" t="s">
        <v>1245</v>
      </c>
    </row>
    <row r="215" spans="1:18" ht="27" customHeight="1">
      <c r="A215" s="117">
        <v>210</v>
      </c>
      <c r="B215" s="117" t="s">
        <v>724</v>
      </c>
      <c r="C215" s="117" t="s">
        <v>411</v>
      </c>
      <c r="D215" s="117" t="s">
        <v>411</v>
      </c>
      <c r="E215" s="117" t="s">
        <v>1348</v>
      </c>
      <c r="F215" s="117">
        <v>1</v>
      </c>
      <c r="G215" s="117">
        <v>1</v>
      </c>
      <c r="H215" s="117"/>
      <c r="I215" s="117"/>
      <c r="J215" s="117"/>
      <c r="K215" s="117" t="s">
        <v>1960</v>
      </c>
      <c r="L215" s="117" t="s">
        <v>412</v>
      </c>
      <c r="M215" s="117" t="s">
        <v>17</v>
      </c>
      <c r="N215" s="117" t="s">
        <v>18</v>
      </c>
      <c r="O215" s="117"/>
      <c r="P215" s="117"/>
      <c r="Q215" s="117"/>
      <c r="R215" s="117" t="s">
        <v>1245</v>
      </c>
    </row>
    <row r="216" spans="1:18" ht="27" customHeight="1">
      <c r="A216" s="117">
        <v>211</v>
      </c>
      <c r="B216" s="117" t="s">
        <v>724</v>
      </c>
      <c r="C216" s="117" t="s">
        <v>413</v>
      </c>
      <c r="D216" s="117" t="s">
        <v>413</v>
      </c>
      <c r="E216" s="117" t="s">
        <v>1351</v>
      </c>
      <c r="F216" s="117">
        <v>710</v>
      </c>
      <c r="G216" s="117">
        <v>3</v>
      </c>
      <c r="H216" s="117"/>
      <c r="I216" s="117"/>
      <c r="J216" s="117"/>
      <c r="K216" s="117" t="s">
        <v>1962</v>
      </c>
      <c r="L216" s="117" t="s">
        <v>412</v>
      </c>
      <c r="M216" s="117" t="s">
        <v>1962</v>
      </c>
      <c r="N216" s="117" t="s">
        <v>412</v>
      </c>
      <c r="O216" s="117"/>
      <c r="P216" s="117"/>
      <c r="Q216" s="117"/>
      <c r="R216" s="117" t="s">
        <v>1245</v>
      </c>
    </row>
    <row r="217" spans="1:18" ht="27" customHeight="1">
      <c r="A217" s="117">
        <v>212</v>
      </c>
      <c r="B217" s="117" t="s">
        <v>724</v>
      </c>
      <c r="C217" s="117" t="s">
        <v>414</v>
      </c>
      <c r="D217" s="117" t="s">
        <v>414</v>
      </c>
      <c r="E217" s="117" t="s">
        <v>1352</v>
      </c>
      <c r="F217" s="117">
        <v>225</v>
      </c>
      <c r="G217" s="117">
        <v>2</v>
      </c>
      <c r="H217" s="117"/>
      <c r="I217" s="117"/>
      <c r="J217" s="117"/>
      <c r="K217" s="117" t="s">
        <v>1963</v>
      </c>
      <c r="L217" s="117" t="s">
        <v>415</v>
      </c>
      <c r="N217" s="117" t="s">
        <v>415</v>
      </c>
      <c r="O217" s="117"/>
      <c r="P217" s="117"/>
      <c r="Q217" s="117"/>
      <c r="R217" s="117" t="s">
        <v>1245</v>
      </c>
    </row>
    <row r="218" spans="1:18" ht="27" customHeight="1">
      <c r="A218" s="117">
        <v>213</v>
      </c>
      <c r="B218" s="117" t="s">
        <v>724</v>
      </c>
      <c r="C218" s="117" t="s">
        <v>416</v>
      </c>
      <c r="D218" s="117" t="s">
        <v>416</v>
      </c>
      <c r="E218" s="117" t="s">
        <v>1352</v>
      </c>
      <c r="F218" s="117">
        <v>796</v>
      </c>
      <c r="G218" s="117">
        <v>6</v>
      </c>
      <c r="H218" s="117"/>
      <c r="I218" s="117"/>
      <c r="J218" s="117"/>
      <c r="K218" s="117" t="s">
        <v>1964</v>
      </c>
      <c r="L218" s="117" t="s">
        <v>417</v>
      </c>
      <c r="N218" s="117" t="s">
        <v>417</v>
      </c>
      <c r="O218" s="117"/>
      <c r="P218" s="117"/>
      <c r="Q218" s="117"/>
      <c r="R218" s="117" t="s">
        <v>1245</v>
      </c>
    </row>
    <row r="219" spans="1:18" ht="27" customHeight="1">
      <c r="A219" s="117">
        <v>214</v>
      </c>
      <c r="B219" s="117" t="s">
        <v>724</v>
      </c>
      <c r="C219" s="117" t="s">
        <v>418</v>
      </c>
      <c r="D219" s="117" t="s">
        <v>418</v>
      </c>
      <c r="E219" s="117" t="s">
        <v>1352</v>
      </c>
      <c r="F219" s="117">
        <v>678</v>
      </c>
      <c r="G219" s="117">
        <v>16</v>
      </c>
      <c r="H219" s="117"/>
      <c r="I219" s="117"/>
      <c r="J219" s="117"/>
      <c r="K219" s="117" t="s">
        <v>1965</v>
      </c>
      <c r="L219" s="117" t="s">
        <v>417</v>
      </c>
      <c r="M219" s="117" t="s">
        <v>1965</v>
      </c>
      <c r="N219" s="117" t="s">
        <v>417</v>
      </c>
      <c r="O219" s="117"/>
      <c r="P219" s="117"/>
      <c r="Q219" s="117"/>
      <c r="R219" s="117" t="s">
        <v>1245</v>
      </c>
    </row>
    <row r="220" spans="1:18" ht="27" customHeight="1">
      <c r="A220" s="117">
        <v>215</v>
      </c>
      <c r="B220" s="117" t="s">
        <v>724</v>
      </c>
      <c r="C220" s="117" t="s">
        <v>419</v>
      </c>
      <c r="D220" s="117" t="s">
        <v>419</v>
      </c>
      <c r="E220" s="117" t="s">
        <v>1351</v>
      </c>
      <c r="F220" s="117">
        <v>58</v>
      </c>
      <c r="G220" s="117">
        <v>16</v>
      </c>
      <c r="H220" s="117"/>
      <c r="I220" s="117"/>
      <c r="J220" s="117"/>
      <c r="K220" s="117" t="s">
        <v>1966</v>
      </c>
      <c r="L220" s="117" t="s">
        <v>420</v>
      </c>
      <c r="M220" s="117" t="s">
        <v>1966</v>
      </c>
      <c r="N220" s="117" t="s">
        <v>420</v>
      </c>
      <c r="O220" s="117"/>
      <c r="P220" s="117"/>
      <c r="Q220" s="117"/>
      <c r="R220" s="117" t="s">
        <v>1245</v>
      </c>
    </row>
    <row r="221" spans="1:18" ht="27" customHeight="1">
      <c r="A221" s="117">
        <v>216</v>
      </c>
      <c r="B221" s="117" t="s">
        <v>724</v>
      </c>
      <c r="C221" s="117" t="s">
        <v>421</v>
      </c>
      <c r="D221" s="117" t="s">
        <v>421</v>
      </c>
      <c r="E221" s="117" t="s">
        <v>1353</v>
      </c>
      <c r="F221" s="117">
        <v>1376</v>
      </c>
      <c r="G221" s="117">
        <v>10</v>
      </c>
      <c r="H221" s="117"/>
      <c r="I221" s="117"/>
      <c r="J221" s="117"/>
      <c r="K221" s="117" t="s">
        <v>17</v>
      </c>
      <c r="L221" s="117" t="s">
        <v>78</v>
      </c>
      <c r="M221" s="117" t="s">
        <v>17</v>
      </c>
      <c r="N221" s="117" t="s">
        <v>78</v>
      </c>
      <c r="O221" s="117"/>
      <c r="P221" s="117"/>
      <c r="Q221" s="117"/>
      <c r="R221" s="117" t="s">
        <v>1245</v>
      </c>
    </row>
    <row r="222" spans="1:18" ht="27" customHeight="1">
      <c r="A222" s="117">
        <v>217</v>
      </c>
      <c r="B222" s="117" t="s">
        <v>724</v>
      </c>
      <c r="C222" s="117" t="s">
        <v>422</v>
      </c>
      <c r="D222" s="117" t="s">
        <v>422</v>
      </c>
      <c r="E222" s="117" t="s">
        <v>1347</v>
      </c>
      <c r="F222" s="117">
        <v>991</v>
      </c>
      <c r="G222" s="117">
        <v>45</v>
      </c>
      <c r="H222" s="117"/>
      <c r="I222" s="117"/>
      <c r="J222" s="117"/>
      <c r="K222" s="117" t="s">
        <v>1967</v>
      </c>
      <c r="L222" s="117" t="s">
        <v>423</v>
      </c>
      <c r="M222" s="117" t="s">
        <v>1967</v>
      </c>
      <c r="N222" s="117" t="s">
        <v>423</v>
      </c>
      <c r="O222" s="117"/>
      <c r="P222" s="117"/>
      <c r="Q222" s="117"/>
      <c r="R222" s="117" t="s">
        <v>1245</v>
      </c>
    </row>
    <row r="223" spans="1:18" ht="27" customHeight="1">
      <c r="A223" s="117">
        <v>218</v>
      </c>
      <c r="B223" s="117" t="s">
        <v>724</v>
      </c>
      <c r="C223" s="117" t="s">
        <v>424</v>
      </c>
      <c r="D223" s="117" t="s">
        <v>424</v>
      </c>
      <c r="E223" s="117" t="s">
        <v>3</v>
      </c>
      <c r="F223" s="117">
        <v>112</v>
      </c>
      <c r="G223" s="117">
        <v>112</v>
      </c>
      <c r="H223" s="117">
        <v>112</v>
      </c>
      <c r="I223" s="117"/>
      <c r="J223" s="117"/>
      <c r="K223" s="117" t="s">
        <v>17</v>
      </c>
      <c r="L223" s="117" t="s">
        <v>72</v>
      </c>
      <c r="M223" s="117" t="s">
        <v>17</v>
      </c>
      <c r="N223" s="117" t="s">
        <v>72</v>
      </c>
      <c r="O223" s="117"/>
      <c r="P223" s="117"/>
      <c r="Q223" s="117"/>
      <c r="R223" s="117"/>
    </row>
    <row r="224" spans="1:18" ht="27" customHeight="1">
      <c r="A224" s="117">
        <v>219</v>
      </c>
      <c r="B224" s="117" t="s">
        <v>724</v>
      </c>
      <c r="C224" s="117" t="s">
        <v>425</v>
      </c>
      <c r="D224" s="117" t="s">
        <v>425</v>
      </c>
      <c r="E224" s="117" t="s">
        <v>1347</v>
      </c>
      <c r="F224" s="117">
        <v>556</v>
      </c>
      <c r="G224" s="117">
        <v>40</v>
      </c>
      <c r="H224" s="117"/>
      <c r="I224" s="117"/>
      <c r="J224" s="117"/>
      <c r="K224" s="117" t="s">
        <v>1968</v>
      </c>
      <c r="L224" s="117" t="s">
        <v>426</v>
      </c>
      <c r="M224" s="117" t="s">
        <v>1968</v>
      </c>
      <c r="N224" s="117" t="s">
        <v>426</v>
      </c>
      <c r="O224" s="117" t="s">
        <v>374</v>
      </c>
      <c r="P224" s="117" t="s">
        <v>427</v>
      </c>
      <c r="Q224" s="117" t="s">
        <v>59</v>
      </c>
      <c r="R224" s="117" t="s">
        <v>1245</v>
      </c>
    </row>
    <row r="225" spans="1:20" ht="27" customHeight="1">
      <c r="A225" s="117">
        <v>220</v>
      </c>
      <c r="B225" s="117" t="s">
        <v>724</v>
      </c>
      <c r="C225" s="117" t="s">
        <v>428</v>
      </c>
      <c r="D225" s="117" t="s">
        <v>428</v>
      </c>
      <c r="E225" s="117" t="s">
        <v>1347</v>
      </c>
      <c r="F225" s="117">
        <v>773</v>
      </c>
      <c r="G225" s="117">
        <v>42</v>
      </c>
      <c r="H225" s="117"/>
      <c r="I225" s="117"/>
      <c r="J225" s="117"/>
      <c r="K225" s="117" t="s">
        <v>1969</v>
      </c>
      <c r="L225" s="117" t="s">
        <v>429</v>
      </c>
      <c r="M225" s="117" t="s">
        <v>1969</v>
      </c>
      <c r="N225" s="117" t="s">
        <v>429</v>
      </c>
      <c r="O225" s="117"/>
      <c r="P225" s="117"/>
      <c r="Q225" s="117"/>
      <c r="R225" s="117" t="s">
        <v>1245</v>
      </c>
      <c r="S225" s="126"/>
      <c r="T225" s="126"/>
    </row>
    <row r="226" spans="1:20" ht="27" customHeight="1">
      <c r="A226" s="117">
        <v>221</v>
      </c>
      <c r="B226" s="117" t="s">
        <v>724</v>
      </c>
      <c r="C226" s="117" t="s">
        <v>430</v>
      </c>
      <c r="D226" s="117" t="s">
        <v>430</v>
      </c>
      <c r="E226" s="117" t="s">
        <v>1349</v>
      </c>
      <c r="F226" s="117">
        <v>773</v>
      </c>
      <c r="G226" s="117">
        <v>4</v>
      </c>
      <c r="H226" s="117"/>
      <c r="I226" s="117"/>
      <c r="J226" s="117"/>
      <c r="K226" s="117" t="s">
        <v>1970</v>
      </c>
      <c r="L226" s="117" t="s">
        <v>431</v>
      </c>
      <c r="M226" s="117" t="s">
        <v>1970</v>
      </c>
      <c r="N226" s="117" t="s">
        <v>431</v>
      </c>
      <c r="O226" s="117" t="s">
        <v>432</v>
      </c>
      <c r="P226" s="117" t="s">
        <v>433</v>
      </c>
      <c r="Q226" s="117" t="s">
        <v>59</v>
      </c>
      <c r="R226" s="117" t="s">
        <v>1245</v>
      </c>
      <c r="S226" s="126"/>
      <c r="T226" s="126"/>
    </row>
    <row r="227" spans="1:20" ht="27" customHeight="1">
      <c r="A227" s="117">
        <v>222</v>
      </c>
      <c r="B227" s="117" t="s">
        <v>724</v>
      </c>
      <c r="C227" s="117" t="s">
        <v>434</v>
      </c>
      <c r="D227" s="117" t="s">
        <v>434</v>
      </c>
      <c r="E227" s="117" t="s">
        <v>3</v>
      </c>
      <c r="F227" s="117">
        <v>20</v>
      </c>
      <c r="G227" s="117">
        <v>20</v>
      </c>
      <c r="H227" s="117">
        <v>20</v>
      </c>
      <c r="I227" s="117"/>
      <c r="J227" s="117"/>
      <c r="K227" s="117" t="s">
        <v>1971</v>
      </c>
      <c r="L227" s="117" t="s">
        <v>435</v>
      </c>
      <c r="M227" s="117" t="s">
        <v>17</v>
      </c>
      <c r="N227" s="117" t="s">
        <v>18</v>
      </c>
      <c r="O227" s="117"/>
      <c r="P227" s="117"/>
      <c r="Q227" s="117"/>
      <c r="R227" s="117"/>
    </row>
    <row r="228" spans="1:20" ht="27" customHeight="1">
      <c r="A228" s="117">
        <v>223</v>
      </c>
      <c r="B228" s="117" t="s">
        <v>724</v>
      </c>
      <c r="C228" s="117" t="s">
        <v>436</v>
      </c>
      <c r="D228" s="117" t="s">
        <v>436</v>
      </c>
      <c r="E228" s="117" t="s">
        <v>3</v>
      </c>
      <c r="F228" s="117">
        <v>61</v>
      </c>
      <c r="G228" s="117">
        <v>61</v>
      </c>
      <c r="H228" s="117">
        <v>61</v>
      </c>
      <c r="I228" s="117"/>
      <c r="J228" s="117"/>
      <c r="K228" s="117" t="s">
        <v>17</v>
      </c>
      <c r="L228" s="117" t="s">
        <v>72</v>
      </c>
      <c r="M228" s="117" t="s">
        <v>17</v>
      </c>
      <c r="N228" s="117" t="s">
        <v>72</v>
      </c>
      <c r="O228" s="117"/>
      <c r="P228" s="117"/>
      <c r="Q228" s="117"/>
      <c r="R228" s="117"/>
    </row>
    <row r="229" spans="1:20" ht="27" customHeight="1">
      <c r="A229" s="117">
        <v>224</v>
      </c>
      <c r="B229" s="117" t="s">
        <v>724</v>
      </c>
      <c r="C229" s="117" t="s">
        <v>437</v>
      </c>
      <c r="D229" s="117" t="s">
        <v>437</v>
      </c>
      <c r="E229" s="117" t="s">
        <v>3</v>
      </c>
      <c r="F229" s="117">
        <v>44</v>
      </c>
      <c r="G229" s="117">
        <v>44</v>
      </c>
      <c r="H229" s="117">
        <v>44</v>
      </c>
      <c r="I229" s="117"/>
      <c r="J229" s="117"/>
      <c r="K229" s="117" t="s">
        <v>17</v>
      </c>
      <c r="L229" s="117" t="s">
        <v>72</v>
      </c>
      <c r="M229" s="117" t="s">
        <v>17</v>
      </c>
      <c r="N229" s="117" t="s">
        <v>72</v>
      </c>
      <c r="O229" s="117"/>
      <c r="P229" s="117"/>
      <c r="Q229" s="117"/>
      <c r="R229" s="117"/>
    </row>
    <row r="230" spans="1:20" ht="27" customHeight="1">
      <c r="A230" s="117">
        <v>225</v>
      </c>
      <c r="B230" s="117" t="s">
        <v>724</v>
      </c>
      <c r="C230" s="117" t="s">
        <v>438</v>
      </c>
      <c r="D230" s="117" t="s">
        <v>438</v>
      </c>
      <c r="E230" s="117" t="s">
        <v>3</v>
      </c>
      <c r="F230" s="117">
        <v>134</v>
      </c>
      <c r="G230" s="117">
        <v>134</v>
      </c>
      <c r="H230" s="117">
        <v>134</v>
      </c>
      <c r="I230" s="117"/>
      <c r="J230" s="117"/>
      <c r="K230" s="117" t="s">
        <v>17</v>
      </c>
      <c r="L230" s="117" t="s">
        <v>72</v>
      </c>
      <c r="M230" s="117" t="s">
        <v>17</v>
      </c>
      <c r="N230" s="117" t="s">
        <v>72</v>
      </c>
      <c r="O230" s="117"/>
      <c r="P230" s="117"/>
      <c r="Q230" s="117"/>
      <c r="R230" s="117"/>
    </row>
    <row r="231" spans="1:20" ht="27" customHeight="1">
      <c r="A231" s="117">
        <v>226</v>
      </c>
      <c r="B231" s="117" t="s">
        <v>724</v>
      </c>
      <c r="C231" s="117" t="s">
        <v>439</v>
      </c>
      <c r="D231" s="117" t="s">
        <v>440</v>
      </c>
      <c r="E231" s="117" t="s">
        <v>6</v>
      </c>
      <c r="F231" s="117">
        <v>895</v>
      </c>
      <c r="G231" s="117">
        <v>293</v>
      </c>
      <c r="H231" s="117">
        <v>293</v>
      </c>
      <c r="I231" s="117"/>
      <c r="J231" s="117"/>
      <c r="K231" s="117" t="s">
        <v>1</v>
      </c>
      <c r="L231" s="117" t="s">
        <v>18</v>
      </c>
      <c r="M231" s="117" t="s">
        <v>17</v>
      </c>
      <c r="N231" s="117" t="s">
        <v>18</v>
      </c>
      <c r="O231" s="117"/>
      <c r="P231" s="117"/>
      <c r="Q231" s="117"/>
      <c r="R231" s="117"/>
    </row>
    <row r="232" spans="1:20" ht="27" customHeight="1">
      <c r="A232" s="117">
        <v>227</v>
      </c>
      <c r="B232" s="117" t="s">
        <v>724</v>
      </c>
      <c r="C232" s="117" t="s">
        <v>441</v>
      </c>
      <c r="D232" s="117" t="s">
        <v>441</v>
      </c>
      <c r="E232" s="117" t="s">
        <v>1247</v>
      </c>
      <c r="F232" s="117">
        <v>146</v>
      </c>
      <c r="G232" s="117">
        <v>146</v>
      </c>
      <c r="H232" s="117">
        <v>146</v>
      </c>
      <c r="I232" s="117"/>
      <c r="J232" s="117"/>
      <c r="K232" s="117" t="s">
        <v>1</v>
      </c>
      <c r="L232" s="117" t="s">
        <v>18</v>
      </c>
      <c r="M232" s="117" t="s">
        <v>17</v>
      </c>
      <c r="N232" s="117" t="s">
        <v>18</v>
      </c>
      <c r="O232" s="117"/>
      <c r="P232" s="117"/>
      <c r="Q232" s="117"/>
      <c r="R232" s="117"/>
    </row>
    <row r="233" spans="1:20" ht="27" customHeight="1">
      <c r="A233" s="117">
        <v>228</v>
      </c>
      <c r="B233" s="117" t="s">
        <v>724</v>
      </c>
      <c r="C233" s="117" t="s">
        <v>442</v>
      </c>
      <c r="D233" s="117" t="s">
        <v>442</v>
      </c>
      <c r="E233" s="117" t="s">
        <v>1247</v>
      </c>
      <c r="F233" s="117">
        <v>31</v>
      </c>
      <c r="G233" s="117">
        <v>31</v>
      </c>
      <c r="H233" s="117">
        <v>31</v>
      </c>
      <c r="I233" s="117"/>
      <c r="J233" s="117"/>
      <c r="K233" s="117" t="s">
        <v>1</v>
      </c>
      <c r="L233" s="117" t="s">
        <v>18</v>
      </c>
      <c r="M233" s="117" t="s">
        <v>17</v>
      </c>
      <c r="N233" s="117" t="s">
        <v>18</v>
      </c>
      <c r="O233" s="117"/>
      <c r="P233" s="117"/>
      <c r="Q233" s="117"/>
      <c r="R233" s="117"/>
    </row>
    <row r="234" spans="1:20" ht="27" customHeight="1">
      <c r="A234" s="117">
        <v>229</v>
      </c>
      <c r="B234" s="117" t="s">
        <v>724</v>
      </c>
      <c r="C234" s="117" t="s">
        <v>443</v>
      </c>
      <c r="D234" s="117" t="s">
        <v>444</v>
      </c>
      <c r="E234" s="117" t="s">
        <v>6</v>
      </c>
      <c r="F234" s="117">
        <v>220</v>
      </c>
      <c r="G234" s="117">
        <v>18</v>
      </c>
      <c r="H234" s="117">
        <v>18</v>
      </c>
      <c r="I234" s="117"/>
      <c r="J234" s="117"/>
      <c r="K234" s="117" t="s">
        <v>1</v>
      </c>
      <c r="L234" s="117" t="s">
        <v>18</v>
      </c>
      <c r="M234" s="117" t="s">
        <v>17</v>
      </c>
      <c r="N234" s="117" t="s">
        <v>18</v>
      </c>
      <c r="O234" s="117"/>
      <c r="P234" s="117"/>
      <c r="Q234" s="117"/>
      <c r="R234" s="117"/>
    </row>
    <row r="235" spans="1:20" ht="27" customHeight="1">
      <c r="A235" s="117">
        <v>230</v>
      </c>
      <c r="B235" s="117" t="s">
        <v>724</v>
      </c>
      <c r="C235" s="117" t="s">
        <v>445</v>
      </c>
      <c r="D235" s="117" t="s">
        <v>446</v>
      </c>
      <c r="E235" s="117" t="s">
        <v>1247</v>
      </c>
      <c r="F235" s="117">
        <v>164</v>
      </c>
      <c r="G235" s="117">
        <v>31</v>
      </c>
      <c r="H235" s="117">
        <v>31</v>
      </c>
      <c r="I235" s="117"/>
      <c r="J235" s="117"/>
      <c r="K235" s="117" t="s">
        <v>1</v>
      </c>
      <c r="L235" s="117" t="s">
        <v>18</v>
      </c>
      <c r="M235" s="117" t="s">
        <v>17</v>
      </c>
      <c r="N235" s="117" t="s">
        <v>18</v>
      </c>
      <c r="O235" s="117"/>
      <c r="P235" s="117"/>
      <c r="Q235" s="117"/>
      <c r="R235" s="117"/>
    </row>
    <row r="236" spans="1:20" ht="27" customHeight="1">
      <c r="A236" s="117">
        <v>231</v>
      </c>
      <c r="B236" s="117" t="s">
        <v>724</v>
      </c>
      <c r="C236" s="117" t="s">
        <v>447</v>
      </c>
      <c r="D236" s="117" t="s">
        <v>448</v>
      </c>
      <c r="E236" s="117" t="s">
        <v>6</v>
      </c>
      <c r="F236" s="117">
        <v>1718</v>
      </c>
      <c r="G236" s="117">
        <v>338</v>
      </c>
      <c r="H236" s="117">
        <v>338</v>
      </c>
      <c r="I236" s="117"/>
      <c r="J236" s="117"/>
      <c r="K236" s="117" t="s">
        <v>1</v>
      </c>
      <c r="L236" s="117" t="s">
        <v>18</v>
      </c>
      <c r="M236" s="117" t="s">
        <v>17</v>
      </c>
      <c r="N236" s="117" t="s">
        <v>18</v>
      </c>
      <c r="O236" s="117"/>
      <c r="P236" s="117"/>
      <c r="Q236" s="117"/>
      <c r="R236" s="117"/>
    </row>
    <row r="237" spans="1:20" ht="27" customHeight="1">
      <c r="A237" s="117">
        <v>232</v>
      </c>
      <c r="B237" s="117" t="s">
        <v>724</v>
      </c>
      <c r="C237" s="117" t="s">
        <v>449</v>
      </c>
      <c r="D237" s="117" t="s">
        <v>450</v>
      </c>
      <c r="E237" s="117" t="s">
        <v>6</v>
      </c>
      <c r="F237" s="117">
        <v>22068</v>
      </c>
      <c r="G237" s="117">
        <v>7269</v>
      </c>
      <c r="H237" s="117">
        <v>7269</v>
      </c>
      <c r="I237" s="117"/>
      <c r="J237" s="117"/>
      <c r="K237" s="117" t="s">
        <v>1</v>
      </c>
      <c r="L237" s="117" t="s">
        <v>18</v>
      </c>
      <c r="M237" s="117" t="s">
        <v>17</v>
      </c>
      <c r="N237" s="117" t="s">
        <v>18</v>
      </c>
      <c r="O237" s="117"/>
      <c r="P237" s="117"/>
      <c r="Q237" s="117"/>
      <c r="R237" s="117"/>
    </row>
    <row r="238" spans="1:20" ht="27" customHeight="1">
      <c r="A238" s="117">
        <v>233</v>
      </c>
      <c r="B238" s="117" t="s">
        <v>724</v>
      </c>
      <c r="C238" s="117" t="s">
        <v>451</v>
      </c>
      <c r="D238" s="117" t="s">
        <v>452</v>
      </c>
      <c r="E238" s="117" t="s">
        <v>6</v>
      </c>
      <c r="F238" s="117">
        <v>595</v>
      </c>
      <c r="G238" s="117">
        <v>439</v>
      </c>
      <c r="H238" s="117">
        <v>439</v>
      </c>
      <c r="I238" s="117"/>
      <c r="J238" s="117"/>
      <c r="K238" s="117" t="s">
        <v>1</v>
      </c>
      <c r="L238" s="117" t="s">
        <v>18</v>
      </c>
      <c r="M238" s="117" t="s">
        <v>17</v>
      </c>
      <c r="N238" s="117" t="s">
        <v>18</v>
      </c>
      <c r="O238" s="117"/>
      <c r="P238" s="117"/>
      <c r="Q238" s="117"/>
      <c r="R238" s="117"/>
    </row>
    <row r="239" spans="1:20" ht="27" customHeight="1">
      <c r="A239" s="117">
        <v>234</v>
      </c>
      <c r="B239" s="117" t="s">
        <v>724</v>
      </c>
      <c r="C239" s="117" t="s">
        <v>453</v>
      </c>
      <c r="D239" s="117" t="s">
        <v>453</v>
      </c>
      <c r="E239" s="117" t="s">
        <v>1247</v>
      </c>
      <c r="F239" s="117">
        <v>474</v>
      </c>
      <c r="G239" s="117">
        <v>474</v>
      </c>
      <c r="H239" s="117">
        <v>474</v>
      </c>
      <c r="I239" s="117"/>
      <c r="J239" s="117"/>
      <c r="K239" s="117" t="s">
        <v>1</v>
      </c>
      <c r="L239" s="117" t="s">
        <v>18</v>
      </c>
      <c r="M239" s="117" t="s">
        <v>17</v>
      </c>
      <c r="N239" s="117" t="s">
        <v>18</v>
      </c>
      <c r="O239" s="117"/>
      <c r="P239" s="117"/>
      <c r="Q239" s="117"/>
      <c r="R239" s="117"/>
    </row>
    <row r="240" spans="1:20" ht="27" customHeight="1">
      <c r="A240" s="117">
        <v>235</v>
      </c>
      <c r="B240" s="117" t="s">
        <v>724</v>
      </c>
      <c r="C240" s="117" t="s">
        <v>454</v>
      </c>
      <c r="D240" s="117" t="s">
        <v>454</v>
      </c>
      <c r="E240" s="117" t="s">
        <v>1352</v>
      </c>
      <c r="F240" s="117">
        <v>71</v>
      </c>
      <c r="G240" s="117">
        <v>52</v>
      </c>
      <c r="H240" s="117"/>
      <c r="I240" s="117"/>
      <c r="J240" s="117"/>
      <c r="K240" s="117" t="s">
        <v>17</v>
      </c>
      <c r="L240" s="117" t="s">
        <v>72</v>
      </c>
      <c r="M240" s="117" t="s">
        <v>17</v>
      </c>
      <c r="N240" s="117" t="s">
        <v>72</v>
      </c>
      <c r="O240" s="117"/>
      <c r="P240" s="117"/>
      <c r="Q240" s="117"/>
      <c r="R240" s="117" t="s">
        <v>1245</v>
      </c>
    </row>
    <row r="241" spans="1:20" ht="27" customHeight="1">
      <c r="A241" s="117">
        <v>236</v>
      </c>
      <c r="B241" s="117" t="s">
        <v>724</v>
      </c>
      <c r="C241" s="117" t="s">
        <v>455</v>
      </c>
      <c r="D241" s="117" t="s">
        <v>456</v>
      </c>
      <c r="E241" s="117" t="s">
        <v>11</v>
      </c>
      <c r="F241" s="117">
        <v>3929</v>
      </c>
      <c r="G241" s="117">
        <v>80</v>
      </c>
      <c r="H241" s="117">
        <v>80</v>
      </c>
      <c r="I241" s="117"/>
      <c r="J241" s="117"/>
      <c r="K241" s="117" t="s">
        <v>1925</v>
      </c>
      <c r="L241" s="117" t="s">
        <v>137</v>
      </c>
      <c r="M241" s="117" t="s">
        <v>17</v>
      </c>
      <c r="N241" s="117" t="s">
        <v>18</v>
      </c>
      <c r="O241" s="117"/>
      <c r="P241" s="117"/>
      <c r="Q241" s="117"/>
      <c r="R241" s="117"/>
    </row>
    <row r="242" spans="1:20" ht="27" customHeight="1">
      <c r="A242" s="117">
        <v>237</v>
      </c>
      <c r="B242" s="117" t="s">
        <v>724</v>
      </c>
      <c r="C242" s="117" t="s">
        <v>457</v>
      </c>
      <c r="D242" s="117" t="s">
        <v>458</v>
      </c>
      <c r="E242" s="117" t="s">
        <v>3</v>
      </c>
      <c r="F242" s="117">
        <v>4232</v>
      </c>
      <c r="G242" s="117">
        <v>370</v>
      </c>
      <c r="H242" s="117">
        <v>370</v>
      </c>
      <c r="I242" s="117"/>
      <c r="J242" s="117"/>
      <c r="K242" s="117" t="s">
        <v>17</v>
      </c>
      <c r="L242" s="117" t="s">
        <v>72</v>
      </c>
      <c r="M242" s="117" t="s">
        <v>17</v>
      </c>
      <c r="N242" s="117" t="s">
        <v>72</v>
      </c>
      <c r="O242" s="117"/>
      <c r="P242" s="117"/>
      <c r="Q242" s="117"/>
      <c r="R242" s="117"/>
    </row>
    <row r="243" spans="1:20" ht="27" customHeight="1">
      <c r="A243" s="117">
        <v>238</v>
      </c>
      <c r="B243" s="117" t="s">
        <v>724</v>
      </c>
      <c r="C243" s="117" t="s">
        <v>459</v>
      </c>
      <c r="D243" s="117" t="s">
        <v>460</v>
      </c>
      <c r="E243" s="117" t="s">
        <v>3</v>
      </c>
      <c r="F243" s="117">
        <v>692</v>
      </c>
      <c r="G243" s="117">
        <v>592</v>
      </c>
      <c r="H243" s="117">
        <v>592</v>
      </c>
      <c r="I243" s="117"/>
      <c r="J243" s="117"/>
      <c r="K243" s="117" t="s">
        <v>17</v>
      </c>
      <c r="L243" s="117" t="s">
        <v>72</v>
      </c>
      <c r="M243" s="117" t="s">
        <v>17</v>
      </c>
      <c r="N243" s="117" t="s">
        <v>72</v>
      </c>
      <c r="O243" s="117"/>
      <c r="P243" s="117"/>
      <c r="Q243" s="117"/>
      <c r="R243" s="117"/>
    </row>
    <row r="244" spans="1:20" ht="27" customHeight="1">
      <c r="A244" s="117">
        <v>239</v>
      </c>
      <c r="B244" s="117" t="s">
        <v>724</v>
      </c>
      <c r="C244" s="117" t="s">
        <v>457</v>
      </c>
      <c r="D244" s="117" t="s">
        <v>461</v>
      </c>
      <c r="E244" s="117" t="s">
        <v>3</v>
      </c>
      <c r="F244" s="117">
        <v>2233</v>
      </c>
      <c r="G244" s="117">
        <v>2233</v>
      </c>
      <c r="H244" s="117">
        <v>2233</v>
      </c>
      <c r="I244" s="117"/>
      <c r="J244" s="117"/>
      <c r="K244" s="117" t="s">
        <v>17</v>
      </c>
      <c r="L244" s="117" t="s">
        <v>72</v>
      </c>
      <c r="M244" s="117" t="s">
        <v>17</v>
      </c>
      <c r="N244" s="117" t="s">
        <v>72</v>
      </c>
      <c r="O244" s="117"/>
      <c r="P244" s="117"/>
      <c r="Q244" s="117"/>
      <c r="R244" s="117"/>
    </row>
    <row r="245" spans="1:20" ht="27" customHeight="1">
      <c r="A245" s="117">
        <v>240</v>
      </c>
      <c r="B245" s="117" t="s">
        <v>724</v>
      </c>
      <c r="C245" s="117" t="s">
        <v>462</v>
      </c>
      <c r="D245" s="117" t="s">
        <v>463</v>
      </c>
      <c r="E245" s="117" t="s">
        <v>3</v>
      </c>
      <c r="F245" s="117">
        <v>452</v>
      </c>
      <c r="G245" s="117">
        <v>150</v>
      </c>
      <c r="H245" s="117">
        <v>150</v>
      </c>
      <c r="I245" s="117"/>
      <c r="J245" s="117"/>
      <c r="K245" s="117" t="s">
        <v>17</v>
      </c>
      <c r="L245" s="117" t="s">
        <v>72</v>
      </c>
      <c r="M245" s="117" t="s">
        <v>17</v>
      </c>
      <c r="N245" s="117" t="s">
        <v>72</v>
      </c>
      <c r="O245" s="117"/>
      <c r="P245" s="117"/>
      <c r="Q245" s="117"/>
      <c r="R245" s="117"/>
    </row>
    <row r="246" spans="1:20" ht="27" customHeight="1">
      <c r="A246" s="117">
        <v>241</v>
      </c>
      <c r="B246" s="117" t="s">
        <v>724</v>
      </c>
      <c r="C246" s="117" t="s">
        <v>464</v>
      </c>
      <c r="D246" s="117" t="s">
        <v>465</v>
      </c>
      <c r="E246" s="117" t="s">
        <v>3</v>
      </c>
      <c r="F246" s="117">
        <v>1571</v>
      </c>
      <c r="G246" s="117">
        <v>1252</v>
      </c>
      <c r="H246" s="117">
        <v>1252</v>
      </c>
      <c r="I246" s="117"/>
      <c r="J246" s="117"/>
      <c r="K246" s="117" t="s">
        <v>17</v>
      </c>
      <c r="L246" s="117" t="s">
        <v>72</v>
      </c>
      <c r="M246" s="117" t="s">
        <v>17</v>
      </c>
      <c r="N246" s="117" t="s">
        <v>72</v>
      </c>
      <c r="O246" s="117"/>
      <c r="P246" s="117"/>
      <c r="Q246" s="117"/>
      <c r="R246" s="117"/>
      <c r="S246" s="126"/>
      <c r="T246" s="126"/>
    </row>
    <row r="247" spans="1:20" ht="27" customHeight="1">
      <c r="A247" s="117">
        <v>242</v>
      </c>
      <c r="B247" s="117" t="s">
        <v>724</v>
      </c>
      <c r="C247" s="117" t="s">
        <v>466</v>
      </c>
      <c r="D247" s="117" t="s">
        <v>467</v>
      </c>
      <c r="E247" s="117" t="s">
        <v>3</v>
      </c>
      <c r="F247" s="117">
        <v>362</v>
      </c>
      <c r="G247" s="117">
        <v>213</v>
      </c>
      <c r="H247" s="117">
        <v>213</v>
      </c>
      <c r="I247" s="117"/>
      <c r="J247" s="117"/>
      <c r="K247" s="117" t="s">
        <v>17</v>
      </c>
      <c r="L247" s="117" t="s">
        <v>72</v>
      </c>
      <c r="M247" s="117" t="s">
        <v>17</v>
      </c>
      <c r="N247" s="117" t="s">
        <v>72</v>
      </c>
      <c r="O247" s="117"/>
      <c r="P247" s="117"/>
      <c r="Q247" s="117"/>
      <c r="R247" s="117"/>
      <c r="S247" s="126"/>
      <c r="T247" s="126"/>
    </row>
    <row r="248" spans="1:20" ht="27" customHeight="1">
      <c r="A248" s="117">
        <v>243</v>
      </c>
      <c r="B248" s="117" t="s">
        <v>724</v>
      </c>
      <c r="C248" s="117" t="s">
        <v>468</v>
      </c>
      <c r="D248" s="117" t="s">
        <v>469</v>
      </c>
      <c r="E248" s="117" t="s">
        <v>3</v>
      </c>
      <c r="F248" s="117">
        <v>1354</v>
      </c>
      <c r="G248" s="117">
        <v>1094</v>
      </c>
      <c r="H248" s="117">
        <v>1094</v>
      </c>
      <c r="I248" s="117"/>
      <c r="J248" s="117"/>
      <c r="K248" s="117" t="s">
        <v>17</v>
      </c>
      <c r="L248" s="117" t="s">
        <v>72</v>
      </c>
      <c r="M248" s="117" t="s">
        <v>17</v>
      </c>
      <c r="N248" s="117" t="s">
        <v>72</v>
      </c>
      <c r="O248" s="117"/>
      <c r="P248" s="117"/>
      <c r="Q248" s="117"/>
      <c r="R248" s="117"/>
    </row>
    <row r="249" spans="1:20" ht="27" customHeight="1">
      <c r="A249" s="117">
        <v>244</v>
      </c>
      <c r="B249" s="117" t="s">
        <v>724</v>
      </c>
      <c r="C249" s="117" t="s">
        <v>470</v>
      </c>
      <c r="D249" s="117" t="s">
        <v>471</v>
      </c>
      <c r="E249" s="117" t="s">
        <v>3</v>
      </c>
      <c r="F249" s="117">
        <v>1139</v>
      </c>
      <c r="G249" s="117">
        <v>269</v>
      </c>
      <c r="H249" s="117">
        <v>269</v>
      </c>
      <c r="I249" s="117"/>
      <c r="J249" s="117"/>
      <c r="K249" s="117" t="s">
        <v>17</v>
      </c>
      <c r="L249" s="117" t="s">
        <v>72</v>
      </c>
      <c r="M249" s="117" t="s">
        <v>17</v>
      </c>
      <c r="N249" s="117" t="s">
        <v>72</v>
      </c>
      <c r="O249" s="117"/>
      <c r="P249" s="117"/>
      <c r="Q249" s="117"/>
      <c r="R249" s="117"/>
    </row>
    <row r="250" spans="1:20" ht="27" customHeight="1">
      <c r="A250" s="117">
        <v>245</v>
      </c>
      <c r="B250" s="117" t="s">
        <v>724</v>
      </c>
      <c r="C250" s="117" t="s">
        <v>472</v>
      </c>
      <c r="D250" s="117" t="s">
        <v>473</v>
      </c>
      <c r="E250" s="117" t="s">
        <v>3</v>
      </c>
      <c r="F250" s="117">
        <v>1324</v>
      </c>
      <c r="G250" s="117">
        <v>644</v>
      </c>
      <c r="H250" s="117">
        <v>644</v>
      </c>
      <c r="I250" s="117"/>
      <c r="J250" s="117"/>
      <c r="K250" s="117" t="s">
        <v>17</v>
      </c>
      <c r="L250" s="117" t="s">
        <v>72</v>
      </c>
      <c r="M250" s="117" t="s">
        <v>17</v>
      </c>
      <c r="N250" s="117" t="s">
        <v>72</v>
      </c>
      <c r="O250" s="117"/>
      <c r="P250" s="117"/>
      <c r="Q250" s="117"/>
      <c r="R250" s="117"/>
    </row>
    <row r="251" spans="1:20" ht="27" customHeight="1">
      <c r="A251" s="117">
        <v>246</v>
      </c>
      <c r="B251" s="117" t="s">
        <v>724</v>
      </c>
      <c r="C251" s="117" t="s">
        <v>474</v>
      </c>
      <c r="D251" s="117" t="s">
        <v>475</v>
      </c>
      <c r="E251" s="117" t="s">
        <v>3</v>
      </c>
      <c r="F251" s="117">
        <v>600</v>
      </c>
      <c r="G251" s="117">
        <v>203</v>
      </c>
      <c r="H251" s="117">
        <v>203</v>
      </c>
      <c r="I251" s="117"/>
      <c r="J251" s="117"/>
      <c r="K251" s="117" t="s">
        <v>17</v>
      </c>
      <c r="L251" s="117" t="s">
        <v>72</v>
      </c>
      <c r="M251" s="117" t="s">
        <v>17</v>
      </c>
      <c r="N251" s="117" t="s">
        <v>72</v>
      </c>
      <c r="O251" s="117"/>
      <c r="P251" s="117"/>
      <c r="Q251" s="117"/>
      <c r="R251" s="117"/>
    </row>
    <row r="252" spans="1:20" ht="27" customHeight="1">
      <c r="A252" s="117">
        <v>247</v>
      </c>
      <c r="B252" s="117" t="s">
        <v>724</v>
      </c>
      <c r="C252" s="117" t="s">
        <v>476</v>
      </c>
      <c r="D252" s="117" t="s">
        <v>476</v>
      </c>
      <c r="E252" s="117" t="s">
        <v>3</v>
      </c>
      <c r="F252" s="117">
        <v>73</v>
      </c>
      <c r="G252" s="117">
        <v>73</v>
      </c>
      <c r="H252" s="117">
        <v>73</v>
      </c>
      <c r="I252" s="117"/>
      <c r="J252" s="117"/>
      <c r="K252" s="117" t="s">
        <v>17</v>
      </c>
      <c r="L252" s="117"/>
      <c r="M252" s="117" t="s">
        <v>17</v>
      </c>
      <c r="N252" s="117"/>
      <c r="O252" s="117"/>
      <c r="P252" s="117"/>
      <c r="Q252" s="117"/>
      <c r="R252" s="117"/>
    </row>
    <row r="253" spans="1:20" ht="27" customHeight="1">
      <c r="A253" s="117">
        <v>248</v>
      </c>
      <c r="B253" s="117" t="s">
        <v>724</v>
      </c>
      <c r="C253" s="117" t="s">
        <v>477</v>
      </c>
      <c r="D253" s="117" t="s">
        <v>478</v>
      </c>
      <c r="E253" s="117" t="s">
        <v>3</v>
      </c>
      <c r="F253" s="117">
        <v>2306</v>
      </c>
      <c r="G253" s="117">
        <v>2241</v>
      </c>
      <c r="H253" s="117">
        <v>2241</v>
      </c>
      <c r="I253" s="117"/>
      <c r="J253" s="117"/>
      <c r="K253" s="117" t="s">
        <v>17</v>
      </c>
      <c r="L253" s="117" t="s">
        <v>72</v>
      </c>
      <c r="M253" s="117" t="s">
        <v>17</v>
      </c>
      <c r="N253" s="117" t="s">
        <v>72</v>
      </c>
      <c r="O253" s="117"/>
      <c r="P253" s="117"/>
      <c r="Q253" s="117"/>
      <c r="R253" s="117"/>
    </row>
    <row r="254" spans="1:20" ht="27" customHeight="1">
      <c r="A254" s="117">
        <v>249</v>
      </c>
      <c r="B254" s="117" t="s">
        <v>724</v>
      </c>
      <c r="C254" s="117" t="s">
        <v>479</v>
      </c>
      <c r="D254" s="117" t="s">
        <v>479</v>
      </c>
      <c r="E254" s="117" t="s">
        <v>3</v>
      </c>
      <c r="F254" s="117">
        <v>103</v>
      </c>
      <c r="G254" s="117">
        <v>103</v>
      </c>
      <c r="H254" s="117">
        <v>103</v>
      </c>
      <c r="I254" s="117"/>
      <c r="J254" s="117"/>
      <c r="K254" s="117" t="s">
        <v>17</v>
      </c>
      <c r="L254" s="117"/>
      <c r="M254" s="117" t="s">
        <v>17</v>
      </c>
      <c r="N254" s="117"/>
      <c r="O254" s="117"/>
      <c r="P254" s="117"/>
      <c r="Q254" s="117"/>
      <c r="R254" s="117"/>
    </row>
    <row r="255" spans="1:20" ht="27" customHeight="1">
      <c r="A255" s="117">
        <v>250</v>
      </c>
      <c r="B255" s="117" t="s">
        <v>724</v>
      </c>
      <c r="C255" s="117" t="s">
        <v>480</v>
      </c>
      <c r="D255" s="117" t="s">
        <v>480</v>
      </c>
      <c r="E255" s="117" t="s">
        <v>3</v>
      </c>
      <c r="F255" s="117">
        <v>578</v>
      </c>
      <c r="G255" s="117">
        <v>578</v>
      </c>
      <c r="H255" s="117">
        <v>578</v>
      </c>
      <c r="I255" s="117"/>
      <c r="J255" s="117"/>
      <c r="K255" s="117" t="s">
        <v>17</v>
      </c>
      <c r="L255" s="117"/>
      <c r="M255" s="117" t="s">
        <v>17</v>
      </c>
      <c r="N255" s="117"/>
      <c r="O255" s="117"/>
      <c r="P255" s="117"/>
      <c r="Q255" s="117"/>
      <c r="R255" s="117"/>
    </row>
    <row r="256" spans="1:20" ht="27" customHeight="1">
      <c r="A256" s="117">
        <v>251</v>
      </c>
      <c r="B256" s="117" t="s">
        <v>724</v>
      </c>
      <c r="C256" s="117" t="s">
        <v>481</v>
      </c>
      <c r="D256" s="117" t="s">
        <v>481</v>
      </c>
      <c r="E256" s="117" t="s">
        <v>3</v>
      </c>
      <c r="F256" s="117">
        <v>94</v>
      </c>
      <c r="G256" s="117">
        <v>94</v>
      </c>
      <c r="H256" s="117">
        <v>94</v>
      </c>
      <c r="I256" s="117"/>
      <c r="J256" s="117"/>
      <c r="K256" s="117" t="s">
        <v>17</v>
      </c>
      <c r="L256" s="117"/>
      <c r="M256" s="117" t="s">
        <v>17</v>
      </c>
      <c r="N256" s="117"/>
      <c r="O256" s="117"/>
      <c r="P256" s="117"/>
      <c r="Q256" s="117"/>
      <c r="R256" s="117"/>
    </row>
    <row r="257" spans="1:18" ht="27" customHeight="1">
      <c r="A257" s="117">
        <v>252</v>
      </c>
      <c r="B257" s="117" t="s">
        <v>724</v>
      </c>
      <c r="C257" s="117" t="s">
        <v>482</v>
      </c>
      <c r="D257" s="117" t="s">
        <v>482</v>
      </c>
      <c r="E257" s="117" t="s">
        <v>3</v>
      </c>
      <c r="F257" s="117">
        <v>271</v>
      </c>
      <c r="G257" s="117">
        <v>271</v>
      </c>
      <c r="H257" s="117">
        <v>271</v>
      </c>
      <c r="I257" s="117"/>
      <c r="J257" s="117"/>
      <c r="K257" s="117" t="s">
        <v>17</v>
      </c>
      <c r="L257" s="117"/>
      <c r="M257" s="117" t="s">
        <v>17</v>
      </c>
      <c r="N257" s="117"/>
      <c r="O257" s="117"/>
      <c r="P257" s="117"/>
      <c r="Q257" s="117"/>
      <c r="R257" s="117"/>
    </row>
    <row r="258" spans="1:18" ht="27" customHeight="1">
      <c r="A258" s="117">
        <v>253</v>
      </c>
      <c r="B258" s="117" t="s">
        <v>724</v>
      </c>
      <c r="C258" s="117" t="s">
        <v>483</v>
      </c>
      <c r="D258" s="117" t="s">
        <v>483</v>
      </c>
      <c r="E258" s="117" t="s">
        <v>3</v>
      </c>
      <c r="F258" s="117">
        <v>1768</v>
      </c>
      <c r="G258" s="117">
        <v>1768</v>
      </c>
      <c r="H258" s="117">
        <v>1768</v>
      </c>
      <c r="I258" s="117"/>
      <c r="J258" s="117"/>
      <c r="K258" s="117" t="s">
        <v>17</v>
      </c>
      <c r="L258" s="117"/>
      <c r="M258" s="117" t="s">
        <v>17</v>
      </c>
      <c r="N258" s="117"/>
      <c r="O258" s="117"/>
      <c r="P258" s="117"/>
      <c r="Q258" s="117"/>
      <c r="R258" s="117"/>
    </row>
    <row r="259" spans="1:18" ht="27" customHeight="1">
      <c r="A259" s="117">
        <v>254</v>
      </c>
      <c r="B259" s="117" t="s">
        <v>724</v>
      </c>
      <c r="C259" s="117" t="s">
        <v>484</v>
      </c>
      <c r="D259" s="117" t="s">
        <v>484</v>
      </c>
      <c r="E259" s="117" t="s">
        <v>3</v>
      </c>
      <c r="F259" s="117">
        <v>612</v>
      </c>
      <c r="G259" s="117">
        <v>612</v>
      </c>
      <c r="H259" s="117">
        <v>612</v>
      </c>
      <c r="I259" s="117"/>
      <c r="J259" s="117"/>
      <c r="K259" s="117" t="s">
        <v>17</v>
      </c>
      <c r="L259" s="117"/>
      <c r="M259" s="117" t="s">
        <v>17</v>
      </c>
      <c r="N259" s="117"/>
      <c r="O259" s="117"/>
      <c r="P259" s="117"/>
      <c r="Q259" s="117"/>
      <c r="R259" s="117"/>
    </row>
    <row r="260" spans="1:18" ht="27" customHeight="1">
      <c r="A260" s="117">
        <v>255</v>
      </c>
      <c r="B260" s="117" t="s">
        <v>724</v>
      </c>
      <c r="C260" s="117" t="s">
        <v>485</v>
      </c>
      <c r="D260" s="117" t="s">
        <v>485</v>
      </c>
      <c r="E260" s="117" t="s">
        <v>3</v>
      </c>
      <c r="F260" s="117">
        <v>1624</v>
      </c>
      <c r="G260" s="117">
        <v>1624</v>
      </c>
      <c r="H260" s="117">
        <v>1624</v>
      </c>
      <c r="I260" s="117"/>
      <c r="J260" s="117"/>
      <c r="K260" s="117" t="s">
        <v>17</v>
      </c>
      <c r="L260" s="117"/>
      <c r="M260" s="117" t="s">
        <v>17</v>
      </c>
      <c r="N260" s="117"/>
      <c r="O260" s="117"/>
      <c r="P260" s="117"/>
      <c r="Q260" s="117"/>
      <c r="R260" s="117"/>
    </row>
    <row r="261" spans="1:18" ht="27" customHeight="1">
      <c r="A261" s="117">
        <v>256</v>
      </c>
      <c r="B261" s="117" t="s">
        <v>724</v>
      </c>
      <c r="C261" s="117" t="s">
        <v>486</v>
      </c>
      <c r="D261" s="117" t="s">
        <v>486</v>
      </c>
      <c r="E261" s="117" t="s">
        <v>3</v>
      </c>
      <c r="F261" s="117">
        <v>3769</v>
      </c>
      <c r="G261" s="117">
        <v>3769</v>
      </c>
      <c r="H261" s="117">
        <v>3769</v>
      </c>
      <c r="I261" s="117"/>
      <c r="J261" s="117"/>
      <c r="K261" s="117" t="s">
        <v>17</v>
      </c>
      <c r="L261" s="117"/>
      <c r="M261" s="117" t="s">
        <v>17</v>
      </c>
      <c r="N261" s="117"/>
      <c r="O261" s="117"/>
      <c r="P261" s="117"/>
      <c r="Q261" s="117"/>
      <c r="R261" s="117"/>
    </row>
    <row r="262" spans="1:18" ht="27" customHeight="1">
      <c r="A262" s="117">
        <v>257</v>
      </c>
      <c r="B262" s="117" t="s">
        <v>724</v>
      </c>
      <c r="C262" s="117" t="s">
        <v>487</v>
      </c>
      <c r="D262" s="117" t="s">
        <v>487</v>
      </c>
      <c r="E262" s="117" t="s">
        <v>3</v>
      </c>
      <c r="F262" s="117">
        <v>1234</v>
      </c>
      <c r="G262" s="117">
        <v>1234</v>
      </c>
      <c r="H262" s="117">
        <v>1234</v>
      </c>
      <c r="I262" s="117"/>
      <c r="J262" s="117"/>
      <c r="K262" s="117" t="s">
        <v>17</v>
      </c>
      <c r="L262" s="117"/>
      <c r="M262" s="117" t="s">
        <v>17</v>
      </c>
      <c r="N262" s="117"/>
      <c r="O262" s="117"/>
      <c r="P262" s="117"/>
      <c r="Q262" s="117"/>
      <c r="R262" s="117"/>
    </row>
    <row r="263" spans="1:18" ht="27" customHeight="1">
      <c r="A263" s="117">
        <v>258</v>
      </c>
      <c r="B263" s="117" t="s">
        <v>724</v>
      </c>
      <c r="C263" s="117" t="s">
        <v>1301</v>
      </c>
      <c r="D263" s="117" t="s">
        <v>1301</v>
      </c>
      <c r="E263" s="117" t="s">
        <v>3</v>
      </c>
      <c r="F263" s="117">
        <v>653</v>
      </c>
      <c r="G263" s="117"/>
      <c r="H263" s="117">
        <v>643</v>
      </c>
      <c r="I263" s="117"/>
      <c r="J263" s="117"/>
      <c r="K263" s="117" t="s">
        <v>17</v>
      </c>
      <c r="L263" s="117"/>
      <c r="M263" s="117" t="s">
        <v>17</v>
      </c>
      <c r="N263" s="117" t="s">
        <v>1269</v>
      </c>
      <c r="O263" s="117"/>
      <c r="P263" s="117"/>
      <c r="Q263" s="117"/>
      <c r="R263" s="117"/>
    </row>
    <row r="264" spans="1:18" ht="27" customHeight="1">
      <c r="A264" s="117">
        <v>259</v>
      </c>
      <c r="B264" s="117" t="s">
        <v>724</v>
      </c>
      <c r="C264" s="117" t="s">
        <v>1302</v>
      </c>
      <c r="D264" s="117" t="s">
        <v>1302</v>
      </c>
      <c r="E264" s="117" t="s">
        <v>3</v>
      </c>
      <c r="F264" s="117">
        <v>42</v>
      </c>
      <c r="G264" s="117"/>
      <c r="H264" s="117">
        <v>42</v>
      </c>
      <c r="I264" s="117"/>
      <c r="J264" s="117"/>
      <c r="K264" s="117" t="s">
        <v>17</v>
      </c>
      <c r="L264" s="117"/>
      <c r="M264" s="117" t="s">
        <v>17</v>
      </c>
      <c r="N264" s="117" t="s">
        <v>1269</v>
      </c>
      <c r="O264" s="117"/>
      <c r="P264" s="117"/>
      <c r="Q264" s="117"/>
      <c r="R264" s="117"/>
    </row>
    <row r="265" spans="1:18" ht="27" customHeight="1">
      <c r="A265" s="117">
        <v>260</v>
      </c>
      <c r="B265" s="117" t="s">
        <v>724</v>
      </c>
      <c r="C265" s="117" t="s">
        <v>1303</v>
      </c>
      <c r="D265" s="117" t="s">
        <v>1303</v>
      </c>
      <c r="E265" s="117" t="s">
        <v>3</v>
      </c>
      <c r="F265" s="117">
        <v>167</v>
      </c>
      <c r="G265" s="117"/>
      <c r="H265" s="117">
        <v>167</v>
      </c>
      <c r="I265" s="117"/>
      <c r="J265" s="117"/>
      <c r="K265" s="117" t="s">
        <v>17</v>
      </c>
      <c r="L265" s="117"/>
      <c r="M265" s="117" t="s">
        <v>17</v>
      </c>
      <c r="N265" s="117" t="s">
        <v>1269</v>
      </c>
      <c r="O265" s="117"/>
      <c r="P265" s="117"/>
      <c r="Q265" s="117"/>
      <c r="R265" s="117"/>
    </row>
    <row r="266" spans="1:18" ht="27" customHeight="1">
      <c r="A266" s="117">
        <v>261</v>
      </c>
      <c r="B266" s="117" t="s">
        <v>724</v>
      </c>
      <c r="C266" s="117" t="s">
        <v>1304</v>
      </c>
      <c r="D266" s="117" t="s">
        <v>1304</v>
      </c>
      <c r="E266" s="117" t="s">
        <v>3</v>
      </c>
      <c r="F266" s="117">
        <v>31</v>
      </c>
      <c r="G266" s="117"/>
      <c r="H266" s="117">
        <v>31</v>
      </c>
      <c r="I266" s="117"/>
      <c r="J266" s="117"/>
      <c r="K266" s="117" t="s">
        <v>17</v>
      </c>
      <c r="L266" s="117"/>
      <c r="M266" s="117" t="s">
        <v>17</v>
      </c>
      <c r="N266" s="117" t="s">
        <v>1269</v>
      </c>
      <c r="O266" s="117"/>
      <c r="P266" s="117"/>
      <c r="Q266" s="117"/>
      <c r="R266" s="117"/>
    </row>
    <row r="267" spans="1:18" ht="27" customHeight="1">
      <c r="A267" s="117">
        <v>262</v>
      </c>
      <c r="B267" s="117" t="s">
        <v>724</v>
      </c>
      <c r="C267" s="117" t="s">
        <v>401</v>
      </c>
      <c r="D267" s="117" t="s">
        <v>401</v>
      </c>
      <c r="E267" s="117" t="s">
        <v>3</v>
      </c>
      <c r="F267" s="117">
        <v>11</v>
      </c>
      <c r="G267" s="117"/>
      <c r="H267" s="117">
        <v>11</v>
      </c>
      <c r="I267" s="117"/>
      <c r="J267" s="117"/>
      <c r="K267" s="117" t="s">
        <v>17</v>
      </c>
      <c r="L267" s="117"/>
      <c r="M267" s="117" t="s">
        <v>17</v>
      </c>
      <c r="N267" s="117" t="s">
        <v>1269</v>
      </c>
      <c r="O267" s="117"/>
      <c r="P267" s="117"/>
      <c r="Q267" s="117"/>
      <c r="R267" s="117"/>
    </row>
    <row r="268" spans="1:18" ht="27" customHeight="1">
      <c r="A268" s="117">
        <v>263</v>
      </c>
      <c r="B268" s="117" t="s">
        <v>724</v>
      </c>
      <c r="C268" s="117" t="s">
        <v>1342</v>
      </c>
      <c r="D268" s="117" t="s">
        <v>1342</v>
      </c>
      <c r="E268" s="117" t="s">
        <v>1348</v>
      </c>
      <c r="F268" s="117">
        <v>3</v>
      </c>
      <c r="G268" s="117">
        <v>1</v>
      </c>
      <c r="H268" s="117"/>
      <c r="I268" s="117"/>
      <c r="J268" s="117"/>
      <c r="K268" s="117" t="s">
        <v>205</v>
      </c>
      <c r="L268" s="117"/>
      <c r="M268" s="117" t="s">
        <v>17</v>
      </c>
      <c r="N268" s="117" t="s">
        <v>205</v>
      </c>
      <c r="O268" s="117"/>
      <c r="P268" s="117"/>
      <c r="Q268" s="117"/>
      <c r="R268" s="117" t="s">
        <v>1245</v>
      </c>
    </row>
    <row r="269" spans="1:18" ht="27" customHeight="1">
      <c r="A269" s="117">
        <v>264</v>
      </c>
      <c r="B269" s="117" t="s">
        <v>724</v>
      </c>
      <c r="C269" s="117" t="s">
        <v>1343</v>
      </c>
      <c r="D269" s="117" t="s">
        <v>1343</v>
      </c>
      <c r="E269" s="117" t="s">
        <v>1349</v>
      </c>
      <c r="F269" s="117">
        <v>912</v>
      </c>
      <c r="G269" s="117">
        <v>4</v>
      </c>
      <c r="H269" s="117"/>
      <c r="I269" s="117"/>
      <c r="J269" s="117"/>
      <c r="K269" s="117" t="s">
        <v>1972</v>
      </c>
      <c r="L269" s="117" t="s">
        <v>1344</v>
      </c>
      <c r="M269" s="117" t="s">
        <v>1973</v>
      </c>
      <c r="N269" s="117" t="s">
        <v>1345</v>
      </c>
      <c r="O269" s="117" t="s">
        <v>1346</v>
      </c>
      <c r="P269" s="117"/>
      <c r="Q269" s="117"/>
      <c r="R269" s="117" t="s">
        <v>1245</v>
      </c>
    </row>
    <row r="270" spans="1:18" ht="27" customHeight="1">
      <c r="A270" s="117">
        <v>265</v>
      </c>
      <c r="B270" s="117" t="s">
        <v>1416</v>
      </c>
      <c r="C270" s="117" t="s">
        <v>488</v>
      </c>
      <c r="D270" s="117" t="s">
        <v>489</v>
      </c>
      <c r="E270" s="117" t="s">
        <v>11</v>
      </c>
      <c r="F270" s="117">
        <v>6105</v>
      </c>
      <c r="G270" s="117">
        <v>2514</v>
      </c>
      <c r="H270" s="117">
        <v>2514</v>
      </c>
      <c r="I270" s="117"/>
      <c r="J270" s="117"/>
      <c r="K270" s="117" t="s">
        <v>1974</v>
      </c>
      <c r="L270" s="117" t="s">
        <v>490</v>
      </c>
      <c r="M270" s="117" t="s">
        <v>17</v>
      </c>
      <c r="N270" s="117" t="s">
        <v>18</v>
      </c>
      <c r="O270" s="117"/>
      <c r="P270" s="117"/>
      <c r="Q270" s="117"/>
      <c r="R270" s="117"/>
    </row>
    <row r="271" spans="1:18" ht="27" customHeight="1">
      <c r="A271" s="117">
        <v>266</v>
      </c>
      <c r="B271" s="117" t="s">
        <v>1416</v>
      </c>
      <c r="C271" s="117" t="s">
        <v>491</v>
      </c>
      <c r="D271" s="117" t="s">
        <v>492</v>
      </c>
      <c r="E271" s="117" t="s">
        <v>11</v>
      </c>
      <c r="F271" s="117">
        <v>6457</v>
      </c>
      <c r="G271" s="117">
        <v>4049</v>
      </c>
      <c r="H271" s="117">
        <v>4049</v>
      </c>
      <c r="I271" s="117"/>
      <c r="J271" s="117"/>
      <c r="K271" s="117" t="s">
        <v>1975</v>
      </c>
      <c r="L271" s="117" t="s">
        <v>490</v>
      </c>
      <c r="M271" s="117" t="s">
        <v>17</v>
      </c>
      <c r="N271" s="117" t="s">
        <v>18</v>
      </c>
      <c r="O271" s="117"/>
      <c r="P271" s="117"/>
      <c r="Q271" s="117"/>
      <c r="R271" s="117"/>
    </row>
    <row r="272" spans="1:18" ht="27" customHeight="1">
      <c r="A272" s="117">
        <v>267</v>
      </c>
      <c r="B272" s="117" t="s">
        <v>1416</v>
      </c>
      <c r="C272" s="117" t="s">
        <v>493</v>
      </c>
      <c r="D272" s="117" t="s">
        <v>494</v>
      </c>
      <c r="E272" s="117" t="s">
        <v>6</v>
      </c>
      <c r="F272" s="117">
        <v>5088</v>
      </c>
      <c r="G272" s="117">
        <v>1797</v>
      </c>
      <c r="H272" s="117">
        <v>1797</v>
      </c>
      <c r="I272" s="117"/>
      <c r="J272" s="117"/>
      <c r="K272" s="117" t="s">
        <v>1976</v>
      </c>
      <c r="L272" s="117" t="s">
        <v>495</v>
      </c>
      <c r="M272" s="117" t="s">
        <v>17</v>
      </c>
      <c r="N272" s="117" t="s">
        <v>18</v>
      </c>
      <c r="O272" s="117"/>
      <c r="P272" s="117"/>
      <c r="Q272" s="117"/>
      <c r="R272" s="117"/>
    </row>
    <row r="273" spans="1:20" ht="27" customHeight="1">
      <c r="A273" s="117">
        <v>268</v>
      </c>
      <c r="B273" s="117" t="s">
        <v>1416</v>
      </c>
      <c r="C273" s="117" t="s">
        <v>496</v>
      </c>
      <c r="D273" s="117" t="s">
        <v>497</v>
      </c>
      <c r="E273" s="117" t="s">
        <v>23</v>
      </c>
      <c r="F273" s="117">
        <v>1253</v>
      </c>
      <c r="G273" s="117">
        <v>331</v>
      </c>
      <c r="H273" s="117">
        <v>331</v>
      </c>
      <c r="I273" s="117"/>
      <c r="J273" s="117"/>
      <c r="K273" s="117" t="s">
        <v>1976</v>
      </c>
      <c r="L273" s="117" t="s">
        <v>495</v>
      </c>
      <c r="M273" s="117" t="s">
        <v>17</v>
      </c>
      <c r="N273" s="117" t="s">
        <v>18</v>
      </c>
      <c r="O273" s="117"/>
      <c r="P273" s="117"/>
      <c r="Q273" s="117"/>
      <c r="R273" s="117"/>
    </row>
    <row r="274" spans="1:20" ht="27" customHeight="1">
      <c r="A274" s="117">
        <v>269</v>
      </c>
      <c r="B274" s="117" t="s">
        <v>1416</v>
      </c>
      <c r="C274" s="117" t="s">
        <v>498</v>
      </c>
      <c r="D274" s="117" t="s">
        <v>499</v>
      </c>
      <c r="E274" s="117" t="s">
        <v>6</v>
      </c>
      <c r="F274" s="117">
        <v>955</v>
      </c>
      <c r="G274" s="117">
        <v>509</v>
      </c>
      <c r="H274" s="117">
        <v>509</v>
      </c>
      <c r="I274" s="117"/>
      <c r="J274" s="117"/>
      <c r="K274" s="117" t="s">
        <v>1976</v>
      </c>
      <c r="L274" s="117" t="s">
        <v>495</v>
      </c>
      <c r="M274" s="117" t="s">
        <v>17</v>
      </c>
      <c r="N274" s="117" t="s">
        <v>18</v>
      </c>
      <c r="O274" s="117"/>
      <c r="P274" s="117"/>
      <c r="Q274" s="117"/>
      <c r="R274" s="117"/>
      <c r="S274" s="126"/>
      <c r="T274" s="126"/>
    </row>
    <row r="275" spans="1:20" ht="27" customHeight="1">
      <c r="A275" s="117">
        <v>270</v>
      </c>
      <c r="B275" s="117" t="s">
        <v>1416</v>
      </c>
      <c r="C275" s="117" t="s">
        <v>500</v>
      </c>
      <c r="D275" s="117" t="s">
        <v>501</v>
      </c>
      <c r="E275" s="117" t="s">
        <v>0</v>
      </c>
      <c r="F275" s="117">
        <v>1914</v>
      </c>
      <c r="G275" s="117">
        <v>1873</v>
      </c>
      <c r="H275" s="117">
        <v>1873</v>
      </c>
      <c r="I275" s="117"/>
      <c r="J275" s="117"/>
      <c r="K275" s="117" t="s">
        <v>18</v>
      </c>
      <c r="L275" s="117"/>
      <c r="M275" s="117" t="s">
        <v>17</v>
      </c>
      <c r="N275" s="117" t="s">
        <v>18</v>
      </c>
      <c r="O275" s="117"/>
      <c r="P275" s="117"/>
      <c r="Q275" s="117"/>
      <c r="R275" s="117"/>
      <c r="S275" s="126"/>
      <c r="T275" s="126"/>
    </row>
    <row r="276" spans="1:20" ht="27" customHeight="1">
      <c r="A276" s="117">
        <v>271</v>
      </c>
      <c r="B276" s="117" t="s">
        <v>1416</v>
      </c>
      <c r="C276" s="117" t="s">
        <v>502</v>
      </c>
      <c r="D276" s="117" t="s">
        <v>1417</v>
      </c>
      <c r="E276" s="117" t="s">
        <v>3</v>
      </c>
      <c r="F276" s="117">
        <v>9058</v>
      </c>
      <c r="G276" s="117">
        <v>592</v>
      </c>
      <c r="H276" s="117">
        <v>233</v>
      </c>
      <c r="I276" s="117"/>
      <c r="J276" s="117"/>
      <c r="K276" s="117" t="s">
        <v>17</v>
      </c>
      <c r="L276" s="117" t="s">
        <v>72</v>
      </c>
      <c r="M276" s="117" t="s">
        <v>17</v>
      </c>
      <c r="N276" s="117" t="s">
        <v>72</v>
      </c>
      <c r="O276" s="117"/>
      <c r="P276" s="117"/>
      <c r="Q276" s="117"/>
      <c r="R276" s="117" t="s">
        <v>1337</v>
      </c>
    </row>
    <row r="277" spans="1:20" ht="27" customHeight="1">
      <c r="A277" s="117">
        <v>272</v>
      </c>
      <c r="B277" s="117" t="s">
        <v>1416</v>
      </c>
      <c r="C277" s="117" t="s">
        <v>502</v>
      </c>
      <c r="D277" s="117" t="s">
        <v>1418</v>
      </c>
      <c r="E277" s="117" t="s">
        <v>3</v>
      </c>
      <c r="F277" s="117">
        <v>3050</v>
      </c>
      <c r="G277" s="117"/>
      <c r="H277" s="117">
        <v>3050</v>
      </c>
      <c r="I277" s="117"/>
      <c r="J277" s="117"/>
      <c r="K277" s="117" t="s">
        <v>17</v>
      </c>
      <c r="L277" s="117"/>
      <c r="M277" s="117" t="s">
        <v>17</v>
      </c>
      <c r="N277" s="117" t="s">
        <v>1269</v>
      </c>
      <c r="O277" s="117"/>
      <c r="P277" s="117"/>
      <c r="Q277" s="117"/>
      <c r="R277" s="117" t="s">
        <v>1337</v>
      </c>
    </row>
    <row r="278" spans="1:20" ht="27" customHeight="1">
      <c r="A278" s="117">
        <v>273</v>
      </c>
      <c r="B278" s="117" t="s">
        <v>1416</v>
      </c>
      <c r="C278" s="117" t="s">
        <v>503</v>
      </c>
      <c r="D278" s="117" t="s">
        <v>504</v>
      </c>
      <c r="E278" s="117" t="s">
        <v>0</v>
      </c>
      <c r="F278" s="117">
        <v>2076</v>
      </c>
      <c r="G278" s="117">
        <v>1992</v>
      </c>
      <c r="H278" s="117">
        <v>1992</v>
      </c>
      <c r="I278" s="117"/>
      <c r="J278" s="117"/>
      <c r="K278" s="117" t="s">
        <v>1956</v>
      </c>
      <c r="L278" s="117" t="s">
        <v>505</v>
      </c>
      <c r="M278" s="117" t="s">
        <v>17</v>
      </c>
      <c r="N278" s="117" t="s">
        <v>18</v>
      </c>
      <c r="O278" s="117"/>
      <c r="P278" s="117"/>
      <c r="Q278" s="117"/>
      <c r="R278" s="117"/>
    </row>
    <row r="279" spans="1:20" ht="27" customHeight="1">
      <c r="A279" s="117">
        <v>274</v>
      </c>
      <c r="B279" s="117" t="s">
        <v>1416</v>
      </c>
      <c r="C279" s="117" t="s">
        <v>506</v>
      </c>
      <c r="D279" s="117" t="s">
        <v>507</v>
      </c>
      <c r="E279" s="117" t="s">
        <v>0</v>
      </c>
      <c r="F279" s="117">
        <v>4836</v>
      </c>
      <c r="G279" s="117">
        <v>3981</v>
      </c>
      <c r="H279" s="117">
        <v>3981</v>
      </c>
      <c r="I279" s="117"/>
      <c r="J279" s="117"/>
      <c r="K279" s="117" t="s">
        <v>1976</v>
      </c>
      <c r="L279" s="117" t="s">
        <v>495</v>
      </c>
      <c r="M279" s="117" t="s">
        <v>17</v>
      </c>
      <c r="N279" s="117" t="s">
        <v>18</v>
      </c>
      <c r="O279" s="117"/>
      <c r="P279" s="117"/>
      <c r="Q279" s="117"/>
      <c r="R279" s="117"/>
    </row>
    <row r="280" spans="1:20" ht="27" customHeight="1">
      <c r="A280" s="117">
        <v>275</v>
      </c>
      <c r="B280" s="117" t="s">
        <v>1416</v>
      </c>
      <c r="C280" s="117" t="s">
        <v>508</v>
      </c>
      <c r="D280" s="117" t="s">
        <v>509</v>
      </c>
      <c r="E280" s="117" t="s">
        <v>0</v>
      </c>
      <c r="F280" s="117">
        <v>90</v>
      </c>
      <c r="G280" s="117">
        <v>90</v>
      </c>
      <c r="H280" s="117">
        <v>90</v>
      </c>
      <c r="I280" s="117"/>
      <c r="J280" s="117"/>
      <c r="K280" s="117" t="s">
        <v>1977</v>
      </c>
      <c r="L280" s="117" t="s">
        <v>510</v>
      </c>
      <c r="M280" s="117" t="s">
        <v>17</v>
      </c>
      <c r="N280" s="117" t="s">
        <v>18</v>
      </c>
      <c r="O280" s="117"/>
      <c r="P280" s="117"/>
      <c r="Q280" s="117"/>
      <c r="R280" s="117"/>
    </row>
    <row r="281" spans="1:20" ht="27" customHeight="1">
      <c r="A281" s="117">
        <v>276</v>
      </c>
      <c r="B281" s="117" t="s">
        <v>1416</v>
      </c>
      <c r="C281" s="117" t="s">
        <v>508</v>
      </c>
      <c r="D281" s="117" t="s">
        <v>511</v>
      </c>
      <c r="E281" s="117" t="s">
        <v>0</v>
      </c>
      <c r="F281" s="117">
        <v>3013</v>
      </c>
      <c r="G281" s="117">
        <v>477</v>
      </c>
      <c r="H281" s="117">
        <v>477</v>
      </c>
      <c r="I281" s="117"/>
      <c r="J281" s="117"/>
      <c r="K281" s="117" t="s">
        <v>1977</v>
      </c>
      <c r="L281" s="117" t="s">
        <v>510</v>
      </c>
      <c r="M281" s="117" t="s">
        <v>17</v>
      </c>
      <c r="N281" s="117" t="s">
        <v>18</v>
      </c>
      <c r="O281" s="117"/>
      <c r="P281" s="117"/>
      <c r="Q281" s="117"/>
      <c r="R281" s="117"/>
    </row>
    <row r="282" spans="1:20" ht="27" customHeight="1">
      <c r="A282" s="117">
        <v>277</v>
      </c>
      <c r="B282" s="117" t="s">
        <v>1416</v>
      </c>
      <c r="C282" s="117" t="s">
        <v>512</v>
      </c>
      <c r="D282" s="117" t="s">
        <v>512</v>
      </c>
      <c r="E282" s="117" t="s">
        <v>23</v>
      </c>
      <c r="F282" s="117">
        <v>995</v>
      </c>
      <c r="G282" s="117">
        <v>995</v>
      </c>
      <c r="H282" s="117">
        <v>995</v>
      </c>
      <c r="I282" s="117"/>
      <c r="J282" s="117"/>
      <c r="K282" s="117" t="s">
        <v>1929</v>
      </c>
      <c r="L282" s="117" t="s">
        <v>513</v>
      </c>
      <c r="M282" s="117" t="s">
        <v>17</v>
      </c>
      <c r="N282" s="117" t="s">
        <v>18</v>
      </c>
      <c r="O282" s="117"/>
      <c r="P282" s="117"/>
      <c r="Q282" s="117"/>
      <c r="R282" s="117"/>
    </row>
    <row r="283" spans="1:20" ht="27" customHeight="1">
      <c r="A283" s="117">
        <v>278</v>
      </c>
      <c r="B283" s="117" t="s">
        <v>1416</v>
      </c>
      <c r="C283" s="117" t="s">
        <v>514</v>
      </c>
      <c r="D283" s="117" t="s">
        <v>515</v>
      </c>
      <c r="E283" s="117" t="s">
        <v>6</v>
      </c>
      <c r="F283" s="117">
        <v>280</v>
      </c>
      <c r="G283" s="117">
        <v>3</v>
      </c>
      <c r="H283" s="117">
        <v>3</v>
      </c>
      <c r="I283" s="117"/>
      <c r="J283" s="117"/>
      <c r="K283" s="117" t="s">
        <v>18</v>
      </c>
      <c r="L283" s="117"/>
      <c r="M283" s="117" t="s">
        <v>17</v>
      </c>
      <c r="N283" s="117" t="s">
        <v>18</v>
      </c>
      <c r="O283" s="117"/>
      <c r="P283" s="117"/>
      <c r="Q283" s="117"/>
      <c r="R283" s="117"/>
    </row>
    <row r="284" spans="1:20" ht="27" customHeight="1">
      <c r="A284" s="117">
        <v>279</v>
      </c>
      <c r="B284" s="117" t="s">
        <v>1416</v>
      </c>
      <c r="C284" s="117" t="s">
        <v>516</v>
      </c>
      <c r="D284" s="117" t="s">
        <v>516</v>
      </c>
      <c r="E284" s="117" t="s">
        <v>23</v>
      </c>
      <c r="F284" s="117">
        <v>1618</v>
      </c>
      <c r="G284" s="117">
        <v>1618</v>
      </c>
      <c r="H284" s="117">
        <v>1618</v>
      </c>
      <c r="I284" s="117"/>
      <c r="J284" s="117"/>
      <c r="K284" s="117" t="s">
        <v>1966</v>
      </c>
      <c r="L284" s="117" t="s">
        <v>517</v>
      </c>
      <c r="M284" s="117" t="s">
        <v>17</v>
      </c>
      <c r="N284" s="117" t="s">
        <v>18</v>
      </c>
      <c r="O284" s="117"/>
      <c r="P284" s="117"/>
      <c r="Q284" s="117"/>
      <c r="R284" s="117"/>
    </row>
    <row r="285" spans="1:20" ht="27" customHeight="1">
      <c r="A285" s="117">
        <v>280</v>
      </c>
      <c r="B285" s="117" t="s">
        <v>1416</v>
      </c>
      <c r="C285" s="117" t="s">
        <v>518</v>
      </c>
      <c r="D285" s="117" t="s">
        <v>518</v>
      </c>
      <c r="E285" s="117" t="s">
        <v>3</v>
      </c>
      <c r="F285" s="117">
        <v>7</v>
      </c>
      <c r="G285" s="117">
        <v>7</v>
      </c>
      <c r="H285" s="117">
        <v>7</v>
      </c>
      <c r="I285" s="117"/>
      <c r="J285" s="117"/>
      <c r="K285" s="117" t="s">
        <v>1966</v>
      </c>
      <c r="L285" s="117" t="s">
        <v>517</v>
      </c>
      <c r="M285" s="117" t="s">
        <v>17</v>
      </c>
      <c r="N285" s="117" t="s">
        <v>18</v>
      </c>
      <c r="O285" s="117"/>
      <c r="P285" s="117"/>
      <c r="Q285" s="117"/>
      <c r="R285" s="117"/>
    </row>
    <row r="286" spans="1:20" ht="27" customHeight="1">
      <c r="A286" s="117">
        <v>281</v>
      </c>
      <c r="B286" s="117" t="s">
        <v>1416</v>
      </c>
      <c r="C286" s="117" t="s">
        <v>519</v>
      </c>
      <c r="D286" s="117" t="s">
        <v>520</v>
      </c>
      <c r="E286" s="117" t="s">
        <v>0</v>
      </c>
      <c r="F286" s="117">
        <v>4392</v>
      </c>
      <c r="G286" s="117">
        <v>256</v>
      </c>
      <c r="H286" s="117">
        <v>256</v>
      </c>
      <c r="I286" s="117"/>
      <c r="J286" s="117"/>
      <c r="K286" s="117" t="s">
        <v>1976</v>
      </c>
      <c r="L286" s="117" t="s">
        <v>495</v>
      </c>
      <c r="M286" s="117" t="s">
        <v>17</v>
      </c>
      <c r="N286" s="117" t="s">
        <v>18</v>
      </c>
      <c r="O286" s="117"/>
      <c r="P286" s="117"/>
      <c r="Q286" s="117"/>
      <c r="R286" s="117"/>
    </row>
    <row r="287" spans="1:20" ht="27" customHeight="1">
      <c r="A287" s="117">
        <v>282</v>
      </c>
      <c r="B287" s="117" t="s">
        <v>1416</v>
      </c>
      <c r="C287" s="117" t="s">
        <v>521</v>
      </c>
      <c r="D287" s="117" t="s">
        <v>522</v>
      </c>
      <c r="E287" s="117" t="s">
        <v>3</v>
      </c>
      <c r="F287" s="117">
        <v>407</v>
      </c>
      <c r="G287" s="117">
        <v>18</v>
      </c>
      <c r="H287" s="117">
        <v>18</v>
      </c>
      <c r="I287" s="117"/>
      <c r="J287" s="117"/>
      <c r="K287" s="117" t="s">
        <v>1978</v>
      </c>
      <c r="L287" s="117" t="s">
        <v>523</v>
      </c>
      <c r="M287" s="117" t="s">
        <v>17</v>
      </c>
      <c r="N287" s="117" t="s">
        <v>18</v>
      </c>
      <c r="O287" s="117"/>
      <c r="P287" s="117"/>
      <c r="Q287" s="117"/>
      <c r="R287" s="117"/>
    </row>
    <row r="288" spans="1:20" ht="27" customHeight="1">
      <c r="A288" s="117">
        <v>283</v>
      </c>
      <c r="B288" s="117" t="s">
        <v>1416</v>
      </c>
      <c r="C288" s="117" t="s">
        <v>524</v>
      </c>
      <c r="D288" s="117" t="s">
        <v>525</v>
      </c>
      <c r="E288" s="117" t="s">
        <v>3</v>
      </c>
      <c r="F288" s="117">
        <v>21</v>
      </c>
      <c r="G288" s="117">
        <v>13</v>
      </c>
      <c r="H288" s="117">
        <v>13</v>
      </c>
      <c r="I288" s="117"/>
      <c r="J288" s="117"/>
      <c r="K288" s="117" t="s">
        <v>18</v>
      </c>
      <c r="L288" s="117"/>
      <c r="M288" s="117" t="s">
        <v>17</v>
      </c>
      <c r="N288" s="117" t="s">
        <v>18</v>
      </c>
      <c r="O288" s="117"/>
      <c r="P288" s="117"/>
      <c r="Q288" s="117"/>
      <c r="R288" s="117"/>
    </row>
    <row r="289" spans="1:20" ht="27" customHeight="1">
      <c r="A289" s="117">
        <v>284</v>
      </c>
      <c r="B289" s="117" t="s">
        <v>1416</v>
      </c>
      <c r="C289" s="117" t="s">
        <v>526</v>
      </c>
      <c r="D289" s="117" t="s">
        <v>527</v>
      </c>
      <c r="E289" s="117" t="s">
        <v>11</v>
      </c>
      <c r="F289" s="117">
        <v>101</v>
      </c>
      <c r="G289" s="117">
        <v>43</v>
      </c>
      <c r="H289" s="117">
        <v>43</v>
      </c>
      <c r="I289" s="117"/>
      <c r="J289" s="117"/>
      <c r="K289" s="117" t="s">
        <v>1979</v>
      </c>
      <c r="L289" s="117" t="s">
        <v>528</v>
      </c>
      <c r="M289" s="117" t="s">
        <v>17</v>
      </c>
      <c r="N289" s="117" t="s">
        <v>18</v>
      </c>
      <c r="O289" s="117"/>
      <c r="P289" s="117"/>
      <c r="Q289" s="117"/>
      <c r="R289" s="117"/>
    </row>
    <row r="290" spans="1:20" ht="27" customHeight="1">
      <c r="A290" s="117">
        <v>285</v>
      </c>
      <c r="B290" s="117" t="s">
        <v>1416</v>
      </c>
      <c r="C290" s="117" t="s">
        <v>529</v>
      </c>
      <c r="D290" s="117" t="s">
        <v>530</v>
      </c>
      <c r="E290" s="117" t="s">
        <v>11</v>
      </c>
      <c r="F290" s="117">
        <v>1257</v>
      </c>
      <c r="G290" s="117">
        <v>214</v>
      </c>
      <c r="H290" s="117">
        <v>214</v>
      </c>
      <c r="I290" s="117"/>
      <c r="J290" s="117"/>
      <c r="K290" s="117" t="s">
        <v>1979</v>
      </c>
      <c r="L290" s="117" t="s">
        <v>528</v>
      </c>
      <c r="M290" s="117" t="s">
        <v>17</v>
      </c>
      <c r="N290" s="117" t="s">
        <v>18</v>
      </c>
      <c r="O290" s="117"/>
      <c r="P290" s="117"/>
      <c r="Q290" s="117"/>
      <c r="R290" s="117"/>
    </row>
    <row r="291" spans="1:20" ht="27" customHeight="1">
      <c r="A291" s="117">
        <v>286</v>
      </c>
      <c r="B291" s="117" t="s">
        <v>1416</v>
      </c>
      <c r="C291" s="117" t="s">
        <v>531</v>
      </c>
      <c r="D291" s="117" t="s">
        <v>531</v>
      </c>
      <c r="E291" s="117" t="s">
        <v>3</v>
      </c>
      <c r="F291" s="117">
        <v>322</v>
      </c>
      <c r="G291" s="117">
        <v>322</v>
      </c>
      <c r="H291" s="117">
        <v>322</v>
      </c>
      <c r="I291" s="117"/>
      <c r="J291" s="117"/>
      <c r="K291" s="117" t="s">
        <v>18</v>
      </c>
      <c r="L291" s="117"/>
      <c r="M291" s="117" t="s">
        <v>17</v>
      </c>
      <c r="N291" s="117" t="s">
        <v>18</v>
      </c>
      <c r="O291" s="117"/>
      <c r="P291" s="117"/>
      <c r="Q291" s="117"/>
      <c r="R291" s="117"/>
    </row>
    <row r="292" spans="1:20" ht="27" customHeight="1">
      <c r="A292" s="117">
        <v>287</v>
      </c>
      <c r="B292" s="117" t="s">
        <v>1416</v>
      </c>
      <c r="C292" s="117" t="s">
        <v>532</v>
      </c>
      <c r="D292" s="117" t="s">
        <v>532</v>
      </c>
      <c r="E292" s="117" t="s">
        <v>23</v>
      </c>
      <c r="F292" s="117">
        <v>327</v>
      </c>
      <c r="G292" s="117">
        <v>327</v>
      </c>
      <c r="H292" s="117">
        <v>327</v>
      </c>
      <c r="I292" s="117"/>
      <c r="J292" s="117"/>
      <c r="K292" s="117" t="s">
        <v>1929</v>
      </c>
      <c r="L292" s="117" t="s">
        <v>513</v>
      </c>
      <c r="M292" s="117" t="s">
        <v>17</v>
      </c>
      <c r="N292" s="117" t="s">
        <v>18</v>
      </c>
      <c r="O292" s="117"/>
      <c r="P292" s="117"/>
      <c r="Q292" s="117"/>
      <c r="R292" s="117"/>
    </row>
    <row r="293" spans="1:20" ht="27" customHeight="1">
      <c r="A293" s="117">
        <v>288</v>
      </c>
      <c r="B293" s="117" t="s">
        <v>1416</v>
      </c>
      <c r="C293" s="117" t="s">
        <v>533</v>
      </c>
      <c r="D293" s="117" t="s">
        <v>533</v>
      </c>
      <c r="E293" s="117" t="s">
        <v>0</v>
      </c>
      <c r="F293" s="117">
        <v>55</v>
      </c>
      <c r="G293" s="117">
        <v>55</v>
      </c>
      <c r="H293" s="117">
        <v>55</v>
      </c>
      <c r="I293" s="117"/>
      <c r="J293" s="117"/>
      <c r="K293" s="117" t="s">
        <v>18</v>
      </c>
      <c r="L293" s="117"/>
      <c r="M293" s="117" t="s">
        <v>17</v>
      </c>
      <c r="N293" s="117" t="s">
        <v>18</v>
      </c>
      <c r="O293" s="117"/>
      <c r="P293" s="117"/>
      <c r="Q293" s="117"/>
      <c r="R293" s="117"/>
    </row>
    <row r="294" spans="1:20" ht="27" customHeight="1">
      <c r="A294" s="117">
        <v>289</v>
      </c>
      <c r="B294" s="117" t="s">
        <v>1416</v>
      </c>
      <c r="C294" s="117" t="s">
        <v>534</v>
      </c>
      <c r="D294" s="117" t="s">
        <v>535</v>
      </c>
      <c r="E294" s="117" t="s">
        <v>0</v>
      </c>
      <c r="F294" s="117">
        <v>1523</v>
      </c>
      <c r="G294" s="117">
        <v>15</v>
      </c>
      <c r="H294" s="117">
        <v>15</v>
      </c>
      <c r="I294" s="117"/>
      <c r="J294" s="117"/>
      <c r="K294" s="117" t="s">
        <v>1980</v>
      </c>
      <c r="L294" s="117" t="s">
        <v>1248</v>
      </c>
      <c r="M294" s="117" t="s">
        <v>17</v>
      </c>
      <c r="N294" s="117" t="s">
        <v>18</v>
      </c>
      <c r="O294" s="117"/>
      <c r="P294" s="117"/>
      <c r="Q294" s="117"/>
      <c r="R294" s="117"/>
    </row>
    <row r="295" spans="1:20" ht="27" customHeight="1">
      <c r="A295" s="117">
        <v>290</v>
      </c>
      <c r="B295" s="117" t="s">
        <v>1416</v>
      </c>
      <c r="C295" s="117" t="s">
        <v>534</v>
      </c>
      <c r="D295" s="117" t="s">
        <v>536</v>
      </c>
      <c r="E295" s="117" t="s">
        <v>0</v>
      </c>
      <c r="F295" s="117">
        <v>1523</v>
      </c>
      <c r="G295" s="117">
        <v>22</v>
      </c>
      <c r="H295" s="117">
        <v>22</v>
      </c>
      <c r="I295" s="117"/>
      <c r="J295" s="117"/>
      <c r="K295" s="117" t="s">
        <v>1980</v>
      </c>
      <c r="L295" s="117" t="s">
        <v>1248</v>
      </c>
      <c r="M295" s="117" t="s">
        <v>17</v>
      </c>
      <c r="N295" s="117" t="s">
        <v>18</v>
      </c>
      <c r="O295" s="117"/>
      <c r="P295" s="117"/>
      <c r="Q295" s="117"/>
      <c r="R295" s="117"/>
      <c r="S295" s="126"/>
      <c r="T295" s="126"/>
    </row>
    <row r="296" spans="1:20" ht="27" customHeight="1">
      <c r="A296" s="117">
        <v>291</v>
      </c>
      <c r="B296" s="117" t="s">
        <v>1416</v>
      </c>
      <c r="C296" s="117" t="s">
        <v>537</v>
      </c>
      <c r="D296" s="117" t="s">
        <v>538</v>
      </c>
      <c r="E296" s="117" t="s">
        <v>3</v>
      </c>
      <c r="F296" s="117">
        <v>76</v>
      </c>
      <c r="G296" s="117">
        <v>6</v>
      </c>
      <c r="H296" s="117">
        <v>6</v>
      </c>
      <c r="I296" s="117"/>
      <c r="J296" s="117"/>
      <c r="K296" s="117" t="s">
        <v>1981</v>
      </c>
      <c r="L296" s="117" t="s">
        <v>539</v>
      </c>
      <c r="M296" s="117" t="s">
        <v>17</v>
      </c>
      <c r="N296" s="117" t="s">
        <v>18</v>
      </c>
      <c r="O296" s="117"/>
      <c r="P296" s="117"/>
      <c r="Q296" s="117"/>
      <c r="R296" s="117"/>
      <c r="S296" s="126"/>
      <c r="T296" s="126"/>
    </row>
    <row r="297" spans="1:20" ht="27" customHeight="1">
      <c r="A297" s="117">
        <v>292</v>
      </c>
      <c r="B297" s="117" t="s">
        <v>1416</v>
      </c>
      <c r="C297" s="117" t="s">
        <v>540</v>
      </c>
      <c r="D297" s="117" t="s">
        <v>540</v>
      </c>
      <c r="E297" s="117" t="s">
        <v>3</v>
      </c>
      <c r="F297" s="117">
        <v>76</v>
      </c>
      <c r="G297" s="117">
        <v>9</v>
      </c>
      <c r="H297" s="117">
        <v>9</v>
      </c>
      <c r="I297" s="117"/>
      <c r="J297" s="117"/>
      <c r="K297" s="117" t="s">
        <v>1981</v>
      </c>
      <c r="L297" s="117" t="s">
        <v>539</v>
      </c>
      <c r="M297" s="117" t="s">
        <v>17</v>
      </c>
      <c r="N297" s="117" t="s">
        <v>18</v>
      </c>
      <c r="O297" s="117"/>
      <c r="P297" s="117"/>
      <c r="Q297" s="117"/>
      <c r="R297" s="117"/>
    </row>
    <row r="298" spans="1:20" ht="27" customHeight="1">
      <c r="A298" s="117">
        <v>293</v>
      </c>
      <c r="B298" s="117" t="s">
        <v>1416</v>
      </c>
      <c r="C298" s="117" t="s">
        <v>541</v>
      </c>
      <c r="D298" s="117" t="s">
        <v>542</v>
      </c>
      <c r="E298" s="117" t="s">
        <v>23</v>
      </c>
      <c r="F298" s="117">
        <v>1062</v>
      </c>
      <c r="G298" s="117">
        <v>982</v>
      </c>
      <c r="H298" s="117">
        <v>982</v>
      </c>
      <c r="I298" s="117"/>
      <c r="J298" s="117"/>
      <c r="K298" s="117" t="s">
        <v>1981</v>
      </c>
      <c r="L298" s="117" t="s">
        <v>543</v>
      </c>
      <c r="M298" s="117" t="s">
        <v>17</v>
      </c>
      <c r="N298" s="117" t="s">
        <v>18</v>
      </c>
      <c r="O298" s="117"/>
      <c r="P298" s="117"/>
      <c r="Q298" s="117"/>
      <c r="R298" s="117"/>
    </row>
    <row r="299" spans="1:20" ht="27" customHeight="1">
      <c r="A299" s="117">
        <v>294</v>
      </c>
      <c r="B299" s="117" t="s">
        <v>1416</v>
      </c>
      <c r="C299" s="117" t="s">
        <v>544</v>
      </c>
      <c r="D299" s="117" t="s">
        <v>544</v>
      </c>
      <c r="E299" s="117" t="s">
        <v>3</v>
      </c>
      <c r="F299" s="117">
        <v>8</v>
      </c>
      <c r="G299" s="117">
        <v>8</v>
      </c>
      <c r="H299" s="117">
        <v>8</v>
      </c>
      <c r="I299" s="117"/>
      <c r="J299" s="117"/>
      <c r="K299" s="117" t="s">
        <v>18</v>
      </c>
      <c r="L299" s="117"/>
      <c r="M299" s="117" t="s">
        <v>17</v>
      </c>
      <c r="N299" s="117" t="s">
        <v>18</v>
      </c>
      <c r="O299" s="117"/>
      <c r="P299" s="117"/>
      <c r="Q299" s="117"/>
      <c r="R299" s="117"/>
    </row>
    <row r="300" spans="1:20" ht="27" customHeight="1">
      <c r="A300" s="117">
        <v>295</v>
      </c>
      <c r="B300" s="117" t="s">
        <v>1416</v>
      </c>
      <c r="C300" s="117" t="s">
        <v>545</v>
      </c>
      <c r="D300" s="117" t="s">
        <v>546</v>
      </c>
      <c r="E300" s="117" t="s">
        <v>0</v>
      </c>
      <c r="F300" s="117">
        <v>82</v>
      </c>
      <c r="G300" s="117">
        <v>18</v>
      </c>
      <c r="H300" s="117">
        <v>18</v>
      </c>
      <c r="I300" s="117"/>
      <c r="J300" s="117"/>
      <c r="K300" s="117" t="s">
        <v>1982</v>
      </c>
      <c r="L300" s="117" t="s">
        <v>547</v>
      </c>
      <c r="M300" s="117" t="s">
        <v>17</v>
      </c>
      <c r="N300" s="117" t="s">
        <v>18</v>
      </c>
      <c r="O300" s="117"/>
      <c r="P300" s="117"/>
      <c r="Q300" s="117"/>
      <c r="R300" s="117"/>
    </row>
    <row r="301" spans="1:20" ht="27" customHeight="1">
      <c r="A301" s="117">
        <v>296</v>
      </c>
      <c r="B301" s="117" t="s">
        <v>1416</v>
      </c>
      <c r="C301" s="117" t="s">
        <v>548</v>
      </c>
      <c r="D301" s="117" t="s">
        <v>549</v>
      </c>
      <c r="E301" s="117" t="s">
        <v>0</v>
      </c>
      <c r="F301" s="117">
        <v>689</v>
      </c>
      <c r="G301" s="117">
        <v>254</v>
      </c>
      <c r="H301" s="117">
        <v>254</v>
      </c>
      <c r="I301" s="117"/>
      <c r="J301" s="117"/>
      <c r="K301" s="117" t="s">
        <v>1982</v>
      </c>
      <c r="L301" s="117" t="s">
        <v>547</v>
      </c>
      <c r="M301" s="117" t="s">
        <v>17</v>
      </c>
      <c r="N301" s="117" t="s">
        <v>18</v>
      </c>
      <c r="O301" s="117"/>
      <c r="P301" s="117"/>
      <c r="Q301" s="117"/>
      <c r="R301" s="117"/>
    </row>
    <row r="302" spans="1:20" ht="27" customHeight="1">
      <c r="A302" s="117">
        <v>297</v>
      </c>
      <c r="B302" s="117" t="s">
        <v>1416</v>
      </c>
      <c r="C302" s="117" t="s">
        <v>548</v>
      </c>
      <c r="D302" s="117" t="s">
        <v>550</v>
      </c>
      <c r="E302" s="117" t="s">
        <v>0</v>
      </c>
      <c r="F302" s="117">
        <v>689</v>
      </c>
      <c r="G302" s="117">
        <v>14</v>
      </c>
      <c r="H302" s="117">
        <v>14</v>
      </c>
      <c r="I302" s="117"/>
      <c r="J302" s="117"/>
      <c r="K302" s="117" t="s">
        <v>1982</v>
      </c>
      <c r="L302" s="117" t="s">
        <v>547</v>
      </c>
      <c r="M302" s="117" t="s">
        <v>17</v>
      </c>
      <c r="N302" s="117" t="s">
        <v>18</v>
      </c>
      <c r="O302" s="117"/>
      <c r="P302" s="117"/>
      <c r="Q302" s="117"/>
      <c r="R302" s="117"/>
    </row>
    <row r="303" spans="1:20" ht="27" customHeight="1">
      <c r="A303" s="117">
        <v>298</v>
      </c>
      <c r="B303" s="117" t="s">
        <v>1416</v>
      </c>
      <c r="C303" s="117" t="s">
        <v>551</v>
      </c>
      <c r="D303" s="117" t="s">
        <v>551</v>
      </c>
      <c r="E303" s="117" t="s">
        <v>6</v>
      </c>
      <c r="F303" s="117">
        <v>46</v>
      </c>
      <c r="G303" s="117">
        <v>46</v>
      </c>
      <c r="H303" s="117">
        <v>46</v>
      </c>
      <c r="I303" s="117"/>
      <c r="J303" s="117"/>
      <c r="K303" s="117" t="s">
        <v>1982</v>
      </c>
      <c r="L303" s="117" t="s">
        <v>547</v>
      </c>
      <c r="M303" s="117" t="s">
        <v>17</v>
      </c>
      <c r="N303" s="117" t="s">
        <v>18</v>
      </c>
      <c r="O303" s="117"/>
      <c r="P303" s="117"/>
      <c r="Q303" s="117"/>
      <c r="R303" s="117"/>
    </row>
    <row r="304" spans="1:20" ht="27" customHeight="1">
      <c r="A304" s="117">
        <v>299</v>
      </c>
      <c r="B304" s="117" t="s">
        <v>1416</v>
      </c>
      <c r="C304" s="117" t="s">
        <v>552</v>
      </c>
      <c r="D304" s="117" t="s">
        <v>553</v>
      </c>
      <c r="E304" s="117" t="s">
        <v>6</v>
      </c>
      <c r="F304" s="117">
        <v>76</v>
      </c>
      <c r="G304" s="117">
        <v>67</v>
      </c>
      <c r="H304" s="117">
        <v>67</v>
      </c>
      <c r="I304" s="117"/>
      <c r="J304" s="117"/>
      <c r="K304" s="117" t="s">
        <v>1982</v>
      </c>
      <c r="L304" s="117" t="s">
        <v>547</v>
      </c>
      <c r="M304" s="117" t="s">
        <v>17</v>
      </c>
      <c r="N304" s="117" t="s">
        <v>18</v>
      </c>
      <c r="O304" s="117"/>
      <c r="P304" s="117"/>
      <c r="Q304" s="117"/>
      <c r="R304" s="117"/>
    </row>
    <row r="305" spans="1:20" ht="27" customHeight="1">
      <c r="A305" s="117">
        <v>300</v>
      </c>
      <c r="B305" s="117" t="s">
        <v>1416</v>
      </c>
      <c r="C305" s="117" t="s">
        <v>554</v>
      </c>
      <c r="D305" s="117" t="s">
        <v>554</v>
      </c>
      <c r="E305" s="117" t="s">
        <v>6</v>
      </c>
      <c r="F305" s="117">
        <v>503</v>
      </c>
      <c r="G305" s="117">
        <v>503</v>
      </c>
      <c r="H305" s="117">
        <v>503</v>
      </c>
      <c r="I305" s="117"/>
      <c r="J305" s="117"/>
      <c r="K305" s="117" t="s">
        <v>1982</v>
      </c>
      <c r="L305" s="117" t="s">
        <v>547</v>
      </c>
      <c r="M305" s="117" t="s">
        <v>17</v>
      </c>
      <c r="N305" s="117" t="s">
        <v>18</v>
      </c>
      <c r="O305" s="117"/>
      <c r="P305" s="117"/>
      <c r="Q305" s="117"/>
      <c r="R305" s="117"/>
    </row>
    <row r="306" spans="1:20" ht="27" customHeight="1">
      <c r="A306" s="117">
        <v>301</v>
      </c>
      <c r="B306" s="117" t="s">
        <v>1416</v>
      </c>
      <c r="C306" s="117" t="s">
        <v>555</v>
      </c>
      <c r="D306" s="117" t="s">
        <v>556</v>
      </c>
      <c r="E306" s="117" t="s">
        <v>6</v>
      </c>
      <c r="F306" s="117">
        <v>531</v>
      </c>
      <c r="G306" s="117">
        <v>398</v>
      </c>
      <c r="H306" s="117">
        <v>398</v>
      </c>
      <c r="I306" s="117"/>
      <c r="J306" s="117"/>
      <c r="K306" s="117" t="s">
        <v>1982</v>
      </c>
      <c r="L306" s="117" t="s">
        <v>547</v>
      </c>
      <c r="M306" s="117" t="s">
        <v>17</v>
      </c>
      <c r="N306" s="117" t="s">
        <v>18</v>
      </c>
      <c r="O306" s="117"/>
      <c r="P306" s="117"/>
      <c r="Q306" s="117"/>
      <c r="R306" s="117"/>
    </row>
    <row r="307" spans="1:20" ht="39.75" customHeight="1">
      <c r="A307" s="117">
        <v>302</v>
      </c>
      <c r="B307" s="117" t="s">
        <v>1416</v>
      </c>
      <c r="C307" s="117" t="s">
        <v>557</v>
      </c>
      <c r="D307" s="117" t="s">
        <v>557</v>
      </c>
      <c r="E307" s="117" t="s">
        <v>1352</v>
      </c>
      <c r="F307" s="117">
        <v>9917</v>
      </c>
      <c r="G307" s="117">
        <v>14</v>
      </c>
      <c r="H307" s="117"/>
      <c r="I307" s="117"/>
      <c r="J307" s="117"/>
      <c r="K307" s="117" t="s">
        <v>1976</v>
      </c>
      <c r="L307" s="117" t="s">
        <v>495</v>
      </c>
      <c r="M307" s="117" t="s">
        <v>1976</v>
      </c>
      <c r="N307" s="117" t="s">
        <v>495</v>
      </c>
      <c r="O307" s="117" t="s">
        <v>2171</v>
      </c>
      <c r="P307" s="117" t="s">
        <v>1419</v>
      </c>
      <c r="Q307" s="117" t="s">
        <v>1366</v>
      </c>
      <c r="R307" s="117" t="s">
        <v>1245</v>
      </c>
    </row>
    <row r="308" spans="1:20" ht="27" customHeight="1">
      <c r="A308" s="117">
        <v>303</v>
      </c>
      <c r="B308" s="117" t="s">
        <v>1416</v>
      </c>
      <c r="C308" s="117" t="s">
        <v>558</v>
      </c>
      <c r="D308" s="117" t="s">
        <v>559</v>
      </c>
      <c r="E308" s="117" t="s">
        <v>11</v>
      </c>
      <c r="F308" s="117">
        <v>1983</v>
      </c>
      <c r="G308" s="117">
        <v>396</v>
      </c>
      <c r="H308" s="117">
        <v>396</v>
      </c>
      <c r="I308" s="117"/>
      <c r="J308" s="117"/>
      <c r="K308" s="117" t="s">
        <v>18</v>
      </c>
      <c r="L308" s="117"/>
      <c r="M308" s="117" t="s">
        <v>17</v>
      </c>
      <c r="N308" s="117" t="s">
        <v>18</v>
      </c>
      <c r="O308" s="117"/>
      <c r="P308" s="117"/>
      <c r="Q308" s="117"/>
      <c r="R308" s="117"/>
    </row>
    <row r="309" spans="1:20" ht="27" customHeight="1">
      <c r="A309" s="117">
        <v>304</v>
      </c>
      <c r="B309" s="117" t="s">
        <v>1416</v>
      </c>
      <c r="C309" s="117" t="s">
        <v>560</v>
      </c>
      <c r="D309" s="117" t="s">
        <v>561</v>
      </c>
      <c r="E309" s="117" t="s">
        <v>6</v>
      </c>
      <c r="F309" s="117">
        <v>641</v>
      </c>
      <c r="G309" s="117">
        <v>354</v>
      </c>
      <c r="H309" s="117">
        <v>354</v>
      </c>
      <c r="I309" s="117"/>
      <c r="J309" s="117"/>
      <c r="K309" s="117" t="s">
        <v>18</v>
      </c>
      <c r="L309" s="117"/>
      <c r="M309" s="117" t="s">
        <v>17</v>
      </c>
      <c r="N309" s="117" t="s">
        <v>18</v>
      </c>
      <c r="O309" s="117"/>
      <c r="P309" s="117"/>
      <c r="Q309" s="117"/>
      <c r="R309" s="117"/>
    </row>
    <row r="310" spans="1:20" ht="27" customHeight="1">
      <c r="A310" s="117">
        <v>305</v>
      </c>
      <c r="B310" s="117" t="s">
        <v>1416</v>
      </c>
      <c r="C310" s="117" t="s">
        <v>562</v>
      </c>
      <c r="D310" s="117" t="s">
        <v>562</v>
      </c>
      <c r="E310" s="117" t="s">
        <v>2</v>
      </c>
      <c r="F310" s="117">
        <v>37</v>
      </c>
      <c r="G310" s="117">
        <v>37</v>
      </c>
      <c r="H310" s="117">
        <v>37</v>
      </c>
      <c r="I310" s="117"/>
      <c r="J310" s="117"/>
      <c r="K310" s="117" t="s">
        <v>563</v>
      </c>
      <c r="L310" s="117" t="s">
        <v>564</v>
      </c>
      <c r="M310" s="117" t="s">
        <v>17</v>
      </c>
      <c r="N310" s="117" t="s">
        <v>18</v>
      </c>
      <c r="O310" s="117"/>
      <c r="P310" s="117"/>
      <c r="Q310" s="117"/>
      <c r="R310" s="117"/>
    </row>
    <row r="311" spans="1:20" ht="27" customHeight="1">
      <c r="A311" s="117">
        <v>306</v>
      </c>
      <c r="B311" s="117" t="s">
        <v>1416</v>
      </c>
      <c r="C311" s="117" t="s">
        <v>565</v>
      </c>
      <c r="D311" s="117" t="s">
        <v>566</v>
      </c>
      <c r="E311" s="117" t="s">
        <v>0</v>
      </c>
      <c r="F311" s="117">
        <v>4224</v>
      </c>
      <c r="G311" s="117">
        <v>314</v>
      </c>
      <c r="H311" s="117">
        <v>314</v>
      </c>
      <c r="I311" s="117"/>
      <c r="J311" s="117"/>
      <c r="K311" s="117" t="s">
        <v>1983</v>
      </c>
      <c r="L311" s="117" t="s">
        <v>567</v>
      </c>
      <c r="M311" s="117" t="s">
        <v>17</v>
      </c>
      <c r="N311" s="117" t="s">
        <v>18</v>
      </c>
      <c r="O311" s="117"/>
      <c r="P311" s="117"/>
      <c r="Q311" s="117"/>
      <c r="R311" s="117"/>
    </row>
    <row r="312" spans="1:20" ht="27" customHeight="1">
      <c r="A312" s="117">
        <v>307</v>
      </c>
      <c r="B312" s="117" t="s">
        <v>1416</v>
      </c>
      <c r="C312" s="117" t="s">
        <v>568</v>
      </c>
      <c r="D312" s="117" t="s">
        <v>1354</v>
      </c>
      <c r="E312" s="117" t="s">
        <v>3</v>
      </c>
      <c r="F312" s="117">
        <v>674</v>
      </c>
      <c r="G312" s="117">
        <v>160</v>
      </c>
      <c r="H312" s="117">
        <v>162</v>
      </c>
      <c r="I312" s="117"/>
      <c r="J312" s="117"/>
      <c r="K312" s="117" t="s">
        <v>17</v>
      </c>
      <c r="L312" s="117" t="s">
        <v>72</v>
      </c>
      <c r="M312" s="117" t="s">
        <v>17</v>
      </c>
      <c r="N312" s="117" t="s">
        <v>72</v>
      </c>
      <c r="O312" s="117"/>
      <c r="P312" s="117"/>
      <c r="Q312" s="117"/>
      <c r="R312" s="117"/>
    </row>
    <row r="313" spans="1:20" ht="27" customHeight="1">
      <c r="A313" s="117">
        <v>308</v>
      </c>
      <c r="B313" s="117" t="s">
        <v>1416</v>
      </c>
      <c r="C313" s="117" t="s">
        <v>569</v>
      </c>
      <c r="D313" s="117" t="s">
        <v>570</v>
      </c>
      <c r="E313" s="117" t="s">
        <v>0</v>
      </c>
      <c r="F313" s="117">
        <v>3521</v>
      </c>
      <c r="G313" s="117">
        <v>2891</v>
      </c>
      <c r="H313" s="117">
        <v>2891</v>
      </c>
      <c r="I313" s="117"/>
      <c r="J313" s="117"/>
      <c r="K313" s="117" t="s">
        <v>18</v>
      </c>
      <c r="L313" s="117"/>
      <c r="M313" s="117" t="s">
        <v>17</v>
      </c>
      <c r="N313" s="117" t="s">
        <v>18</v>
      </c>
      <c r="O313" s="117"/>
      <c r="P313" s="117"/>
      <c r="Q313" s="117"/>
      <c r="R313" s="117"/>
    </row>
    <row r="314" spans="1:20" ht="27" customHeight="1">
      <c r="A314" s="117">
        <v>309</v>
      </c>
      <c r="B314" s="117" t="s">
        <v>1416</v>
      </c>
      <c r="C314" s="117" t="s">
        <v>571</v>
      </c>
      <c r="D314" s="117" t="s">
        <v>572</v>
      </c>
      <c r="E314" s="117" t="s">
        <v>6</v>
      </c>
      <c r="F314" s="117">
        <v>3431</v>
      </c>
      <c r="G314" s="117">
        <v>82</v>
      </c>
      <c r="H314" s="117">
        <v>82</v>
      </c>
      <c r="I314" s="117"/>
      <c r="J314" s="117"/>
      <c r="K314" s="117" t="s">
        <v>18</v>
      </c>
      <c r="L314" s="117"/>
      <c r="M314" s="117" t="s">
        <v>17</v>
      </c>
      <c r="N314" s="117" t="s">
        <v>18</v>
      </c>
      <c r="O314" s="117"/>
      <c r="P314" s="117"/>
      <c r="Q314" s="117"/>
      <c r="R314" s="117"/>
    </row>
    <row r="315" spans="1:20" ht="27" customHeight="1">
      <c r="A315" s="117">
        <v>310</v>
      </c>
      <c r="B315" s="117" t="s">
        <v>1416</v>
      </c>
      <c r="C315" s="117" t="s">
        <v>573</v>
      </c>
      <c r="D315" s="117" t="s">
        <v>574</v>
      </c>
      <c r="E315" s="117" t="s">
        <v>6</v>
      </c>
      <c r="F315" s="117">
        <v>3940</v>
      </c>
      <c r="G315" s="117">
        <v>776</v>
      </c>
      <c r="H315" s="117">
        <v>776</v>
      </c>
      <c r="I315" s="117"/>
      <c r="J315" s="117"/>
      <c r="K315" s="117" t="s">
        <v>1921</v>
      </c>
      <c r="L315" s="117" t="s">
        <v>575</v>
      </c>
      <c r="M315" s="117" t="s">
        <v>17</v>
      </c>
      <c r="N315" s="117" t="s">
        <v>18</v>
      </c>
      <c r="O315" s="117"/>
      <c r="P315" s="117"/>
      <c r="Q315" s="117"/>
      <c r="R315" s="117"/>
    </row>
    <row r="316" spans="1:20" ht="27" customHeight="1">
      <c r="A316" s="117">
        <v>311</v>
      </c>
      <c r="B316" s="117" t="s">
        <v>1416</v>
      </c>
      <c r="C316" s="117" t="s">
        <v>576</v>
      </c>
      <c r="D316" s="117" t="s">
        <v>577</v>
      </c>
      <c r="E316" s="117" t="s">
        <v>0</v>
      </c>
      <c r="F316" s="117">
        <v>2162</v>
      </c>
      <c r="G316" s="117">
        <v>1787</v>
      </c>
      <c r="H316" s="117">
        <v>1787</v>
      </c>
      <c r="I316" s="117"/>
      <c r="J316" s="117"/>
      <c r="K316" s="117" t="s">
        <v>1984</v>
      </c>
      <c r="L316" s="117" t="s">
        <v>578</v>
      </c>
      <c r="M316" s="117" t="s">
        <v>17</v>
      </c>
      <c r="N316" s="117" t="s">
        <v>18</v>
      </c>
      <c r="O316" s="117"/>
      <c r="P316" s="117"/>
      <c r="Q316" s="117"/>
      <c r="R316" s="117"/>
      <c r="S316" s="126"/>
      <c r="T316" s="126"/>
    </row>
    <row r="317" spans="1:20" ht="27" customHeight="1">
      <c r="A317" s="117">
        <v>312</v>
      </c>
      <c r="B317" s="117" t="s">
        <v>1416</v>
      </c>
      <c r="C317" s="117" t="s">
        <v>579</v>
      </c>
      <c r="D317" s="117" t="s">
        <v>580</v>
      </c>
      <c r="E317" s="117" t="s">
        <v>0</v>
      </c>
      <c r="F317" s="117">
        <v>3223</v>
      </c>
      <c r="G317" s="117">
        <v>6</v>
      </c>
      <c r="H317" s="117">
        <v>6</v>
      </c>
      <c r="I317" s="117"/>
      <c r="J317" s="117"/>
      <c r="K317" s="117" t="s">
        <v>1985</v>
      </c>
      <c r="L317" s="117" t="s">
        <v>581</v>
      </c>
      <c r="M317" s="117" t="s">
        <v>17</v>
      </c>
      <c r="N317" s="117" t="s">
        <v>18</v>
      </c>
      <c r="O317" s="117"/>
      <c r="P317" s="117"/>
      <c r="Q317" s="117"/>
      <c r="R317" s="117"/>
      <c r="S317" s="126"/>
      <c r="T317" s="126"/>
    </row>
    <row r="318" spans="1:20" ht="27" customHeight="1">
      <c r="A318" s="117">
        <v>313</v>
      </c>
      <c r="B318" s="117" t="s">
        <v>1416</v>
      </c>
      <c r="C318" s="117" t="s">
        <v>582</v>
      </c>
      <c r="D318" s="117" t="s">
        <v>583</v>
      </c>
      <c r="E318" s="117" t="s">
        <v>0</v>
      </c>
      <c r="F318" s="117">
        <v>4635</v>
      </c>
      <c r="G318" s="117">
        <v>1533</v>
      </c>
      <c r="H318" s="117">
        <v>1533</v>
      </c>
      <c r="I318" s="117"/>
      <c r="J318" s="117"/>
      <c r="K318" s="117" t="s">
        <v>1986</v>
      </c>
      <c r="L318" s="117" t="s">
        <v>584</v>
      </c>
      <c r="M318" s="117" t="s">
        <v>17</v>
      </c>
      <c r="N318" s="117" t="s">
        <v>18</v>
      </c>
      <c r="O318" s="117"/>
      <c r="P318" s="117"/>
      <c r="Q318" s="117"/>
      <c r="R318" s="117"/>
    </row>
    <row r="319" spans="1:20" ht="27" customHeight="1">
      <c r="A319" s="117">
        <v>314</v>
      </c>
      <c r="B319" s="117" t="s">
        <v>1416</v>
      </c>
      <c r="C319" s="117" t="s">
        <v>585</v>
      </c>
      <c r="D319" s="117" t="s">
        <v>585</v>
      </c>
      <c r="E319" s="117" t="s">
        <v>0</v>
      </c>
      <c r="F319" s="117">
        <v>2458</v>
      </c>
      <c r="G319" s="117">
        <v>2458</v>
      </c>
      <c r="H319" s="117">
        <v>2458</v>
      </c>
      <c r="I319" s="117"/>
      <c r="J319" s="117"/>
      <c r="K319" s="117" t="s">
        <v>1987</v>
      </c>
      <c r="L319" s="117" t="s">
        <v>586</v>
      </c>
      <c r="M319" s="117" t="s">
        <v>17</v>
      </c>
      <c r="N319" s="117" t="s">
        <v>18</v>
      </c>
      <c r="O319" s="117"/>
      <c r="P319" s="117"/>
      <c r="Q319" s="117"/>
      <c r="R319" s="117"/>
    </row>
    <row r="320" spans="1:20" ht="27" customHeight="1">
      <c r="A320" s="117">
        <v>315</v>
      </c>
      <c r="B320" s="117" t="s">
        <v>1416</v>
      </c>
      <c r="C320" s="117" t="s">
        <v>587</v>
      </c>
      <c r="D320" s="117" t="s">
        <v>587</v>
      </c>
      <c r="E320" s="117" t="s">
        <v>3</v>
      </c>
      <c r="F320" s="117">
        <v>57</v>
      </c>
      <c r="G320" s="117">
        <v>57</v>
      </c>
      <c r="H320" s="117">
        <v>57</v>
      </c>
      <c r="I320" s="117"/>
      <c r="J320" s="117"/>
      <c r="K320" s="117" t="s">
        <v>18</v>
      </c>
      <c r="L320" s="117"/>
      <c r="M320" s="117" t="s">
        <v>17</v>
      </c>
      <c r="N320" s="117" t="s">
        <v>18</v>
      </c>
      <c r="O320" s="117"/>
      <c r="P320" s="117"/>
      <c r="Q320" s="117"/>
      <c r="R320" s="117"/>
    </row>
    <row r="321" spans="1:18" ht="27" customHeight="1">
      <c r="A321" s="117">
        <v>316</v>
      </c>
      <c r="B321" s="117" t="s">
        <v>1416</v>
      </c>
      <c r="C321" s="117" t="s">
        <v>588</v>
      </c>
      <c r="D321" s="117" t="s">
        <v>588</v>
      </c>
      <c r="E321" s="117" t="s">
        <v>3</v>
      </c>
      <c r="F321" s="117">
        <v>184</v>
      </c>
      <c r="G321" s="117">
        <v>184</v>
      </c>
      <c r="H321" s="117">
        <v>184</v>
      </c>
      <c r="I321" s="117"/>
      <c r="J321" s="117"/>
      <c r="K321" s="117" t="s">
        <v>18</v>
      </c>
      <c r="L321" s="117"/>
      <c r="M321" s="117" t="s">
        <v>17</v>
      </c>
      <c r="N321" s="117" t="s">
        <v>18</v>
      </c>
      <c r="O321" s="117"/>
      <c r="P321" s="117"/>
      <c r="Q321" s="117"/>
      <c r="R321" s="117"/>
    </row>
    <row r="322" spans="1:18" ht="27" customHeight="1">
      <c r="A322" s="117">
        <v>317</v>
      </c>
      <c r="B322" s="117" t="s">
        <v>1416</v>
      </c>
      <c r="C322" s="117" t="s">
        <v>589</v>
      </c>
      <c r="D322" s="117" t="s">
        <v>589</v>
      </c>
      <c r="E322" s="117" t="s">
        <v>3</v>
      </c>
      <c r="F322" s="117">
        <v>95</v>
      </c>
      <c r="G322" s="117">
        <v>95</v>
      </c>
      <c r="H322" s="117">
        <v>95</v>
      </c>
      <c r="I322" s="117"/>
      <c r="J322" s="117"/>
      <c r="K322" s="117" t="s">
        <v>18</v>
      </c>
      <c r="L322" s="117"/>
      <c r="M322" s="117" t="s">
        <v>17</v>
      </c>
      <c r="N322" s="117" t="s">
        <v>18</v>
      </c>
      <c r="O322" s="117"/>
      <c r="P322" s="117"/>
      <c r="Q322" s="117"/>
      <c r="R322" s="117"/>
    </row>
    <row r="323" spans="1:18" ht="27" customHeight="1">
      <c r="A323" s="117">
        <v>318</v>
      </c>
      <c r="B323" s="117" t="s">
        <v>1416</v>
      </c>
      <c r="C323" s="117" t="s">
        <v>590</v>
      </c>
      <c r="D323" s="117" t="s">
        <v>591</v>
      </c>
      <c r="E323" s="117" t="s">
        <v>0</v>
      </c>
      <c r="F323" s="117">
        <v>2115</v>
      </c>
      <c r="G323" s="117">
        <v>30</v>
      </c>
      <c r="H323" s="117">
        <v>30</v>
      </c>
      <c r="I323" s="117"/>
      <c r="J323" s="117"/>
      <c r="K323" s="117" t="s">
        <v>1988</v>
      </c>
      <c r="L323" s="117" t="s">
        <v>592</v>
      </c>
      <c r="M323" s="117" t="s">
        <v>17</v>
      </c>
      <c r="N323" s="117" t="s">
        <v>18</v>
      </c>
      <c r="O323" s="117"/>
      <c r="P323" s="117"/>
      <c r="Q323" s="117"/>
      <c r="R323" s="117"/>
    </row>
    <row r="324" spans="1:18" ht="27" customHeight="1">
      <c r="A324" s="117">
        <v>319</v>
      </c>
      <c r="B324" s="117" t="s">
        <v>1416</v>
      </c>
      <c r="C324" s="117" t="s">
        <v>593</v>
      </c>
      <c r="D324" s="117" t="s">
        <v>593</v>
      </c>
      <c r="E324" s="117" t="s">
        <v>3</v>
      </c>
      <c r="F324" s="117">
        <v>32</v>
      </c>
      <c r="G324" s="117">
        <v>32</v>
      </c>
      <c r="H324" s="117">
        <v>32</v>
      </c>
      <c r="I324" s="117"/>
      <c r="J324" s="117"/>
      <c r="K324" s="117" t="s">
        <v>18</v>
      </c>
      <c r="L324" s="117"/>
      <c r="M324" s="117" t="s">
        <v>17</v>
      </c>
      <c r="N324" s="117" t="s">
        <v>18</v>
      </c>
      <c r="O324" s="117"/>
      <c r="P324" s="117"/>
      <c r="Q324" s="117"/>
      <c r="R324" s="117"/>
    </row>
    <row r="325" spans="1:18" ht="27" customHeight="1">
      <c r="A325" s="117">
        <v>320</v>
      </c>
      <c r="B325" s="117" t="s">
        <v>1416</v>
      </c>
      <c r="C325" s="117" t="s">
        <v>594</v>
      </c>
      <c r="D325" s="117" t="s">
        <v>594</v>
      </c>
      <c r="E325" s="117" t="s">
        <v>3</v>
      </c>
      <c r="F325" s="117">
        <v>312</v>
      </c>
      <c r="G325" s="117">
        <v>312</v>
      </c>
      <c r="H325" s="117">
        <v>247</v>
      </c>
      <c r="I325" s="117"/>
      <c r="J325" s="117"/>
      <c r="K325" s="117" t="s">
        <v>18</v>
      </c>
      <c r="L325" s="117"/>
      <c r="M325" s="117" t="s">
        <v>17</v>
      </c>
      <c r="N325" s="117" t="s">
        <v>18</v>
      </c>
      <c r="O325" s="117"/>
      <c r="P325" s="117"/>
      <c r="Q325" s="117"/>
      <c r="R325" s="117"/>
    </row>
    <row r="326" spans="1:18" ht="27" customHeight="1">
      <c r="A326" s="117">
        <v>321</v>
      </c>
      <c r="B326" s="117" t="s">
        <v>1416</v>
      </c>
      <c r="C326" s="117" t="s">
        <v>595</v>
      </c>
      <c r="D326" s="117" t="s">
        <v>595</v>
      </c>
      <c r="E326" s="117" t="s">
        <v>3</v>
      </c>
      <c r="F326" s="117">
        <v>63</v>
      </c>
      <c r="G326" s="117">
        <v>63</v>
      </c>
      <c r="H326" s="117">
        <v>63</v>
      </c>
      <c r="I326" s="117"/>
      <c r="J326" s="117"/>
      <c r="K326" s="117" t="s">
        <v>17</v>
      </c>
      <c r="L326" s="117" t="s">
        <v>72</v>
      </c>
      <c r="M326" s="117" t="s">
        <v>17</v>
      </c>
      <c r="N326" s="117" t="s">
        <v>72</v>
      </c>
      <c r="O326" s="117"/>
      <c r="P326" s="117"/>
      <c r="Q326" s="117"/>
      <c r="R326" s="117"/>
    </row>
    <row r="327" spans="1:18" ht="27" customHeight="1">
      <c r="A327" s="117">
        <v>322</v>
      </c>
      <c r="B327" s="117" t="s">
        <v>1416</v>
      </c>
      <c r="C327" s="117" t="s">
        <v>596</v>
      </c>
      <c r="D327" s="117" t="s">
        <v>596</v>
      </c>
      <c r="E327" s="117" t="s">
        <v>6</v>
      </c>
      <c r="F327" s="117">
        <v>2070</v>
      </c>
      <c r="G327" s="117">
        <v>2070</v>
      </c>
      <c r="H327" s="117">
        <v>2070</v>
      </c>
      <c r="I327" s="117"/>
      <c r="J327" s="117"/>
      <c r="K327" s="117" t="s">
        <v>1986</v>
      </c>
      <c r="L327" s="117" t="s">
        <v>597</v>
      </c>
      <c r="M327" s="117" t="s">
        <v>17</v>
      </c>
      <c r="N327" s="117" t="s">
        <v>18</v>
      </c>
      <c r="O327" s="117"/>
      <c r="P327" s="117"/>
      <c r="Q327" s="117"/>
      <c r="R327" s="117"/>
    </row>
    <row r="328" spans="1:18" ht="27" customHeight="1">
      <c r="A328" s="117">
        <v>323</v>
      </c>
      <c r="B328" s="117" t="s">
        <v>1416</v>
      </c>
      <c r="C328" s="117" t="s">
        <v>598</v>
      </c>
      <c r="D328" s="117" t="s">
        <v>598</v>
      </c>
      <c r="E328" s="117" t="s">
        <v>3</v>
      </c>
      <c r="F328" s="117">
        <v>5247</v>
      </c>
      <c r="G328" s="117">
        <v>793</v>
      </c>
      <c r="H328" s="117">
        <v>793</v>
      </c>
      <c r="I328" s="117"/>
      <c r="J328" s="117"/>
      <c r="K328" s="117" t="s">
        <v>17</v>
      </c>
      <c r="L328" s="117" t="s">
        <v>72</v>
      </c>
      <c r="M328" s="117" t="s">
        <v>17</v>
      </c>
      <c r="N328" s="117" t="s">
        <v>72</v>
      </c>
      <c r="O328" s="117"/>
      <c r="P328" s="117"/>
      <c r="Q328" s="117"/>
      <c r="R328" s="117"/>
    </row>
    <row r="329" spans="1:18" ht="27" customHeight="1">
      <c r="A329" s="117">
        <v>324</v>
      </c>
      <c r="B329" s="117" t="s">
        <v>1416</v>
      </c>
      <c r="C329" s="117" t="s">
        <v>599</v>
      </c>
      <c r="D329" s="117" t="s">
        <v>599</v>
      </c>
      <c r="E329" s="117" t="s">
        <v>11</v>
      </c>
      <c r="F329" s="117">
        <v>81</v>
      </c>
      <c r="G329" s="117">
        <v>81</v>
      </c>
      <c r="H329" s="117">
        <v>81</v>
      </c>
      <c r="I329" s="117"/>
      <c r="J329" s="117"/>
      <c r="K329" s="117" t="s">
        <v>18</v>
      </c>
      <c r="L329" s="117"/>
      <c r="M329" s="117" t="s">
        <v>17</v>
      </c>
      <c r="N329" s="117" t="s">
        <v>18</v>
      </c>
      <c r="O329" s="117"/>
      <c r="P329" s="117"/>
      <c r="Q329" s="117"/>
      <c r="R329" s="117"/>
    </row>
    <row r="330" spans="1:18" ht="27" customHeight="1">
      <c r="A330" s="117">
        <v>325</v>
      </c>
      <c r="B330" s="117" t="s">
        <v>1416</v>
      </c>
      <c r="C330" s="117" t="s">
        <v>600</v>
      </c>
      <c r="D330" s="117" t="s">
        <v>601</v>
      </c>
      <c r="E330" s="117" t="s">
        <v>11</v>
      </c>
      <c r="F330" s="117">
        <v>79</v>
      </c>
      <c r="G330" s="117">
        <v>35</v>
      </c>
      <c r="H330" s="117">
        <v>35</v>
      </c>
      <c r="I330" s="117"/>
      <c r="J330" s="117"/>
      <c r="K330" s="117" t="s">
        <v>1989</v>
      </c>
      <c r="L330" s="117" t="s">
        <v>602</v>
      </c>
      <c r="M330" s="117" t="s">
        <v>17</v>
      </c>
      <c r="N330" s="117" t="s">
        <v>18</v>
      </c>
      <c r="O330" s="117"/>
      <c r="P330" s="117"/>
      <c r="Q330" s="117"/>
      <c r="R330" s="117"/>
    </row>
    <row r="331" spans="1:18" ht="27" customHeight="1">
      <c r="A331" s="117">
        <v>326</v>
      </c>
      <c r="B331" s="117" t="s">
        <v>1416</v>
      </c>
      <c r="C331" s="117" t="s">
        <v>603</v>
      </c>
      <c r="D331" s="117" t="s">
        <v>604</v>
      </c>
      <c r="E331" s="117" t="s">
        <v>11</v>
      </c>
      <c r="F331" s="117">
        <v>1192</v>
      </c>
      <c r="G331" s="117">
        <v>248</v>
      </c>
      <c r="H331" s="117">
        <v>248</v>
      </c>
      <c r="I331" s="117"/>
      <c r="J331" s="117"/>
      <c r="K331" s="117" t="s">
        <v>1990</v>
      </c>
      <c r="L331" s="117" t="s">
        <v>605</v>
      </c>
      <c r="M331" s="117" t="s">
        <v>17</v>
      </c>
      <c r="N331" s="117" t="s">
        <v>18</v>
      </c>
      <c r="O331" s="117"/>
      <c r="P331" s="117"/>
      <c r="Q331" s="117"/>
      <c r="R331" s="117"/>
    </row>
    <row r="332" spans="1:18" ht="27" customHeight="1">
      <c r="A332" s="117">
        <v>327</v>
      </c>
      <c r="B332" s="117" t="s">
        <v>1416</v>
      </c>
      <c r="C332" s="117" t="s">
        <v>606</v>
      </c>
      <c r="D332" s="117" t="s">
        <v>607</v>
      </c>
      <c r="E332" s="117" t="s">
        <v>3</v>
      </c>
      <c r="F332" s="117">
        <v>99</v>
      </c>
      <c r="G332" s="117">
        <v>46</v>
      </c>
      <c r="H332" s="117">
        <v>46</v>
      </c>
      <c r="I332" s="117"/>
      <c r="J332" s="117"/>
      <c r="K332" s="117" t="s">
        <v>1991</v>
      </c>
      <c r="L332" s="117" t="s">
        <v>608</v>
      </c>
      <c r="M332" s="117" t="s">
        <v>17</v>
      </c>
      <c r="N332" s="117" t="s">
        <v>18</v>
      </c>
      <c r="O332" s="117"/>
      <c r="P332" s="117"/>
      <c r="Q332" s="117"/>
      <c r="R332" s="117"/>
    </row>
    <row r="333" spans="1:18" ht="27" customHeight="1">
      <c r="A333" s="117">
        <v>328</v>
      </c>
      <c r="B333" s="117" t="s">
        <v>1416</v>
      </c>
      <c r="C333" s="117" t="s">
        <v>609</v>
      </c>
      <c r="D333" s="117" t="s">
        <v>609</v>
      </c>
      <c r="E333" s="117" t="s">
        <v>11</v>
      </c>
      <c r="F333" s="117">
        <v>1837</v>
      </c>
      <c r="G333" s="117">
        <v>1837</v>
      </c>
      <c r="H333" s="117">
        <v>1837</v>
      </c>
      <c r="I333" s="117"/>
      <c r="J333" s="117"/>
      <c r="K333" s="117" t="s">
        <v>18</v>
      </c>
      <c r="L333" s="117"/>
      <c r="M333" s="117" t="s">
        <v>17</v>
      </c>
      <c r="N333" s="117" t="s">
        <v>18</v>
      </c>
      <c r="O333" s="117"/>
      <c r="P333" s="117"/>
      <c r="Q333" s="117"/>
      <c r="R333" s="117"/>
    </row>
    <row r="334" spans="1:18" ht="27" customHeight="1">
      <c r="A334" s="117">
        <v>329</v>
      </c>
      <c r="B334" s="117" t="s">
        <v>1416</v>
      </c>
      <c r="C334" s="117" t="s">
        <v>610</v>
      </c>
      <c r="D334" s="117" t="s">
        <v>610</v>
      </c>
      <c r="E334" s="117" t="s">
        <v>23</v>
      </c>
      <c r="F334" s="117">
        <v>694</v>
      </c>
      <c r="G334" s="117">
        <v>694</v>
      </c>
      <c r="H334" s="117">
        <v>694</v>
      </c>
      <c r="I334" s="117"/>
      <c r="J334" s="117"/>
      <c r="K334" s="117" t="s">
        <v>1986</v>
      </c>
      <c r="L334" s="117" t="s">
        <v>597</v>
      </c>
      <c r="M334" s="117" t="s">
        <v>17</v>
      </c>
      <c r="N334" s="117" t="s">
        <v>18</v>
      </c>
      <c r="O334" s="117"/>
      <c r="P334" s="117"/>
      <c r="Q334" s="117"/>
      <c r="R334" s="117"/>
    </row>
    <row r="335" spans="1:18" ht="27" customHeight="1">
      <c r="A335" s="117">
        <v>330</v>
      </c>
      <c r="B335" s="117" t="s">
        <v>1416</v>
      </c>
      <c r="C335" s="117" t="s">
        <v>611</v>
      </c>
      <c r="D335" s="117" t="s">
        <v>611</v>
      </c>
      <c r="E335" s="117" t="s">
        <v>6</v>
      </c>
      <c r="F335" s="117">
        <v>28</v>
      </c>
      <c r="G335" s="117">
        <v>28</v>
      </c>
      <c r="H335" s="117">
        <v>28</v>
      </c>
      <c r="I335" s="117"/>
      <c r="J335" s="117"/>
      <c r="K335" s="117" t="s">
        <v>1982</v>
      </c>
      <c r="L335" s="117" t="s">
        <v>547</v>
      </c>
      <c r="M335" s="117" t="s">
        <v>17</v>
      </c>
      <c r="N335" s="117" t="s">
        <v>18</v>
      </c>
      <c r="O335" s="117"/>
      <c r="P335" s="117"/>
      <c r="Q335" s="117"/>
      <c r="R335" s="117"/>
    </row>
    <row r="336" spans="1:18" ht="27" customHeight="1">
      <c r="A336" s="117">
        <v>331</v>
      </c>
      <c r="B336" s="117" t="s">
        <v>1416</v>
      </c>
      <c r="C336" s="117" t="s">
        <v>612</v>
      </c>
      <c r="D336" s="117" t="s">
        <v>613</v>
      </c>
      <c r="E336" s="117" t="s">
        <v>11</v>
      </c>
      <c r="F336" s="117">
        <v>1198</v>
      </c>
      <c r="G336" s="117">
        <v>807</v>
      </c>
      <c r="H336" s="117">
        <v>807</v>
      </c>
      <c r="I336" s="117"/>
      <c r="J336" s="117"/>
      <c r="K336" s="117" t="s">
        <v>18</v>
      </c>
      <c r="L336" s="117"/>
      <c r="M336" s="117" t="s">
        <v>17</v>
      </c>
      <c r="N336" s="117" t="s">
        <v>18</v>
      </c>
      <c r="O336" s="117"/>
      <c r="P336" s="117"/>
      <c r="Q336" s="117"/>
      <c r="R336" s="117"/>
    </row>
    <row r="337" spans="1:20" ht="27" customHeight="1">
      <c r="A337" s="117">
        <v>332</v>
      </c>
      <c r="B337" s="117" t="s">
        <v>1416</v>
      </c>
      <c r="C337" s="117" t="s">
        <v>614</v>
      </c>
      <c r="D337" s="117" t="s">
        <v>614</v>
      </c>
      <c r="E337" s="117" t="s">
        <v>6</v>
      </c>
      <c r="F337" s="117">
        <v>119</v>
      </c>
      <c r="G337" s="117">
        <v>119</v>
      </c>
      <c r="H337" s="117">
        <v>119</v>
      </c>
      <c r="I337" s="117"/>
      <c r="J337" s="117"/>
      <c r="K337" s="117" t="s">
        <v>1982</v>
      </c>
      <c r="L337" s="117" t="s">
        <v>547</v>
      </c>
      <c r="M337" s="117" t="s">
        <v>17</v>
      </c>
      <c r="N337" s="117" t="s">
        <v>18</v>
      </c>
      <c r="O337" s="117"/>
      <c r="P337" s="117"/>
      <c r="Q337" s="117"/>
      <c r="R337" s="117"/>
      <c r="S337" s="126"/>
      <c r="T337" s="126"/>
    </row>
    <row r="338" spans="1:20" ht="27" customHeight="1">
      <c r="A338" s="117">
        <v>333</v>
      </c>
      <c r="B338" s="117" t="s">
        <v>1416</v>
      </c>
      <c r="C338" s="117" t="s">
        <v>615</v>
      </c>
      <c r="D338" s="117" t="s">
        <v>616</v>
      </c>
      <c r="E338" s="117" t="s">
        <v>6</v>
      </c>
      <c r="F338" s="117">
        <v>1039</v>
      </c>
      <c r="G338" s="117">
        <v>541</v>
      </c>
      <c r="H338" s="117">
        <v>541</v>
      </c>
      <c r="I338" s="117"/>
      <c r="J338" s="117"/>
      <c r="K338" s="117" t="s">
        <v>18</v>
      </c>
      <c r="L338" s="117"/>
      <c r="M338" s="117" t="s">
        <v>17</v>
      </c>
      <c r="N338" s="117" t="s">
        <v>18</v>
      </c>
      <c r="O338" s="117"/>
      <c r="P338" s="117"/>
      <c r="Q338" s="117"/>
      <c r="R338" s="117"/>
      <c r="S338" s="126"/>
      <c r="T338" s="126"/>
    </row>
    <row r="339" spans="1:20" ht="27" customHeight="1">
      <c r="A339" s="117">
        <v>334</v>
      </c>
      <c r="B339" s="117" t="s">
        <v>1416</v>
      </c>
      <c r="C339" s="117" t="s">
        <v>617</v>
      </c>
      <c r="D339" s="117" t="s">
        <v>617</v>
      </c>
      <c r="E339" s="117" t="s">
        <v>6</v>
      </c>
      <c r="F339" s="117">
        <v>513</v>
      </c>
      <c r="G339" s="117">
        <v>513</v>
      </c>
      <c r="H339" s="117">
        <v>513</v>
      </c>
      <c r="I339" s="117"/>
      <c r="J339" s="117"/>
      <c r="K339" s="117" t="s">
        <v>1982</v>
      </c>
      <c r="L339" s="117" t="s">
        <v>547</v>
      </c>
      <c r="M339" s="117" t="s">
        <v>17</v>
      </c>
      <c r="N339" s="117" t="s">
        <v>18</v>
      </c>
      <c r="O339" s="117"/>
      <c r="P339" s="117"/>
      <c r="Q339" s="117"/>
      <c r="R339" s="117"/>
    </row>
    <row r="340" spans="1:20" ht="27" customHeight="1">
      <c r="A340" s="117">
        <v>335</v>
      </c>
      <c r="B340" s="117" t="s">
        <v>1416</v>
      </c>
      <c r="C340" s="117" t="s">
        <v>618</v>
      </c>
      <c r="D340" s="117" t="s">
        <v>618</v>
      </c>
      <c r="E340" s="117" t="s">
        <v>6</v>
      </c>
      <c r="F340" s="117">
        <v>18</v>
      </c>
      <c r="G340" s="117">
        <v>18</v>
      </c>
      <c r="H340" s="117">
        <v>18</v>
      </c>
      <c r="I340" s="117"/>
      <c r="J340" s="117"/>
      <c r="K340" s="117" t="s">
        <v>1982</v>
      </c>
      <c r="L340" s="117" t="s">
        <v>547</v>
      </c>
      <c r="M340" s="117" t="s">
        <v>17</v>
      </c>
      <c r="N340" s="117" t="s">
        <v>18</v>
      </c>
      <c r="O340" s="117"/>
      <c r="P340" s="117"/>
      <c r="Q340" s="117"/>
      <c r="R340" s="117"/>
    </row>
    <row r="341" spans="1:20" ht="27" customHeight="1">
      <c r="A341" s="117">
        <v>336</v>
      </c>
      <c r="B341" s="117" t="s">
        <v>1416</v>
      </c>
      <c r="C341" s="117" t="s">
        <v>619</v>
      </c>
      <c r="D341" s="117" t="s">
        <v>619</v>
      </c>
      <c r="E341" s="117" t="s">
        <v>6</v>
      </c>
      <c r="F341" s="117">
        <v>632</v>
      </c>
      <c r="G341" s="117">
        <v>632</v>
      </c>
      <c r="H341" s="117">
        <v>632</v>
      </c>
      <c r="I341" s="117"/>
      <c r="J341" s="117"/>
      <c r="K341" s="117" t="s">
        <v>1982</v>
      </c>
      <c r="L341" s="117" t="s">
        <v>547</v>
      </c>
      <c r="M341" s="117" t="s">
        <v>17</v>
      </c>
      <c r="N341" s="117" t="s">
        <v>18</v>
      </c>
      <c r="O341" s="117"/>
      <c r="P341" s="117"/>
      <c r="Q341" s="117"/>
      <c r="R341" s="117"/>
    </row>
    <row r="342" spans="1:20" ht="27" customHeight="1">
      <c r="A342" s="117">
        <v>337</v>
      </c>
      <c r="B342" s="117" t="s">
        <v>1416</v>
      </c>
      <c r="C342" s="117" t="s">
        <v>620</v>
      </c>
      <c r="D342" s="117" t="s">
        <v>620</v>
      </c>
      <c r="E342" s="117" t="s">
        <v>6</v>
      </c>
      <c r="F342" s="117">
        <v>337</v>
      </c>
      <c r="G342" s="117">
        <v>337</v>
      </c>
      <c r="H342" s="117">
        <v>337</v>
      </c>
      <c r="I342" s="117"/>
      <c r="J342" s="117"/>
      <c r="K342" s="117" t="s">
        <v>1982</v>
      </c>
      <c r="L342" s="117" t="s">
        <v>547</v>
      </c>
      <c r="M342" s="117" t="s">
        <v>17</v>
      </c>
      <c r="N342" s="117" t="s">
        <v>18</v>
      </c>
      <c r="O342" s="117"/>
      <c r="P342" s="117"/>
      <c r="Q342" s="117"/>
      <c r="R342" s="117"/>
    </row>
    <row r="343" spans="1:20" ht="27" customHeight="1">
      <c r="A343" s="117">
        <v>338</v>
      </c>
      <c r="B343" s="117" t="s">
        <v>1416</v>
      </c>
      <c r="C343" s="117" t="s">
        <v>621</v>
      </c>
      <c r="D343" s="117" t="s">
        <v>622</v>
      </c>
      <c r="E343" s="117" t="s">
        <v>6</v>
      </c>
      <c r="F343" s="117">
        <v>576</v>
      </c>
      <c r="G343" s="117">
        <v>250</v>
      </c>
      <c r="H343" s="117">
        <v>250</v>
      </c>
      <c r="I343" s="117"/>
      <c r="J343" s="117"/>
      <c r="K343" s="117" t="s">
        <v>1982</v>
      </c>
      <c r="L343" s="117" t="s">
        <v>547</v>
      </c>
      <c r="M343" s="117" t="s">
        <v>17</v>
      </c>
      <c r="N343" s="117" t="s">
        <v>18</v>
      </c>
      <c r="O343" s="117"/>
      <c r="P343" s="117"/>
      <c r="Q343" s="117"/>
      <c r="R343" s="117"/>
    </row>
    <row r="344" spans="1:20" ht="27" customHeight="1">
      <c r="A344" s="117">
        <v>339</v>
      </c>
      <c r="B344" s="117" t="s">
        <v>1416</v>
      </c>
      <c r="C344" s="117" t="s">
        <v>623</v>
      </c>
      <c r="D344" s="117" t="s">
        <v>623</v>
      </c>
      <c r="E344" s="117" t="s">
        <v>6</v>
      </c>
      <c r="F344" s="117">
        <v>555</v>
      </c>
      <c r="G344" s="117">
        <v>555</v>
      </c>
      <c r="H344" s="117">
        <v>555</v>
      </c>
      <c r="I344" s="117"/>
      <c r="J344" s="117"/>
      <c r="K344" s="117" t="s">
        <v>1982</v>
      </c>
      <c r="L344" s="117" t="s">
        <v>547</v>
      </c>
      <c r="M344" s="117" t="s">
        <v>17</v>
      </c>
      <c r="N344" s="117" t="s">
        <v>18</v>
      </c>
      <c r="O344" s="117"/>
      <c r="P344" s="117"/>
      <c r="Q344" s="117"/>
      <c r="R344" s="117"/>
    </row>
    <row r="345" spans="1:20" ht="27" customHeight="1">
      <c r="A345" s="117">
        <v>340</v>
      </c>
      <c r="B345" s="117" t="s">
        <v>1416</v>
      </c>
      <c r="C345" s="117" t="s">
        <v>624</v>
      </c>
      <c r="D345" s="117" t="s">
        <v>624</v>
      </c>
      <c r="E345" s="117" t="s">
        <v>6</v>
      </c>
      <c r="F345" s="117">
        <v>15</v>
      </c>
      <c r="G345" s="117">
        <v>15</v>
      </c>
      <c r="H345" s="117">
        <v>15</v>
      </c>
      <c r="I345" s="117"/>
      <c r="J345" s="117"/>
      <c r="K345" s="117" t="s">
        <v>1982</v>
      </c>
      <c r="L345" s="117" t="s">
        <v>547</v>
      </c>
      <c r="M345" s="117" t="s">
        <v>17</v>
      </c>
      <c r="N345" s="117" t="s">
        <v>18</v>
      </c>
      <c r="O345" s="117"/>
      <c r="P345" s="117"/>
      <c r="Q345" s="117"/>
      <c r="R345" s="117"/>
    </row>
    <row r="346" spans="1:20" ht="27" customHeight="1">
      <c r="A346" s="117">
        <v>341</v>
      </c>
      <c r="B346" s="117" t="s">
        <v>1416</v>
      </c>
      <c r="C346" s="117" t="s">
        <v>625</v>
      </c>
      <c r="D346" s="117" t="s">
        <v>626</v>
      </c>
      <c r="E346" s="117" t="s">
        <v>6</v>
      </c>
      <c r="F346" s="117">
        <v>664</v>
      </c>
      <c r="G346" s="117">
        <v>215</v>
      </c>
      <c r="H346" s="117">
        <v>215</v>
      </c>
      <c r="I346" s="117"/>
      <c r="J346" s="117"/>
      <c r="K346" s="117" t="s">
        <v>1982</v>
      </c>
      <c r="L346" s="117" t="s">
        <v>547</v>
      </c>
      <c r="M346" s="117" t="s">
        <v>17</v>
      </c>
      <c r="N346" s="117" t="s">
        <v>18</v>
      </c>
      <c r="O346" s="117"/>
      <c r="P346" s="117"/>
      <c r="Q346" s="117"/>
      <c r="R346" s="117"/>
    </row>
    <row r="347" spans="1:20" ht="27" customHeight="1">
      <c r="A347" s="117">
        <v>342</v>
      </c>
      <c r="B347" s="117" t="s">
        <v>1416</v>
      </c>
      <c r="C347" s="117" t="s">
        <v>56</v>
      </c>
      <c r="D347" s="117" t="s">
        <v>56</v>
      </c>
      <c r="E347" s="117" t="s">
        <v>23</v>
      </c>
      <c r="F347" s="117">
        <v>506</v>
      </c>
      <c r="G347" s="117">
        <v>506</v>
      </c>
      <c r="H347" s="117">
        <v>506</v>
      </c>
      <c r="I347" s="117"/>
      <c r="J347" s="117"/>
      <c r="K347" s="117" t="s">
        <v>1992</v>
      </c>
      <c r="L347" s="117" t="s">
        <v>627</v>
      </c>
      <c r="M347" s="117" t="s">
        <v>17</v>
      </c>
      <c r="N347" s="117" t="s">
        <v>18</v>
      </c>
      <c r="O347" s="117"/>
      <c r="P347" s="117"/>
      <c r="Q347" s="117"/>
      <c r="R347" s="117"/>
    </row>
    <row r="348" spans="1:20" ht="27" customHeight="1">
      <c r="A348" s="117">
        <v>343</v>
      </c>
      <c r="B348" s="117" t="s">
        <v>1416</v>
      </c>
      <c r="C348" s="117" t="s">
        <v>628</v>
      </c>
      <c r="D348" s="117" t="s">
        <v>629</v>
      </c>
      <c r="E348" s="117" t="s">
        <v>6</v>
      </c>
      <c r="F348" s="117">
        <v>1372</v>
      </c>
      <c r="G348" s="117">
        <v>450</v>
      </c>
      <c r="H348" s="117">
        <v>450</v>
      </c>
      <c r="I348" s="117"/>
      <c r="J348" s="117"/>
      <c r="K348" s="117" t="s">
        <v>1992</v>
      </c>
      <c r="L348" s="117" t="s">
        <v>630</v>
      </c>
      <c r="M348" s="117" t="s">
        <v>17</v>
      </c>
      <c r="N348" s="117" t="s">
        <v>18</v>
      </c>
      <c r="O348" s="117"/>
      <c r="P348" s="117"/>
      <c r="Q348" s="117"/>
      <c r="R348" s="117"/>
    </row>
    <row r="349" spans="1:20" ht="27" customHeight="1">
      <c r="A349" s="117">
        <v>344</v>
      </c>
      <c r="B349" s="117" t="s">
        <v>1416</v>
      </c>
      <c r="C349" s="117" t="s">
        <v>631</v>
      </c>
      <c r="D349" s="117" t="s">
        <v>632</v>
      </c>
      <c r="E349" s="117" t="s">
        <v>11</v>
      </c>
      <c r="F349" s="117">
        <v>1381</v>
      </c>
      <c r="G349" s="117">
        <v>973</v>
      </c>
      <c r="H349" s="117">
        <v>973</v>
      </c>
      <c r="I349" s="117"/>
      <c r="J349" s="117"/>
      <c r="K349" s="117" t="s">
        <v>18</v>
      </c>
      <c r="L349" s="117"/>
      <c r="M349" s="117" t="s">
        <v>17</v>
      </c>
      <c r="N349" s="117" t="s">
        <v>18</v>
      </c>
      <c r="O349" s="117"/>
      <c r="P349" s="117"/>
      <c r="Q349" s="117"/>
      <c r="R349" s="117"/>
    </row>
    <row r="350" spans="1:20" ht="27" customHeight="1">
      <c r="A350" s="117">
        <v>345</v>
      </c>
      <c r="B350" s="117" t="s">
        <v>1416</v>
      </c>
      <c r="C350" s="117" t="s">
        <v>633</v>
      </c>
      <c r="D350" s="117" t="s">
        <v>634</v>
      </c>
      <c r="E350" s="117" t="s">
        <v>6</v>
      </c>
      <c r="F350" s="117">
        <v>496</v>
      </c>
      <c r="G350" s="117">
        <v>217</v>
      </c>
      <c r="H350" s="117">
        <v>217</v>
      </c>
      <c r="I350" s="117"/>
      <c r="J350" s="117"/>
      <c r="K350" s="117" t="s">
        <v>18</v>
      </c>
      <c r="L350" s="117"/>
      <c r="M350" s="117" t="s">
        <v>17</v>
      </c>
      <c r="N350" s="117" t="s">
        <v>18</v>
      </c>
      <c r="O350" s="117"/>
      <c r="P350" s="117"/>
      <c r="Q350" s="117"/>
      <c r="R350" s="117"/>
    </row>
    <row r="351" spans="1:20" ht="27" customHeight="1">
      <c r="A351" s="117">
        <v>346</v>
      </c>
      <c r="B351" s="117" t="s">
        <v>1416</v>
      </c>
      <c r="C351" s="117" t="s">
        <v>635</v>
      </c>
      <c r="D351" s="117" t="s">
        <v>635</v>
      </c>
      <c r="E351" s="117" t="s">
        <v>23</v>
      </c>
      <c r="F351" s="117">
        <v>407</v>
      </c>
      <c r="G351" s="117">
        <v>407</v>
      </c>
      <c r="H351" s="117">
        <v>407</v>
      </c>
      <c r="I351" s="117"/>
      <c r="J351" s="117"/>
      <c r="K351" s="117" t="s">
        <v>18</v>
      </c>
      <c r="L351" s="117"/>
      <c r="M351" s="117" t="s">
        <v>17</v>
      </c>
      <c r="N351" s="117" t="s">
        <v>18</v>
      </c>
      <c r="O351" s="117"/>
      <c r="P351" s="117"/>
      <c r="Q351" s="117"/>
      <c r="R351" s="117"/>
    </row>
    <row r="352" spans="1:20" ht="27" customHeight="1">
      <c r="A352" s="117">
        <v>347</v>
      </c>
      <c r="B352" s="117" t="s">
        <v>1416</v>
      </c>
      <c r="C352" s="117" t="s">
        <v>636</v>
      </c>
      <c r="D352" s="117" t="s">
        <v>1249</v>
      </c>
      <c r="E352" s="117" t="s">
        <v>6</v>
      </c>
      <c r="F352" s="117">
        <v>545</v>
      </c>
      <c r="G352" s="117">
        <v>470</v>
      </c>
      <c r="H352" s="117">
        <v>470</v>
      </c>
      <c r="I352" s="117"/>
      <c r="J352" s="117"/>
      <c r="K352" s="117" t="s">
        <v>18</v>
      </c>
      <c r="L352" s="117"/>
      <c r="M352" s="117" t="s">
        <v>17</v>
      </c>
      <c r="N352" s="117" t="s">
        <v>18</v>
      </c>
      <c r="O352" s="117"/>
      <c r="P352" s="117"/>
      <c r="Q352" s="117"/>
      <c r="R352" s="117"/>
    </row>
    <row r="353" spans="1:20" ht="27" customHeight="1">
      <c r="A353" s="117">
        <v>348</v>
      </c>
      <c r="B353" s="117" t="s">
        <v>1416</v>
      </c>
      <c r="C353" s="117" t="s">
        <v>637</v>
      </c>
      <c r="D353" s="117" t="s">
        <v>637</v>
      </c>
      <c r="E353" s="117" t="s">
        <v>11</v>
      </c>
      <c r="F353" s="117">
        <v>410</v>
      </c>
      <c r="G353" s="117">
        <v>410</v>
      </c>
      <c r="H353" s="117">
        <v>410</v>
      </c>
      <c r="I353" s="117"/>
      <c r="J353" s="117"/>
      <c r="K353" s="117" t="s">
        <v>1993</v>
      </c>
      <c r="L353" s="117" t="s">
        <v>638</v>
      </c>
      <c r="M353" s="117" t="s">
        <v>17</v>
      </c>
      <c r="N353" s="117" t="s">
        <v>18</v>
      </c>
      <c r="O353" s="117"/>
      <c r="P353" s="117"/>
      <c r="Q353" s="117"/>
      <c r="R353" s="117"/>
    </row>
    <row r="354" spans="1:20" ht="27" customHeight="1">
      <c r="A354" s="117">
        <v>349</v>
      </c>
      <c r="B354" s="117" t="s">
        <v>1416</v>
      </c>
      <c r="C354" s="117" t="s">
        <v>639</v>
      </c>
      <c r="D354" s="117" t="s">
        <v>640</v>
      </c>
      <c r="E354" s="117" t="s">
        <v>11</v>
      </c>
      <c r="F354" s="117">
        <v>9521</v>
      </c>
      <c r="G354" s="117">
        <v>83</v>
      </c>
      <c r="H354" s="117">
        <v>83</v>
      </c>
      <c r="I354" s="117"/>
      <c r="J354" s="117"/>
      <c r="K354" s="117" t="s">
        <v>1994</v>
      </c>
      <c r="L354" s="117" t="s">
        <v>1250</v>
      </c>
      <c r="M354" s="117" t="s">
        <v>17</v>
      </c>
      <c r="N354" s="117" t="s">
        <v>18</v>
      </c>
      <c r="O354" s="117"/>
      <c r="P354" s="117"/>
      <c r="Q354" s="117"/>
      <c r="R354" s="117"/>
    </row>
    <row r="355" spans="1:20" ht="27" customHeight="1">
      <c r="A355" s="117">
        <v>350</v>
      </c>
      <c r="B355" s="117" t="s">
        <v>1416</v>
      </c>
      <c r="C355" s="117" t="s">
        <v>641</v>
      </c>
      <c r="D355" s="117" t="s">
        <v>642</v>
      </c>
      <c r="E355" s="117" t="s">
        <v>23</v>
      </c>
      <c r="F355" s="117">
        <v>545</v>
      </c>
      <c r="G355" s="117">
        <v>487</v>
      </c>
      <c r="H355" s="117">
        <v>487</v>
      </c>
      <c r="I355" s="117"/>
      <c r="J355" s="117"/>
      <c r="K355" s="117" t="s">
        <v>1993</v>
      </c>
      <c r="L355" s="117" t="s">
        <v>638</v>
      </c>
      <c r="M355" s="117" t="s">
        <v>17</v>
      </c>
      <c r="N355" s="117" t="s">
        <v>18</v>
      </c>
      <c r="O355" s="117"/>
      <c r="P355" s="117"/>
      <c r="Q355" s="117"/>
      <c r="R355" s="117"/>
    </row>
    <row r="356" spans="1:20" ht="27" customHeight="1">
      <c r="A356" s="117">
        <v>351</v>
      </c>
      <c r="B356" s="117" t="s">
        <v>1416</v>
      </c>
      <c r="C356" s="117" t="s">
        <v>643</v>
      </c>
      <c r="D356" s="117" t="s">
        <v>644</v>
      </c>
      <c r="E356" s="117" t="s">
        <v>6</v>
      </c>
      <c r="F356" s="117">
        <v>1689</v>
      </c>
      <c r="G356" s="117">
        <v>889</v>
      </c>
      <c r="H356" s="117">
        <v>889</v>
      </c>
      <c r="I356" s="117"/>
      <c r="J356" s="117"/>
      <c r="K356" s="117" t="s">
        <v>1992</v>
      </c>
      <c r="L356" s="117" t="s">
        <v>627</v>
      </c>
      <c r="M356" s="117" t="s">
        <v>17</v>
      </c>
      <c r="N356" s="117" t="s">
        <v>18</v>
      </c>
      <c r="O356" s="117"/>
      <c r="P356" s="117"/>
      <c r="Q356" s="117"/>
      <c r="R356" s="117"/>
    </row>
    <row r="357" spans="1:20" ht="27" customHeight="1">
      <c r="A357" s="117">
        <v>352</v>
      </c>
      <c r="B357" s="117" t="s">
        <v>1416</v>
      </c>
      <c r="C357" s="117" t="s">
        <v>645</v>
      </c>
      <c r="D357" s="117" t="s">
        <v>646</v>
      </c>
      <c r="E357" s="117" t="s">
        <v>23</v>
      </c>
      <c r="F357" s="117">
        <v>476</v>
      </c>
      <c r="G357" s="117">
        <v>431</v>
      </c>
      <c r="H357" s="117">
        <v>431</v>
      </c>
      <c r="I357" s="117"/>
      <c r="J357" s="117"/>
      <c r="K357" s="117" t="s">
        <v>1995</v>
      </c>
      <c r="L357" s="117" t="s">
        <v>1420</v>
      </c>
      <c r="M357" s="117" t="s">
        <v>17</v>
      </c>
      <c r="N357" s="117" t="s">
        <v>18</v>
      </c>
      <c r="O357" s="117"/>
      <c r="P357" s="117"/>
      <c r="Q357" s="117"/>
      <c r="R357" s="117"/>
    </row>
    <row r="358" spans="1:20" ht="27" customHeight="1">
      <c r="A358" s="117">
        <v>353</v>
      </c>
      <c r="B358" s="117" t="s">
        <v>1416</v>
      </c>
      <c r="C358" s="117" t="s">
        <v>647</v>
      </c>
      <c r="D358" s="117" t="s">
        <v>647</v>
      </c>
      <c r="E358" s="117" t="s">
        <v>6</v>
      </c>
      <c r="F358" s="117">
        <v>1584</v>
      </c>
      <c r="G358" s="117">
        <v>1584</v>
      </c>
      <c r="H358" s="117">
        <v>1584</v>
      </c>
      <c r="I358" s="117"/>
      <c r="J358" s="117"/>
      <c r="K358" s="117" t="s">
        <v>1996</v>
      </c>
      <c r="L358" s="117" t="s">
        <v>648</v>
      </c>
      <c r="M358" s="117" t="s">
        <v>17</v>
      </c>
      <c r="N358" s="117" t="s">
        <v>18</v>
      </c>
      <c r="O358" s="117"/>
      <c r="P358" s="117"/>
      <c r="Q358" s="117"/>
      <c r="R358" s="117"/>
      <c r="S358" s="126"/>
      <c r="T358" s="126"/>
    </row>
    <row r="359" spans="1:20" ht="27" customHeight="1">
      <c r="A359" s="117">
        <v>354</v>
      </c>
      <c r="B359" s="117" t="s">
        <v>1416</v>
      </c>
      <c r="C359" s="117" t="s">
        <v>649</v>
      </c>
      <c r="D359" s="117" t="s">
        <v>650</v>
      </c>
      <c r="E359" s="117" t="s">
        <v>6</v>
      </c>
      <c r="F359" s="117">
        <v>792</v>
      </c>
      <c r="G359" s="117">
        <v>399</v>
      </c>
      <c r="H359" s="117">
        <v>399</v>
      </c>
      <c r="I359" s="117"/>
      <c r="J359" s="117"/>
      <c r="K359" s="117" t="s">
        <v>1997</v>
      </c>
      <c r="L359" s="117" t="s">
        <v>1251</v>
      </c>
      <c r="M359" s="117" t="s">
        <v>17</v>
      </c>
      <c r="N359" s="117" t="s">
        <v>18</v>
      </c>
      <c r="O359" s="117"/>
      <c r="P359" s="117"/>
      <c r="Q359" s="117"/>
      <c r="R359" s="117"/>
      <c r="S359" s="126"/>
      <c r="T359" s="126"/>
    </row>
    <row r="360" spans="1:20" ht="27" customHeight="1">
      <c r="A360" s="117">
        <v>355</v>
      </c>
      <c r="B360" s="117" t="s">
        <v>1416</v>
      </c>
      <c r="C360" s="117" t="s">
        <v>651</v>
      </c>
      <c r="D360" s="117" t="s">
        <v>652</v>
      </c>
      <c r="E360" s="117" t="s">
        <v>11</v>
      </c>
      <c r="F360" s="117">
        <v>9719</v>
      </c>
      <c r="G360" s="117">
        <v>1424</v>
      </c>
      <c r="H360" s="117">
        <v>1424</v>
      </c>
      <c r="I360" s="117"/>
      <c r="J360" s="117"/>
      <c r="K360" s="117" t="s">
        <v>18</v>
      </c>
      <c r="L360" s="117"/>
      <c r="M360" s="117" t="s">
        <v>17</v>
      </c>
      <c r="N360" s="117" t="s">
        <v>18</v>
      </c>
      <c r="O360" s="117"/>
      <c r="P360" s="117"/>
      <c r="Q360" s="117"/>
      <c r="R360" s="117"/>
    </row>
    <row r="361" spans="1:20" ht="27" customHeight="1">
      <c r="A361" s="117">
        <v>356</v>
      </c>
      <c r="B361" s="117" t="s">
        <v>1416</v>
      </c>
      <c r="C361" s="117" t="s">
        <v>1254</v>
      </c>
      <c r="D361" s="117" t="s">
        <v>653</v>
      </c>
      <c r="E361" s="117" t="s">
        <v>6</v>
      </c>
      <c r="F361" s="117">
        <v>1478</v>
      </c>
      <c r="G361" s="117">
        <v>1478</v>
      </c>
      <c r="H361" s="117">
        <v>1478</v>
      </c>
      <c r="I361" s="117"/>
      <c r="J361" s="117"/>
      <c r="K361" s="117" t="s">
        <v>1998</v>
      </c>
      <c r="L361" s="117" t="s">
        <v>654</v>
      </c>
      <c r="M361" s="117" t="s">
        <v>17</v>
      </c>
      <c r="N361" s="117" t="s">
        <v>18</v>
      </c>
      <c r="O361" s="117"/>
      <c r="P361" s="117"/>
      <c r="Q361" s="117"/>
      <c r="R361" s="117"/>
    </row>
    <row r="362" spans="1:20" ht="27" customHeight="1">
      <c r="A362" s="117">
        <v>357</v>
      </c>
      <c r="B362" s="117" t="s">
        <v>1416</v>
      </c>
      <c r="C362" s="117" t="s">
        <v>655</v>
      </c>
      <c r="D362" s="117" t="s">
        <v>656</v>
      </c>
      <c r="E362" s="117" t="s">
        <v>11</v>
      </c>
      <c r="F362" s="117">
        <v>155</v>
      </c>
      <c r="G362" s="117">
        <v>155</v>
      </c>
      <c r="H362" s="117">
        <v>155</v>
      </c>
      <c r="I362" s="117"/>
      <c r="J362" s="117"/>
      <c r="K362" s="117" t="s">
        <v>1998</v>
      </c>
      <c r="L362" s="117" t="s">
        <v>657</v>
      </c>
      <c r="M362" s="117" t="s">
        <v>17</v>
      </c>
      <c r="N362" s="117" t="s">
        <v>18</v>
      </c>
      <c r="O362" s="117"/>
      <c r="P362" s="117"/>
      <c r="Q362" s="117"/>
      <c r="R362" s="117"/>
    </row>
    <row r="363" spans="1:20" ht="27" customHeight="1">
      <c r="A363" s="117">
        <v>358</v>
      </c>
      <c r="B363" s="117" t="s">
        <v>1416</v>
      </c>
      <c r="C363" s="117" t="s">
        <v>658</v>
      </c>
      <c r="D363" s="117" t="s">
        <v>659</v>
      </c>
      <c r="E363" s="117" t="s">
        <v>23</v>
      </c>
      <c r="F363" s="117">
        <v>1891</v>
      </c>
      <c r="G363" s="117">
        <v>920</v>
      </c>
      <c r="H363" s="117">
        <v>920</v>
      </c>
      <c r="I363" s="117"/>
      <c r="J363" s="117"/>
      <c r="K363" s="117" t="s">
        <v>1998</v>
      </c>
      <c r="L363" s="117" t="s">
        <v>657</v>
      </c>
      <c r="M363" s="117" t="s">
        <v>17</v>
      </c>
      <c r="N363" s="117" t="s">
        <v>18</v>
      </c>
      <c r="O363" s="117"/>
      <c r="P363" s="117"/>
      <c r="Q363" s="117"/>
      <c r="R363" s="117"/>
    </row>
    <row r="364" spans="1:20" ht="27" customHeight="1">
      <c r="A364" s="117">
        <v>359</v>
      </c>
      <c r="B364" s="117" t="s">
        <v>1416</v>
      </c>
      <c r="C364" s="117" t="s">
        <v>1253</v>
      </c>
      <c r="D364" s="117" t="s">
        <v>660</v>
      </c>
      <c r="E364" s="117" t="s">
        <v>11</v>
      </c>
      <c r="F364" s="117">
        <v>375</v>
      </c>
      <c r="G364" s="117">
        <v>15</v>
      </c>
      <c r="H364" s="117">
        <v>15</v>
      </c>
      <c r="I364" s="117"/>
      <c r="J364" s="117"/>
      <c r="K364" s="117" t="s">
        <v>1998</v>
      </c>
      <c r="L364" s="117" t="s">
        <v>657</v>
      </c>
      <c r="M364" s="117" t="s">
        <v>17</v>
      </c>
      <c r="N364" s="117" t="s">
        <v>18</v>
      </c>
      <c r="O364" s="117"/>
      <c r="P364" s="117"/>
      <c r="Q364" s="117"/>
      <c r="R364" s="117"/>
    </row>
    <row r="365" spans="1:20" ht="27" customHeight="1">
      <c r="A365" s="117">
        <v>360</v>
      </c>
      <c r="B365" s="117" t="s">
        <v>1416</v>
      </c>
      <c r="C365" s="117" t="s">
        <v>1255</v>
      </c>
      <c r="D365" s="117" t="s">
        <v>661</v>
      </c>
      <c r="E365" s="117" t="s">
        <v>11</v>
      </c>
      <c r="F365" s="117">
        <v>2747</v>
      </c>
      <c r="G365" s="117">
        <v>889</v>
      </c>
      <c r="H365" s="117">
        <v>889</v>
      </c>
      <c r="I365" s="117"/>
      <c r="J365" s="117"/>
      <c r="K365" s="117" t="s">
        <v>1998</v>
      </c>
      <c r="L365" s="117" t="s">
        <v>654</v>
      </c>
      <c r="M365" s="117" t="s">
        <v>17</v>
      </c>
      <c r="N365" s="117" t="s">
        <v>18</v>
      </c>
      <c r="O365" s="117"/>
      <c r="P365" s="117"/>
      <c r="Q365" s="117"/>
      <c r="R365" s="117"/>
    </row>
    <row r="366" spans="1:20" ht="27" customHeight="1">
      <c r="A366" s="117">
        <v>361</v>
      </c>
      <c r="B366" s="117" t="s">
        <v>1416</v>
      </c>
      <c r="C366" s="117" t="s">
        <v>1256</v>
      </c>
      <c r="D366" s="117" t="s">
        <v>662</v>
      </c>
      <c r="E366" s="117" t="s">
        <v>11</v>
      </c>
      <c r="F366" s="117">
        <v>45</v>
      </c>
      <c r="G366" s="117">
        <v>15</v>
      </c>
      <c r="H366" s="117">
        <v>15</v>
      </c>
      <c r="I366" s="117"/>
      <c r="J366" s="117"/>
      <c r="K366" s="117" t="s">
        <v>1998</v>
      </c>
      <c r="L366" s="117" t="s">
        <v>657</v>
      </c>
      <c r="M366" s="117" t="s">
        <v>17</v>
      </c>
      <c r="N366" s="117" t="s">
        <v>18</v>
      </c>
      <c r="O366" s="117"/>
      <c r="P366" s="117"/>
      <c r="Q366" s="117"/>
      <c r="R366" s="117"/>
    </row>
    <row r="367" spans="1:20" ht="27" customHeight="1">
      <c r="A367" s="117">
        <v>362</v>
      </c>
      <c r="B367" s="117" t="s">
        <v>1416</v>
      </c>
      <c r="C367" s="117" t="s">
        <v>663</v>
      </c>
      <c r="D367" s="117" t="s">
        <v>663</v>
      </c>
      <c r="E367" s="117" t="s">
        <v>11</v>
      </c>
      <c r="F367" s="117">
        <v>71</v>
      </c>
      <c r="G367" s="117">
        <v>71</v>
      </c>
      <c r="H367" s="117">
        <v>71</v>
      </c>
      <c r="I367" s="117"/>
      <c r="J367" s="117"/>
      <c r="K367" s="117" t="s">
        <v>1998</v>
      </c>
      <c r="L367" s="117" t="s">
        <v>657</v>
      </c>
      <c r="M367" s="117" t="s">
        <v>17</v>
      </c>
      <c r="N367" s="117" t="s">
        <v>18</v>
      </c>
      <c r="O367" s="117"/>
      <c r="P367" s="117"/>
      <c r="Q367" s="117"/>
      <c r="R367" s="117"/>
    </row>
    <row r="368" spans="1:20" ht="27" customHeight="1">
      <c r="A368" s="117">
        <v>363</v>
      </c>
      <c r="B368" s="117" t="s">
        <v>1416</v>
      </c>
      <c r="C368" s="117" t="s">
        <v>664</v>
      </c>
      <c r="D368" s="117" t="s">
        <v>665</v>
      </c>
      <c r="E368" s="117" t="s">
        <v>11</v>
      </c>
      <c r="F368" s="117">
        <v>3035</v>
      </c>
      <c r="G368" s="117">
        <v>1666</v>
      </c>
      <c r="H368" s="117">
        <v>1666</v>
      </c>
      <c r="I368" s="117"/>
      <c r="J368" s="117"/>
      <c r="K368" s="117" t="s">
        <v>1999</v>
      </c>
      <c r="L368" s="117" t="s">
        <v>666</v>
      </c>
      <c r="M368" s="117" t="s">
        <v>17</v>
      </c>
      <c r="N368" s="117" t="s">
        <v>18</v>
      </c>
      <c r="O368" s="117"/>
      <c r="P368" s="117"/>
      <c r="Q368" s="117"/>
      <c r="R368" s="117"/>
    </row>
    <row r="369" spans="1:20" ht="27" customHeight="1">
      <c r="A369" s="117">
        <v>364</v>
      </c>
      <c r="B369" s="117" t="s">
        <v>1416</v>
      </c>
      <c r="C369" s="117" t="s">
        <v>667</v>
      </c>
      <c r="D369" s="117" t="s">
        <v>668</v>
      </c>
      <c r="E369" s="117" t="s">
        <v>11</v>
      </c>
      <c r="F369" s="117">
        <v>2656</v>
      </c>
      <c r="G369" s="117">
        <v>83</v>
      </c>
      <c r="H369" s="117">
        <v>83</v>
      </c>
      <c r="I369" s="117"/>
      <c r="J369" s="117"/>
      <c r="K369" s="117" t="s">
        <v>2000</v>
      </c>
      <c r="L369" s="117" t="s">
        <v>669</v>
      </c>
      <c r="M369" s="117" t="s">
        <v>17</v>
      </c>
      <c r="N369" s="117" t="s">
        <v>18</v>
      </c>
      <c r="O369" s="117"/>
      <c r="P369" s="117"/>
      <c r="Q369" s="117"/>
      <c r="R369" s="117"/>
    </row>
    <row r="370" spans="1:20" ht="27" customHeight="1">
      <c r="A370" s="117">
        <v>365</v>
      </c>
      <c r="B370" s="117" t="s">
        <v>1416</v>
      </c>
      <c r="C370" s="117" t="s">
        <v>667</v>
      </c>
      <c r="D370" s="117" t="s">
        <v>670</v>
      </c>
      <c r="E370" s="117" t="s">
        <v>11</v>
      </c>
      <c r="F370" s="117">
        <v>2656</v>
      </c>
      <c r="G370" s="117">
        <v>466</v>
      </c>
      <c r="H370" s="117">
        <v>466</v>
      </c>
      <c r="I370" s="117"/>
      <c r="J370" s="117"/>
      <c r="K370" s="117" t="s">
        <v>2000</v>
      </c>
      <c r="L370" s="117" t="s">
        <v>669</v>
      </c>
      <c r="M370" s="117" t="s">
        <v>17</v>
      </c>
      <c r="N370" s="117" t="s">
        <v>18</v>
      </c>
      <c r="O370" s="117"/>
      <c r="P370" s="117"/>
      <c r="Q370" s="117"/>
      <c r="R370" s="117"/>
    </row>
    <row r="371" spans="1:20" ht="27" customHeight="1">
      <c r="A371" s="117">
        <v>366</v>
      </c>
      <c r="B371" s="117" t="s">
        <v>1416</v>
      </c>
      <c r="C371" s="117" t="s">
        <v>671</v>
      </c>
      <c r="D371" s="117" t="s">
        <v>672</v>
      </c>
      <c r="E371" s="117" t="s">
        <v>23</v>
      </c>
      <c r="F371" s="117">
        <v>146</v>
      </c>
      <c r="G371" s="117">
        <v>146</v>
      </c>
      <c r="H371" s="117">
        <v>146</v>
      </c>
      <c r="I371" s="117"/>
      <c r="J371" s="117"/>
      <c r="K371" s="117" t="s">
        <v>2000</v>
      </c>
      <c r="L371" s="117" t="s">
        <v>669</v>
      </c>
      <c r="M371" s="117" t="s">
        <v>17</v>
      </c>
      <c r="N371" s="117" t="s">
        <v>18</v>
      </c>
      <c r="O371" s="117"/>
      <c r="P371" s="117"/>
      <c r="Q371" s="117"/>
      <c r="R371" s="117"/>
    </row>
    <row r="372" spans="1:20" ht="27" customHeight="1">
      <c r="A372" s="117">
        <v>367</v>
      </c>
      <c r="B372" s="117" t="s">
        <v>1416</v>
      </c>
      <c r="C372" s="117" t="s">
        <v>673</v>
      </c>
      <c r="D372" s="117" t="s">
        <v>673</v>
      </c>
      <c r="E372" s="117" t="s">
        <v>23</v>
      </c>
      <c r="F372" s="117">
        <v>52</v>
      </c>
      <c r="G372" s="117">
        <v>52</v>
      </c>
      <c r="H372" s="117">
        <v>52</v>
      </c>
      <c r="I372" s="117"/>
      <c r="J372" s="117"/>
      <c r="K372" s="117" t="s">
        <v>2000</v>
      </c>
      <c r="L372" s="117" t="s">
        <v>669</v>
      </c>
      <c r="M372" s="117" t="s">
        <v>17</v>
      </c>
      <c r="N372" s="117" t="s">
        <v>18</v>
      </c>
      <c r="O372" s="117"/>
      <c r="P372" s="117"/>
      <c r="Q372" s="117"/>
      <c r="R372" s="117"/>
    </row>
    <row r="373" spans="1:20" ht="27" customHeight="1">
      <c r="A373" s="117">
        <v>368</v>
      </c>
      <c r="B373" s="117" t="s">
        <v>1416</v>
      </c>
      <c r="C373" s="117" t="s">
        <v>674</v>
      </c>
      <c r="D373" s="117" t="s">
        <v>675</v>
      </c>
      <c r="E373" s="117" t="s">
        <v>11</v>
      </c>
      <c r="F373" s="117">
        <v>3207</v>
      </c>
      <c r="G373" s="117">
        <v>2450</v>
      </c>
      <c r="H373" s="117">
        <v>2450</v>
      </c>
      <c r="I373" s="117"/>
      <c r="J373" s="117"/>
      <c r="K373" s="117" t="s">
        <v>2000</v>
      </c>
      <c r="L373" s="117" t="s">
        <v>676</v>
      </c>
      <c r="M373" s="117" t="s">
        <v>17</v>
      </c>
      <c r="N373" s="117" t="s">
        <v>18</v>
      </c>
      <c r="O373" s="117"/>
      <c r="P373" s="117"/>
      <c r="Q373" s="117"/>
      <c r="R373" s="117"/>
    </row>
    <row r="374" spans="1:20" ht="27" customHeight="1">
      <c r="A374" s="117">
        <v>369</v>
      </c>
      <c r="B374" s="117" t="s">
        <v>1416</v>
      </c>
      <c r="C374" s="117" t="s">
        <v>677</v>
      </c>
      <c r="D374" s="117" t="s">
        <v>678</v>
      </c>
      <c r="E374" s="117" t="s">
        <v>6</v>
      </c>
      <c r="F374" s="117">
        <v>437</v>
      </c>
      <c r="G374" s="117">
        <v>171</v>
      </c>
      <c r="H374" s="117">
        <v>171</v>
      </c>
      <c r="I374" s="117"/>
      <c r="J374" s="117"/>
      <c r="K374" s="117" t="s">
        <v>1982</v>
      </c>
      <c r="L374" s="117" t="s">
        <v>679</v>
      </c>
      <c r="M374" s="117" t="s">
        <v>17</v>
      </c>
      <c r="N374" s="117" t="s">
        <v>18</v>
      </c>
      <c r="O374" s="117"/>
      <c r="P374" s="117"/>
      <c r="Q374" s="117"/>
      <c r="R374" s="117"/>
    </row>
    <row r="375" spans="1:20" ht="27" customHeight="1">
      <c r="A375" s="117">
        <v>370</v>
      </c>
      <c r="B375" s="117" t="s">
        <v>1416</v>
      </c>
      <c r="C375" s="117" t="s">
        <v>680</v>
      </c>
      <c r="D375" s="117" t="s">
        <v>680</v>
      </c>
      <c r="E375" s="117" t="s">
        <v>6</v>
      </c>
      <c r="F375" s="117">
        <v>13</v>
      </c>
      <c r="G375" s="117">
        <v>13</v>
      </c>
      <c r="H375" s="117">
        <v>13</v>
      </c>
      <c r="I375" s="117"/>
      <c r="J375" s="117"/>
      <c r="K375" s="117" t="s">
        <v>1982</v>
      </c>
      <c r="L375" s="117" t="s">
        <v>547</v>
      </c>
      <c r="M375" s="117" t="s">
        <v>17</v>
      </c>
      <c r="N375" s="117" t="s">
        <v>18</v>
      </c>
      <c r="O375" s="117"/>
      <c r="P375" s="117"/>
      <c r="Q375" s="117"/>
      <c r="R375" s="117"/>
    </row>
    <row r="376" spans="1:20" ht="27" customHeight="1">
      <c r="A376" s="117">
        <v>371</v>
      </c>
      <c r="B376" s="117" t="s">
        <v>1416</v>
      </c>
      <c r="C376" s="117" t="s">
        <v>681</v>
      </c>
      <c r="D376" s="117" t="s">
        <v>682</v>
      </c>
      <c r="E376" s="117" t="s">
        <v>6</v>
      </c>
      <c r="F376" s="117">
        <v>81</v>
      </c>
      <c r="G376" s="117">
        <v>32</v>
      </c>
      <c r="H376" s="117">
        <v>32</v>
      </c>
      <c r="I376" s="117"/>
      <c r="J376" s="117"/>
      <c r="K376" s="117" t="s">
        <v>1982</v>
      </c>
      <c r="L376" s="117" t="s">
        <v>547</v>
      </c>
      <c r="M376" s="117" t="s">
        <v>17</v>
      </c>
      <c r="N376" s="117" t="s">
        <v>18</v>
      </c>
      <c r="O376" s="117"/>
      <c r="P376" s="117"/>
      <c r="Q376" s="117"/>
      <c r="R376" s="117"/>
    </row>
    <row r="377" spans="1:20" ht="27" customHeight="1">
      <c r="A377" s="117">
        <v>372</v>
      </c>
      <c r="B377" s="117" t="s">
        <v>1416</v>
      </c>
      <c r="C377" s="117" t="s">
        <v>683</v>
      </c>
      <c r="D377" s="117" t="s">
        <v>683</v>
      </c>
      <c r="E377" s="117" t="s">
        <v>23</v>
      </c>
      <c r="F377" s="117">
        <v>1124</v>
      </c>
      <c r="G377" s="117">
        <v>1124</v>
      </c>
      <c r="H377" s="117">
        <v>1124</v>
      </c>
      <c r="I377" s="117"/>
      <c r="J377" s="117"/>
      <c r="K377" s="117" t="s">
        <v>2001</v>
      </c>
      <c r="L377" s="117" t="s">
        <v>684</v>
      </c>
      <c r="M377" s="117" t="s">
        <v>17</v>
      </c>
      <c r="N377" s="117" t="s">
        <v>18</v>
      </c>
      <c r="O377" s="117"/>
      <c r="P377" s="117"/>
      <c r="Q377" s="117"/>
      <c r="R377" s="117"/>
    </row>
    <row r="378" spans="1:20" ht="27" customHeight="1">
      <c r="A378" s="117">
        <v>373</v>
      </c>
      <c r="B378" s="117" t="s">
        <v>1416</v>
      </c>
      <c r="C378" s="117" t="s">
        <v>685</v>
      </c>
      <c r="D378" s="117" t="s">
        <v>686</v>
      </c>
      <c r="E378" s="117" t="s">
        <v>11</v>
      </c>
      <c r="F378" s="117">
        <v>2446</v>
      </c>
      <c r="G378" s="117">
        <v>1718</v>
      </c>
      <c r="H378" s="117">
        <v>1718</v>
      </c>
      <c r="I378" s="117"/>
      <c r="J378" s="117"/>
      <c r="K378" s="117" t="s">
        <v>2002</v>
      </c>
      <c r="L378" s="117" t="s">
        <v>687</v>
      </c>
      <c r="M378" s="117" t="s">
        <v>17</v>
      </c>
      <c r="N378" s="117" t="s">
        <v>18</v>
      </c>
      <c r="O378" s="117"/>
      <c r="P378" s="117"/>
      <c r="Q378" s="117"/>
      <c r="R378" s="117"/>
    </row>
    <row r="379" spans="1:20" ht="27" customHeight="1">
      <c r="A379" s="117">
        <v>374</v>
      </c>
      <c r="B379" s="117" t="s">
        <v>1416</v>
      </c>
      <c r="C379" s="117" t="s">
        <v>688</v>
      </c>
      <c r="D379" s="117" t="s">
        <v>689</v>
      </c>
      <c r="E379" s="117" t="s">
        <v>11</v>
      </c>
      <c r="F379" s="117">
        <v>264</v>
      </c>
      <c r="G379" s="117">
        <v>149</v>
      </c>
      <c r="H379" s="117">
        <v>149</v>
      </c>
      <c r="I379" s="117"/>
      <c r="J379" s="117"/>
      <c r="K379" s="117" t="s">
        <v>2003</v>
      </c>
      <c r="L379" s="117" t="s">
        <v>690</v>
      </c>
      <c r="M379" s="117" t="s">
        <v>17</v>
      </c>
      <c r="N379" s="117" t="s">
        <v>18</v>
      </c>
      <c r="O379" s="117"/>
      <c r="P379" s="117"/>
      <c r="Q379" s="117"/>
      <c r="R379" s="117"/>
      <c r="S379" s="126"/>
      <c r="T379" s="126"/>
    </row>
    <row r="380" spans="1:20" ht="27" customHeight="1">
      <c r="A380" s="117">
        <v>375</v>
      </c>
      <c r="B380" s="117" t="s">
        <v>1416</v>
      </c>
      <c r="C380" s="117" t="s">
        <v>691</v>
      </c>
      <c r="D380" s="117" t="s">
        <v>692</v>
      </c>
      <c r="E380" s="117" t="s">
        <v>11</v>
      </c>
      <c r="F380" s="117">
        <v>938</v>
      </c>
      <c r="G380" s="117">
        <v>148</v>
      </c>
      <c r="H380" s="117">
        <v>148</v>
      </c>
      <c r="I380" s="117"/>
      <c r="J380" s="117"/>
      <c r="K380" s="117" t="s">
        <v>2004</v>
      </c>
      <c r="L380" s="117" t="s">
        <v>690</v>
      </c>
      <c r="M380" s="117" t="s">
        <v>17</v>
      </c>
      <c r="N380" s="117" t="s">
        <v>18</v>
      </c>
      <c r="O380" s="117"/>
      <c r="P380" s="117"/>
      <c r="Q380" s="117"/>
      <c r="R380" s="117"/>
      <c r="S380" s="126"/>
      <c r="T380" s="126"/>
    </row>
    <row r="381" spans="1:20" ht="27" customHeight="1">
      <c r="A381" s="117">
        <v>376</v>
      </c>
      <c r="B381" s="117" t="s">
        <v>1416</v>
      </c>
      <c r="C381" s="117" t="s">
        <v>693</v>
      </c>
      <c r="D381" s="117" t="s">
        <v>693</v>
      </c>
      <c r="E381" s="117" t="s">
        <v>11</v>
      </c>
      <c r="F381" s="117">
        <v>1102</v>
      </c>
      <c r="G381" s="117">
        <v>1102</v>
      </c>
      <c r="H381" s="117">
        <v>1102</v>
      </c>
      <c r="I381" s="117"/>
      <c r="J381" s="117"/>
      <c r="K381" s="117" t="s">
        <v>18</v>
      </c>
      <c r="L381" s="117"/>
      <c r="M381" s="117" t="s">
        <v>17</v>
      </c>
      <c r="N381" s="117" t="s">
        <v>18</v>
      </c>
      <c r="O381" s="117"/>
      <c r="P381" s="117"/>
      <c r="Q381" s="117"/>
      <c r="R381" s="117"/>
    </row>
    <row r="382" spans="1:20" ht="27" customHeight="1">
      <c r="A382" s="117">
        <v>377</v>
      </c>
      <c r="B382" s="117" t="s">
        <v>1416</v>
      </c>
      <c r="C382" s="117" t="s">
        <v>694</v>
      </c>
      <c r="D382" s="117" t="s">
        <v>695</v>
      </c>
      <c r="E382" s="117" t="s">
        <v>11</v>
      </c>
      <c r="F382" s="117">
        <v>4165</v>
      </c>
      <c r="G382" s="117">
        <v>782</v>
      </c>
      <c r="H382" s="117">
        <v>782</v>
      </c>
      <c r="I382" s="117"/>
      <c r="J382" s="117"/>
      <c r="K382" s="117" t="s">
        <v>2005</v>
      </c>
      <c r="L382" s="117" t="s">
        <v>1252</v>
      </c>
      <c r="M382" s="117" t="s">
        <v>17</v>
      </c>
      <c r="N382" s="117" t="s">
        <v>18</v>
      </c>
      <c r="O382" s="117"/>
      <c r="P382" s="117"/>
      <c r="Q382" s="117"/>
      <c r="R382" s="117"/>
    </row>
    <row r="383" spans="1:20" ht="27" customHeight="1">
      <c r="A383" s="117">
        <v>378</v>
      </c>
      <c r="B383" s="117" t="s">
        <v>1416</v>
      </c>
      <c r="C383" s="117" t="s">
        <v>696</v>
      </c>
      <c r="D383" s="117" t="s">
        <v>697</v>
      </c>
      <c r="E383" s="117" t="s">
        <v>6</v>
      </c>
      <c r="F383" s="117">
        <v>932</v>
      </c>
      <c r="G383" s="117">
        <v>510</v>
      </c>
      <c r="H383" s="117">
        <v>510</v>
      </c>
      <c r="I383" s="117"/>
      <c r="J383" s="117"/>
      <c r="K383" s="117" t="s">
        <v>1999</v>
      </c>
      <c r="L383" s="117" t="s">
        <v>666</v>
      </c>
      <c r="M383" s="117" t="s">
        <v>17</v>
      </c>
      <c r="N383" s="117" t="s">
        <v>18</v>
      </c>
      <c r="O383" s="117"/>
      <c r="P383" s="117"/>
      <c r="Q383" s="117"/>
      <c r="R383" s="117"/>
    </row>
    <row r="384" spans="1:20" ht="27" customHeight="1">
      <c r="A384" s="117">
        <v>379</v>
      </c>
      <c r="B384" s="117" t="s">
        <v>1416</v>
      </c>
      <c r="C384" s="117" t="s">
        <v>698</v>
      </c>
      <c r="D384" s="117" t="s">
        <v>699</v>
      </c>
      <c r="E384" s="117" t="s">
        <v>6</v>
      </c>
      <c r="F384" s="117">
        <v>608</v>
      </c>
      <c r="G384" s="117">
        <v>282</v>
      </c>
      <c r="H384" s="117">
        <v>282</v>
      </c>
      <c r="I384" s="117"/>
      <c r="J384" s="117"/>
      <c r="K384" s="117" t="s">
        <v>2006</v>
      </c>
      <c r="L384" s="117" t="s">
        <v>669</v>
      </c>
      <c r="M384" s="117" t="s">
        <v>17</v>
      </c>
      <c r="N384" s="117" t="s">
        <v>18</v>
      </c>
      <c r="O384" s="117"/>
      <c r="P384" s="117"/>
      <c r="Q384" s="117"/>
      <c r="R384" s="117"/>
    </row>
    <row r="385" spans="1:18" ht="27" customHeight="1">
      <c r="A385" s="117">
        <v>380</v>
      </c>
      <c r="B385" s="117" t="s">
        <v>1416</v>
      </c>
      <c r="C385" s="117" t="s">
        <v>700</v>
      </c>
      <c r="D385" s="117" t="s">
        <v>701</v>
      </c>
      <c r="E385" s="117" t="s">
        <v>6</v>
      </c>
      <c r="F385" s="117">
        <v>2486</v>
      </c>
      <c r="G385" s="117">
        <v>50</v>
      </c>
      <c r="H385" s="117">
        <v>50</v>
      </c>
      <c r="I385" s="117"/>
      <c r="J385" s="117"/>
      <c r="K385" s="117" t="s">
        <v>2007</v>
      </c>
      <c r="L385" s="117" t="s">
        <v>702</v>
      </c>
      <c r="M385" s="117" t="s">
        <v>17</v>
      </c>
      <c r="N385" s="117" t="s">
        <v>18</v>
      </c>
      <c r="O385" s="117"/>
      <c r="P385" s="117"/>
      <c r="Q385" s="117"/>
      <c r="R385" s="117"/>
    </row>
    <row r="386" spans="1:18" ht="27" customHeight="1">
      <c r="A386" s="117">
        <v>381</v>
      </c>
      <c r="B386" s="117" t="s">
        <v>1416</v>
      </c>
      <c r="C386" s="117" t="s">
        <v>703</v>
      </c>
      <c r="D386" s="117" t="s">
        <v>703</v>
      </c>
      <c r="E386" s="117" t="s">
        <v>11</v>
      </c>
      <c r="F386" s="117">
        <v>84</v>
      </c>
      <c r="G386" s="117">
        <v>84</v>
      </c>
      <c r="H386" s="117">
        <v>84</v>
      </c>
      <c r="I386" s="117"/>
      <c r="J386" s="117"/>
      <c r="K386" s="117" t="s">
        <v>2008</v>
      </c>
      <c r="L386" s="117" t="s">
        <v>666</v>
      </c>
      <c r="M386" s="117" t="s">
        <v>17</v>
      </c>
      <c r="N386" s="117" t="s">
        <v>18</v>
      </c>
      <c r="O386" s="117"/>
      <c r="P386" s="117"/>
      <c r="Q386" s="117"/>
      <c r="R386" s="117"/>
    </row>
    <row r="387" spans="1:18" ht="27" customHeight="1">
      <c r="A387" s="117">
        <v>382</v>
      </c>
      <c r="B387" s="117" t="s">
        <v>1416</v>
      </c>
      <c r="C387" s="117" t="s">
        <v>704</v>
      </c>
      <c r="D387" s="117" t="s">
        <v>705</v>
      </c>
      <c r="E387" s="117" t="s">
        <v>23</v>
      </c>
      <c r="F387" s="117">
        <v>664</v>
      </c>
      <c r="G387" s="117">
        <v>79</v>
      </c>
      <c r="H387" s="117">
        <v>79</v>
      </c>
      <c r="I387" s="117"/>
      <c r="J387" s="117"/>
      <c r="K387" s="117" t="s">
        <v>2000</v>
      </c>
      <c r="L387" s="117" t="s">
        <v>669</v>
      </c>
      <c r="M387" s="117" t="s">
        <v>17</v>
      </c>
      <c r="N387" s="117" t="s">
        <v>18</v>
      </c>
      <c r="O387" s="117"/>
      <c r="P387" s="117"/>
      <c r="Q387" s="117"/>
      <c r="R387" s="117"/>
    </row>
    <row r="388" spans="1:18" ht="27" customHeight="1">
      <c r="A388" s="117">
        <v>383</v>
      </c>
      <c r="B388" s="117" t="s">
        <v>1416</v>
      </c>
      <c r="C388" s="117" t="s">
        <v>706</v>
      </c>
      <c r="D388" s="117" t="s">
        <v>707</v>
      </c>
      <c r="E388" s="117" t="s">
        <v>11</v>
      </c>
      <c r="F388" s="117">
        <v>603</v>
      </c>
      <c r="G388" s="117">
        <v>365</v>
      </c>
      <c r="H388" s="117">
        <v>365</v>
      </c>
      <c r="I388" s="117"/>
      <c r="J388" s="117"/>
      <c r="K388" s="117" t="s">
        <v>2006</v>
      </c>
      <c r="L388" s="117" t="s">
        <v>669</v>
      </c>
      <c r="M388" s="117" t="s">
        <v>17</v>
      </c>
      <c r="N388" s="117" t="s">
        <v>18</v>
      </c>
      <c r="O388" s="117"/>
      <c r="P388" s="117"/>
      <c r="Q388" s="117"/>
      <c r="R388" s="117"/>
    </row>
    <row r="389" spans="1:18" ht="27" customHeight="1">
      <c r="A389" s="117">
        <v>384</v>
      </c>
      <c r="B389" s="117" t="s">
        <v>1416</v>
      </c>
      <c r="C389" s="117" t="s">
        <v>708</v>
      </c>
      <c r="D389" s="117" t="s">
        <v>709</v>
      </c>
      <c r="E389" s="117" t="s">
        <v>11</v>
      </c>
      <c r="F389" s="117">
        <v>3642</v>
      </c>
      <c r="G389" s="117">
        <v>655</v>
      </c>
      <c r="H389" s="117">
        <v>655</v>
      </c>
      <c r="I389" s="117"/>
      <c r="J389" s="117"/>
      <c r="K389" s="117" t="s">
        <v>2009</v>
      </c>
      <c r="L389" s="117" t="s">
        <v>710</v>
      </c>
      <c r="M389" s="117" t="s">
        <v>17</v>
      </c>
      <c r="N389" s="117" t="s">
        <v>18</v>
      </c>
      <c r="O389" s="117"/>
      <c r="P389" s="117"/>
      <c r="Q389" s="117"/>
      <c r="R389" s="117"/>
    </row>
    <row r="390" spans="1:18" ht="27" customHeight="1">
      <c r="A390" s="117">
        <v>385</v>
      </c>
      <c r="B390" s="117" t="s">
        <v>1416</v>
      </c>
      <c r="C390" s="117" t="s">
        <v>711</v>
      </c>
      <c r="D390" s="117" t="s">
        <v>712</v>
      </c>
      <c r="E390" s="117" t="s">
        <v>11</v>
      </c>
      <c r="F390" s="117">
        <v>1488</v>
      </c>
      <c r="G390" s="117">
        <v>1163</v>
      </c>
      <c r="H390" s="117">
        <v>1163</v>
      </c>
      <c r="I390" s="117"/>
      <c r="J390" s="117"/>
      <c r="K390" s="117" t="s">
        <v>2010</v>
      </c>
      <c r="L390" s="117" t="s">
        <v>713</v>
      </c>
      <c r="M390" s="117" t="s">
        <v>17</v>
      </c>
      <c r="N390" s="117" t="s">
        <v>18</v>
      </c>
      <c r="O390" s="117"/>
      <c r="P390" s="117"/>
      <c r="Q390" s="117"/>
      <c r="R390" s="117"/>
    </row>
    <row r="391" spans="1:18" ht="27" customHeight="1">
      <c r="A391" s="117">
        <v>386</v>
      </c>
      <c r="B391" s="117" t="s">
        <v>1416</v>
      </c>
      <c r="C391" s="117" t="s">
        <v>714</v>
      </c>
      <c r="D391" s="117" t="s">
        <v>714</v>
      </c>
      <c r="E391" s="117" t="s">
        <v>6</v>
      </c>
      <c r="F391" s="117">
        <v>68</v>
      </c>
      <c r="G391" s="117">
        <v>68</v>
      </c>
      <c r="H391" s="117">
        <v>68</v>
      </c>
      <c r="I391" s="117"/>
      <c r="J391" s="117"/>
      <c r="K391" s="117" t="s">
        <v>18</v>
      </c>
      <c r="L391" s="117"/>
      <c r="M391" s="117" t="s">
        <v>17</v>
      </c>
      <c r="N391" s="117" t="s">
        <v>18</v>
      </c>
      <c r="O391" s="117"/>
      <c r="P391" s="117"/>
      <c r="Q391" s="117"/>
      <c r="R391" s="117"/>
    </row>
    <row r="392" spans="1:18" ht="27" customHeight="1">
      <c r="A392" s="117">
        <v>387</v>
      </c>
      <c r="B392" s="117" t="s">
        <v>1416</v>
      </c>
      <c r="C392" s="117" t="s">
        <v>715</v>
      </c>
      <c r="D392" s="117" t="s">
        <v>715</v>
      </c>
      <c r="E392" s="117" t="s">
        <v>3</v>
      </c>
      <c r="F392" s="117">
        <v>30</v>
      </c>
      <c r="G392" s="117">
        <v>30</v>
      </c>
      <c r="H392" s="117">
        <v>30</v>
      </c>
      <c r="I392" s="117"/>
      <c r="J392" s="117"/>
      <c r="K392" s="117" t="s">
        <v>1989</v>
      </c>
      <c r="L392" s="117" t="s">
        <v>602</v>
      </c>
      <c r="M392" s="117" t="s">
        <v>17</v>
      </c>
      <c r="N392" s="117" t="s">
        <v>18</v>
      </c>
      <c r="O392" s="117"/>
      <c r="P392" s="117"/>
      <c r="Q392" s="117"/>
      <c r="R392" s="117"/>
    </row>
    <row r="393" spans="1:18" ht="27" customHeight="1">
      <c r="A393" s="117">
        <v>388</v>
      </c>
      <c r="B393" s="117" t="s">
        <v>1416</v>
      </c>
      <c r="C393" s="117" t="s">
        <v>716</v>
      </c>
      <c r="D393" s="117" t="s">
        <v>717</v>
      </c>
      <c r="E393" s="117" t="s">
        <v>3</v>
      </c>
      <c r="F393" s="117">
        <v>251</v>
      </c>
      <c r="G393" s="117">
        <v>30</v>
      </c>
      <c r="H393" s="117">
        <v>30</v>
      </c>
      <c r="I393" s="117"/>
      <c r="J393" s="117"/>
      <c r="K393" s="117" t="s">
        <v>1989</v>
      </c>
      <c r="L393" s="117" t="s">
        <v>602</v>
      </c>
      <c r="M393" s="117" t="s">
        <v>17</v>
      </c>
      <c r="N393" s="117" t="s">
        <v>18</v>
      </c>
      <c r="O393" s="117"/>
      <c r="P393" s="117"/>
      <c r="Q393" s="117"/>
      <c r="R393" s="117"/>
    </row>
    <row r="394" spans="1:18" ht="27" customHeight="1">
      <c r="A394" s="117">
        <v>389</v>
      </c>
      <c r="B394" s="117" t="s">
        <v>1416</v>
      </c>
      <c r="C394" s="117" t="s">
        <v>718</v>
      </c>
      <c r="D394" s="117" t="s">
        <v>718</v>
      </c>
      <c r="E394" s="117" t="s">
        <v>3</v>
      </c>
      <c r="F394" s="117">
        <v>40</v>
      </c>
      <c r="G394" s="117">
        <v>40</v>
      </c>
      <c r="H394" s="117">
        <v>40</v>
      </c>
      <c r="I394" s="117"/>
      <c r="J394" s="117"/>
      <c r="K394" s="117" t="s">
        <v>2011</v>
      </c>
      <c r="L394" s="117" t="s">
        <v>719</v>
      </c>
      <c r="M394" s="117" t="s">
        <v>17</v>
      </c>
      <c r="N394" s="117" t="s">
        <v>18</v>
      </c>
      <c r="O394" s="117"/>
      <c r="P394" s="117"/>
      <c r="Q394" s="117"/>
      <c r="R394" s="117"/>
    </row>
    <row r="395" spans="1:18" ht="27" customHeight="1">
      <c r="A395" s="117">
        <v>390</v>
      </c>
      <c r="B395" s="117" t="s">
        <v>1416</v>
      </c>
      <c r="C395" s="117" t="s">
        <v>720</v>
      </c>
      <c r="D395" s="117" t="s">
        <v>720</v>
      </c>
      <c r="E395" s="117" t="s">
        <v>3</v>
      </c>
      <c r="F395" s="117">
        <v>198</v>
      </c>
      <c r="G395" s="117">
        <v>198</v>
      </c>
      <c r="H395" s="117">
        <v>198</v>
      </c>
      <c r="I395" s="117"/>
      <c r="J395" s="117"/>
      <c r="K395" s="117" t="s">
        <v>1991</v>
      </c>
      <c r="L395" s="117" t="s">
        <v>721</v>
      </c>
      <c r="M395" s="117" t="s">
        <v>17</v>
      </c>
      <c r="N395" s="117" t="s">
        <v>18</v>
      </c>
      <c r="O395" s="117"/>
      <c r="P395" s="117"/>
      <c r="Q395" s="117"/>
      <c r="R395" s="117"/>
    </row>
    <row r="396" spans="1:18" ht="27" customHeight="1">
      <c r="A396" s="117">
        <v>391</v>
      </c>
      <c r="B396" s="117" t="s">
        <v>1416</v>
      </c>
      <c r="C396" s="117" t="s">
        <v>722</v>
      </c>
      <c r="D396" s="117" t="s">
        <v>722</v>
      </c>
      <c r="E396" s="117" t="s">
        <v>3</v>
      </c>
      <c r="F396" s="117">
        <v>89</v>
      </c>
      <c r="G396" s="117">
        <v>89</v>
      </c>
      <c r="H396" s="117">
        <v>89</v>
      </c>
      <c r="I396" s="117"/>
      <c r="J396" s="117"/>
      <c r="K396" s="117" t="s">
        <v>2012</v>
      </c>
      <c r="L396" s="117" t="s">
        <v>723</v>
      </c>
      <c r="M396" s="117" t="s">
        <v>17</v>
      </c>
      <c r="N396" s="117" t="s">
        <v>18</v>
      </c>
      <c r="O396" s="117"/>
      <c r="P396" s="117"/>
      <c r="Q396" s="117"/>
      <c r="R396" s="117"/>
    </row>
    <row r="397" spans="1:18" ht="27" customHeight="1">
      <c r="A397" s="117">
        <v>392</v>
      </c>
      <c r="B397" s="117" t="s">
        <v>725</v>
      </c>
      <c r="C397" s="117" t="s">
        <v>726</v>
      </c>
      <c r="D397" s="117" t="s">
        <v>727</v>
      </c>
      <c r="E397" s="117" t="s">
        <v>6</v>
      </c>
      <c r="F397" s="117">
        <v>980</v>
      </c>
      <c r="G397" s="117">
        <v>35</v>
      </c>
      <c r="H397" s="117">
        <v>35</v>
      </c>
      <c r="I397" s="117"/>
      <c r="J397" s="117"/>
      <c r="K397" s="117" t="s">
        <v>2000</v>
      </c>
      <c r="L397" s="117" t="s">
        <v>669</v>
      </c>
      <c r="M397" s="117" t="s">
        <v>17</v>
      </c>
      <c r="N397" s="117" t="s">
        <v>18</v>
      </c>
      <c r="O397" s="117"/>
      <c r="P397" s="117"/>
      <c r="Q397" s="117"/>
      <c r="R397" s="117"/>
    </row>
    <row r="398" spans="1:18" ht="27" customHeight="1">
      <c r="A398" s="117">
        <v>393</v>
      </c>
      <c r="B398" s="117" t="s">
        <v>725</v>
      </c>
      <c r="C398" s="117" t="s">
        <v>728</v>
      </c>
      <c r="D398" s="117" t="s">
        <v>729</v>
      </c>
      <c r="E398" s="117" t="s">
        <v>3</v>
      </c>
      <c r="F398" s="117">
        <v>294</v>
      </c>
      <c r="G398" s="117">
        <v>12</v>
      </c>
      <c r="H398" s="117">
        <v>12</v>
      </c>
      <c r="I398" s="117"/>
      <c r="J398" s="117"/>
      <c r="K398" s="117" t="s">
        <v>17</v>
      </c>
      <c r="L398" s="117" t="s">
        <v>72</v>
      </c>
      <c r="M398" s="117" t="s">
        <v>17</v>
      </c>
      <c r="N398" s="117" t="s">
        <v>72</v>
      </c>
      <c r="O398" s="117"/>
      <c r="P398" s="117"/>
      <c r="Q398" s="117"/>
      <c r="R398" s="117"/>
    </row>
    <row r="399" spans="1:18" ht="27" customHeight="1">
      <c r="A399" s="117">
        <v>394</v>
      </c>
      <c r="B399" s="117" t="s">
        <v>725</v>
      </c>
      <c r="C399" s="117" t="s">
        <v>730</v>
      </c>
      <c r="D399" s="117" t="s">
        <v>731</v>
      </c>
      <c r="E399" s="117" t="s">
        <v>6</v>
      </c>
      <c r="F399" s="117">
        <v>100</v>
      </c>
      <c r="G399" s="117">
        <v>88</v>
      </c>
      <c r="H399" s="117">
        <v>88</v>
      </c>
      <c r="I399" s="117"/>
      <c r="J399" s="117"/>
      <c r="K399" s="117" t="s">
        <v>2000</v>
      </c>
      <c r="L399" s="117" t="s">
        <v>669</v>
      </c>
      <c r="M399" s="117" t="s">
        <v>17</v>
      </c>
      <c r="N399" s="117" t="s">
        <v>18</v>
      </c>
      <c r="O399" s="117"/>
      <c r="P399" s="117"/>
      <c r="Q399" s="117"/>
      <c r="R399" s="117"/>
    </row>
    <row r="400" spans="1:18" ht="27" customHeight="1">
      <c r="A400" s="117">
        <v>395</v>
      </c>
      <c r="B400" s="117" t="s">
        <v>725</v>
      </c>
      <c r="C400" s="117" t="s">
        <v>732</v>
      </c>
      <c r="D400" s="117" t="s">
        <v>732</v>
      </c>
      <c r="E400" s="117" t="s">
        <v>6</v>
      </c>
      <c r="F400" s="117">
        <v>8</v>
      </c>
      <c r="G400" s="117">
        <v>8</v>
      </c>
      <c r="H400" s="117">
        <v>8</v>
      </c>
      <c r="I400" s="117"/>
      <c r="J400" s="117"/>
      <c r="K400" s="117" t="s">
        <v>2000</v>
      </c>
      <c r="L400" s="117" t="s">
        <v>669</v>
      </c>
      <c r="M400" s="117" t="s">
        <v>17</v>
      </c>
      <c r="N400" s="117" t="s">
        <v>18</v>
      </c>
      <c r="O400" s="117"/>
      <c r="P400" s="117"/>
      <c r="Q400" s="117"/>
      <c r="R400" s="117"/>
    </row>
    <row r="401" spans="1:18" ht="27" customHeight="1">
      <c r="A401" s="117">
        <v>396</v>
      </c>
      <c r="B401" s="117" t="s">
        <v>725</v>
      </c>
      <c r="C401" s="117" t="s">
        <v>733</v>
      </c>
      <c r="D401" s="117" t="s">
        <v>734</v>
      </c>
      <c r="E401" s="117" t="s">
        <v>6</v>
      </c>
      <c r="F401" s="117">
        <v>2656</v>
      </c>
      <c r="G401" s="117">
        <v>2</v>
      </c>
      <c r="H401" s="117">
        <v>2</v>
      </c>
      <c r="I401" s="117"/>
      <c r="J401" s="117"/>
      <c r="K401" s="117" t="s">
        <v>2013</v>
      </c>
      <c r="L401" s="117" t="s">
        <v>735</v>
      </c>
      <c r="M401" s="117" t="s">
        <v>17</v>
      </c>
      <c r="N401" s="117" t="s">
        <v>18</v>
      </c>
      <c r="O401" s="117"/>
      <c r="P401" s="117"/>
      <c r="Q401" s="117"/>
      <c r="R401" s="117"/>
    </row>
    <row r="402" spans="1:18" ht="27" customHeight="1">
      <c r="A402" s="117">
        <v>397</v>
      </c>
      <c r="B402" s="117" t="s">
        <v>725</v>
      </c>
      <c r="C402" s="117" t="s">
        <v>736</v>
      </c>
      <c r="D402" s="117" t="s">
        <v>736</v>
      </c>
      <c r="E402" s="117" t="s">
        <v>11</v>
      </c>
      <c r="F402" s="117">
        <v>679</v>
      </c>
      <c r="G402" s="117">
        <v>679</v>
      </c>
      <c r="H402" s="117">
        <v>679</v>
      </c>
      <c r="I402" s="117"/>
      <c r="J402" s="117"/>
      <c r="K402" s="117" t="s">
        <v>2009</v>
      </c>
      <c r="L402" s="117" t="s">
        <v>710</v>
      </c>
      <c r="M402" s="117" t="s">
        <v>17</v>
      </c>
      <c r="N402" s="117" t="s">
        <v>18</v>
      </c>
      <c r="O402" s="117"/>
      <c r="P402" s="117"/>
      <c r="Q402" s="117"/>
      <c r="R402" s="117"/>
    </row>
    <row r="403" spans="1:18" ht="27" customHeight="1">
      <c r="A403" s="117">
        <v>398</v>
      </c>
      <c r="B403" s="117" t="s">
        <v>725</v>
      </c>
      <c r="C403" s="117" t="s">
        <v>737</v>
      </c>
      <c r="D403" s="117" t="s">
        <v>738</v>
      </c>
      <c r="E403" s="117" t="s">
        <v>6</v>
      </c>
      <c r="F403" s="117">
        <v>2116</v>
      </c>
      <c r="G403" s="117">
        <v>360</v>
      </c>
      <c r="H403" s="117">
        <v>360</v>
      </c>
      <c r="I403" s="117"/>
      <c r="J403" s="117"/>
      <c r="K403" s="117" t="s">
        <v>18</v>
      </c>
      <c r="L403" s="117"/>
      <c r="M403" s="117" t="s">
        <v>17</v>
      </c>
      <c r="N403" s="117" t="s">
        <v>18</v>
      </c>
      <c r="O403" s="117"/>
      <c r="P403" s="117"/>
      <c r="Q403" s="117"/>
      <c r="R403" s="117"/>
    </row>
    <row r="404" spans="1:18" ht="27" customHeight="1">
      <c r="A404" s="117">
        <v>399</v>
      </c>
      <c r="B404" s="117" t="s">
        <v>725</v>
      </c>
      <c r="C404" s="117" t="s">
        <v>739</v>
      </c>
      <c r="D404" s="117" t="s">
        <v>740</v>
      </c>
      <c r="E404" s="117" t="s">
        <v>11</v>
      </c>
      <c r="F404" s="117">
        <v>2975</v>
      </c>
      <c r="G404" s="117">
        <v>542</v>
      </c>
      <c r="H404" s="117">
        <v>542</v>
      </c>
      <c r="I404" s="117"/>
      <c r="J404" s="117"/>
      <c r="K404" s="117" t="s">
        <v>1935</v>
      </c>
      <c r="L404" s="117" t="s">
        <v>1260</v>
      </c>
      <c r="M404" s="117" t="s">
        <v>17</v>
      </c>
      <c r="N404" s="117" t="s">
        <v>18</v>
      </c>
      <c r="O404" s="117"/>
      <c r="P404" s="117"/>
      <c r="Q404" s="117"/>
      <c r="R404" s="117"/>
    </row>
    <row r="405" spans="1:18" ht="27" customHeight="1">
      <c r="A405" s="117">
        <v>400</v>
      </c>
      <c r="B405" s="117" t="s">
        <v>725</v>
      </c>
      <c r="C405" s="117" t="s">
        <v>739</v>
      </c>
      <c r="D405" s="117" t="s">
        <v>741</v>
      </c>
      <c r="E405" s="117" t="s">
        <v>6</v>
      </c>
      <c r="F405" s="117">
        <v>2975</v>
      </c>
      <c r="G405" s="117">
        <v>1496</v>
      </c>
      <c r="H405" s="117">
        <v>1496</v>
      </c>
      <c r="I405" s="117"/>
      <c r="J405" s="117"/>
      <c r="K405" s="117" t="s">
        <v>1935</v>
      </c>
      <c r="L405" s="117" t="s">
        <v>1260</v>
      </c>
      <c r="M405" s="117" t="s">
        <v>17</v>
      </c>
      <c r="N405" s="117" t="s">
        <v>18</v>
      </c>
      <c r="O405" s="117"/>
      <c r="P405" s="117"/>
      <c r="Q405" s="117"/>
      <c r="R405" s="117"/>
    </row>
    <row r="406" spans="1:18" ht="27" customHeight="1">
      <c r="A406" s="117">
        <v>401</v>
      </c>
      <c r="B406" s="117" t="s">
        <v>725</v>
      </c>
      <c r="C406" s="117" t="s">
        <v>739</v>
      </c>
      <c r="D406" s="117" t="s">
        <v>742</v>
      </c>
      <c r="E406" s="117" t="s">
        <v>23</v>
      </c>
      <c r="F406" s="117">
        <v>2975</v>
      </c>
      <c r="G406" s="117">
        <v>708</v>
      </c>
      <c r="H406" s="117">
        <v>708</v>
      </c>
      <c r="I406" s="117"/>
      <c r="J406" s="117"/>
      <c r="K406" s="117" t="s">
        <v>1935</v>
      </c>
      <c r="L406" s="117" t="s">
        <v>1260</v>
      </c>
      <c r="M406" s="117" t="s">
        <v>17</v>
      </c>
      <c r="N406" s="117" t="s">
        <v>18</v>
      </c>
      <c r="O406" s="117"/>
      <c r="P406" s="117"/>
      <c r="Q406" s="117"/>
      <c r="R406" s="117"/>
    </row>
    <row r="407" spans="1:18" ht="27" customHeight="1">
      <c r="A407" s="117">
        <v>402</v>
      </c>
      <c r="B407" s="117" t="s">
        <v>725</v>
      </c>
      <c r="C407" s="117" t="s">
        <v>743</v>
      </c>
      <c r="D407" s="117" t="s">
        <v>743</v>
      </c>
      <c r="E407" s="117" t="s">
        <v>11</v>
      </c>
      <c r="F407" s="117">
        <v>793</v>
      </c>
      <c r="G407" s="117">
        <v>793</v>
      </c>
      <c r="H407" s="117">
        <v>793</v>
      </c>
      <c r="I407" s="117"/>
      <c r="J407" s="117"/>
      <c r="K407" s="117" t="s">
        <v>2014</v>
      </c>
      <c r="L407" s="117" t="s">
        <v>1261</v>
      </c>
      <c r="M407" s="117" t="s">
        <v>17</v>
      </c>
      <c r="N407" s="117" t="s">
        <v>18</v>
      </c>
      <c r="O407" s="117"/>
      <c r="P407" s="117"/>
      <c r="Q407" s="117"/>
      <c r="R407" s="117"/>
    </row>
    <row r="408" spans="1:18" ht="27" customHeight="1">
      <c r="A408" s="117">
        <v>403</v>
      </c>
      <c r="B408" s="117" t="s">
        <v>725</v>
      </c>
      <c r="C408" s="117" t="s">
        <v>744</v>
      </c>
      <c r="D408" s="117" t="s">
        <v>745</v>
      </c>
      <c r="E408" s="117" t="s">
        <v>11</v>
      </c>
      <c r="F408" s="117">
        <v>8331</v>
      </c>
      <c r="G408" s="117">
        <v>1326</v>
      </c>
      <c r="H408" s="117">
        <v>1326</v>
      </c>
      <c r="I408" s="117"/>
      <c r="J408" s="117"/>
      <c r="K408" s="117" t="s">
        <v>1935</v>
      </c>
      <c r="L408" s="117" t="s">
        <v>1258</v>
      </c>
      <c r="M408" s="117" t="s">
        <v>17</v>
      </c>
      <c r="N408" s="117" t="s">
        <v>18</v>
      </c>
      <c r="O408" s="117"/>
      <c r="P408" s="117"/>
      <c r="Q408" s="117"/>
      <c r="R408" s="117"/>
    </row>
    <row r="409" spans="1:18" ht="27" customHeight="1">
      <c r="A409" s="117">
        <v>404</v>
      </c>
      <c r="B409" s="117" t="s">
        <v>725</v>
      </c>
      <c r="C409" s="117" t="s">
        <v>746</v>
      </c>
      <c r="D409" s="117" t="s">
        <v>747</v>
      </c>
      <c r="E409" s="117" t="s">
        <v>6</v>
      </c>
      <c r="F409" s="117">
        <v>3266</v>
      </c>
      <c r="G409" s="117">
        <v>1336</v>
      </c>
      <c r="H409" s="117">
        <v>1336</v>
      </c>
      <c r="I409" s="117"/>
      <c r="J409" s="117"/>
      <c r="K409" s="117" t="s">
        <v>2015</v>
      </c>
      <c r="L409" s="117" t="s">
        <v>1259</v>
      </c>
      <c r="M409" s="117" t="s">
        <v>17</v>
      </c>
      <c r="N409" s="117" t="s">
        <v>18</v>
      </c>
      <c r="O409" s="117"/>
      <c r="P409" s="117"/>
      <c r="Q409" s="117"/>
      <c r="R409" s="117"/>
    </row>
    <row r="410" spans="1:18" ht="27" customHeight="1">
      <c r="A410" s="117">
        <v>405</v>
      </c>
      <c r="B410" s="117" t="s">
        <v>725</v>
      </c>
      <c r="C410" s="117" t="s">
        <v>748</v>
      </c>
      <c r="D410" s="117" t="s">
        <v>749</v>
      </c>
      <c r="E410" s="117" t="s">
        <v>6</v>
      </c>
      <c r="F410" s="117">
        <v>1289</v>
      </c>
      <c r="G410" s="117">
        <v>427</v>
      </c>
      <c r="H410" s="117">
        <v>427</v>
      </c>
      <c r="I410" s="117"/>
      <c r="J410" s="117"/>
      <c r="K410" s="117" t="s">
        <v>2004</v>
      </c>
      <c r="L410" s="117" t="s">
        <v>1257</v>
      </c>
      <c r="M410" s="117" t="s">
        <v>17</v>
      </c>
      <c r="N410" s="117" t="s">
        <v>18</v>
      </c>
      <c r="O410" s="117"/>
      <c r="P410" s="117"/>
      <c r="Q410" s="117"/>
      <c r="R410" s="117"/>
    </row>
    <row r="411" spans="1:18" ht="27" customHeight="1">
      <c r="A411" s="117">
        <v>406</v>
      </c>
      <c r="B411" s="117" t="s">
        <v>725</v>
      </c>
      <c r="C411" s="117" t="s">
        <v>750</v>
      </c>
      <c r="D411" s="117" t="s">
        <v>751</v>
      </c>
      <c r="E411" s="117" t="s">
        <v>6</v>
      </c>
      <c r="F411" s="117">
        <v>2169</v>
      </c>
      <c r="G411" s="117">
        <v>110</v>
      </c>
      <c r="H411" s="117">
        <v>110</v>
      </c>
      <c r="I411" s="117"/>
      <c r="J411" s="117"/>
      <c r="K411" s="117" t="s">
        <v>1917</v>
      </c>
      <c r="L411" s="117" t="s">
        <v>752</v>
      </c>
      <c r="M411" s="117" t="s">
        <v>17</v>
      </c>
      <c r="N411" s="117" t="s">
        <v>18</v>
      </c>
      <c r="O411" s="117"/>
      <c r="P411" s="117"/>
      <c r="Q411" s="117"/>
      <c r="R411" s="117"/>
    </row>
    <row r="412" spans="1:18" ht="27" customHeight="1">
      <c r="A412" s="117">
        <v>407</v>
      </c>
      <c r="B412" s="117" t="s">
        <v>725</v>
      </c>
      <c r="C412" s="117" t="s">
        <v>753</v>
      </c>
      <c r="D412" s="117" t="s">
        <v>753</v>
      </c>
      <c r="E412" s="117" t="s">
        <v>6</v>
      </c>
      <c r="F412" s="117">
        <v>635</v>
      </c>
      <c r="G412" s="117">
        <v>635</v>
      </c>
      <c r="H412" s="117">
        <v>635</v>
      </c>
      <c r="I412" s="117"/>
      <c r="J412" s="117"/>
      <c r="K412" s="117" t="s">
        <v>18</v>
      </c>
      <c r="L412" s="117"/>
      <c r="M412" s="117" t="s">
        <v>17</v>
      </c>
      <c r="N412" s="117" t="s">
        <v>18</v>
      </c>
      <c r="O412" s="117"/>
      <c r="P412" s="117"/>
      <c r="Q412" s="117"/>
      <c r="R412" s="117"/>
    </row>
    <row r="413" spans="1:18" ht="27" customHeight="1">
      <c r="A413" s="117">
        <v>408</v>
      </c>
      <c r="B413" s="117" t="s">
        <v>725</v>
      </c>
      <c r="C413" s="117" t="s">
        <v>754</v>
      </c>
      <c r="D413" s="117" t="s">
        <v>755</v>
      </c>
      <c r="E413" s="117" t="s">
        <v>0</v>
      </c>
      <c r="F413" s="117">
        <v>1828</v>
      </c>
      <c r="G413" s="117">
        <v>1662</v>
      </c>
      <c r="H413" s="117">
        <v>1662</v>
      </c>
      <c r="I413" s="117"/>
      <c r="J413" s="117"/>
      <c r="K413" s="117" t="s">
        <v>18</v>
      </c>
      <c r="L413" s="117"/>
      <c r="M413" s="117" t="s">
        <v>17</v>
      </c>
      <c r="N413" s="117" t="s">
        <v>18</v>
      </c>
      <c r="O413" s="117"/>
      <c r="P413" s="117"/>
      <c r="Q413" s="117"/>
      <c r="R413" s="117"/>
    </row>
    <row r="414" spans="1:18" ht="27" customHeight="1">
      <c r="A414" s="117">
        <v>409</v>
      </c>
      <c r="B414" s="117" t="s">
        <v>725</v>
      </c>
      <c r="C414" s="117" t="s">
        <v>756</v>
      </c>
      <c r="D414" s="117" t="s">
        <v>757</v>
      </c>
      <c r="E414" s="117" t="s">
        <v>6</v>
      </c>
      <c r="F414" s="117">
        <v>1907</v>
      </c>
      <c r="G414" s="117">
        <v>1652</v>
      </c>
      <c r="H414" s="117">
        <v>1652</v>
      </c>
      <c r="I414" s="117"/>
      <c r="J414" s="117"/>
      <c r="K414" s="117" t="s">
        <v>2016</v>
      </c>
      <c r="L414" s="117" t="s">
        <v>758</v>
      </c>
      <c r="M414" s="117" t="s">
        <v>17</v>
      </c>
      <c r="N414" s="117" t="s">
        <v>18</v>
      </c>
      <c r="O414" s="117"/>
      <c r="P414" s="117"/>
      <c r="Q414" s="117"/>
      <c r="R414" s="117"/>
    </row>
    <row r="415" spans="1:18" ht="27" customHeight="1">
      <c r="A415" s="117">
        <v>410</v>
      </c>
      <c r="B415" s="117" t="s">
        <v>725</v>
      </c>
      <c r="C415" s="117" t="s">
        <v>1266</v>
      </c>
      <c r="D415" s="117" t="s">
        <v>1266</v>
      </c>
      <c r="E415" s="117" t="s">
        <v>6</v>
      </c>
      <c r="F415" s="117">
        <v>6</v>
      </c>
      <c r="G415" s="117"/>
      <c r="H415" s="117">
        <v>6</v>
      </c>
      <c r="I415" s="117"/>
      <c r="J415" s="117"/>
      <c r="K415" s="117" t="s">
        <v>2016</v>
      </c>
      <c r="L415" s="117" t="s">
        <v>758</v>
      </c>
      <c r="M415" s="117" t="s">
        <v>17</v>
      </c>
      <c r="N415" s="117" t="s">
        <v>18</v>
      </c>
      <c r="O415" s="117"/>
      <c r="P415" s="117"/>
      <c r="Q415" s="117"/>
      <c r="R415" s="117"/>
    </row>
    <row r="416" spans="1:18" ht="27" customHeight="1">
      <c r="A416" s="117">
        <v>411</v>
      </c>
      <c r="B416" s="117" t="s">
        <v>725</v>
      </c>
      <c r="C416" s="117" t="s">
        <v>759</v>
      </c>
      <c r="D416" s="117" t="s">
        <v>760</v>
      </c>
      <c r="E416" s="117" t="s">
        <v>23</v>
      </c>
      <c r="F416" s="117">
        <v>390</v>
      </c>
      <c r="G416" s="117">
        <v>27</v>
      </c>
      <c r="H416" s="117">
        <v>27</v>
      </c>
      <c r="I416" s="117"/>
      <c r="J416" s="117"/>
      <c r="K416" s="117" t="s">
        <v>2017</v>
      </c>
      <c r="L416" s="117" t="s">
        <v>761</v>
      </c>
      <c r="M416" s="117" t="s">
        <v>17</v>
      </c>
      <c r="N416" s="117" t="s">
        <v>18</v>
      </c>
      <c r="O416" s="117"/>
      <c r="P416" s="117"/>
      <c r="Q416" s="117"/>
      <c r="R416" s="117"/>
    </row>
    <row r="417" spans="1:18" ht="27" customHeight="1">
      <c r="A417" s="117">
        <v>412</v>
      </c>
      <c r="B417" s="117" t="s">
        <v>725</v>
      </c>
      <c r="C417" s="117" t="s">
        <v>762</v>
      </c>
      <c r="D417" s="117" t="s">
        <v>1421</v>
      </c>
      <c r="E417" s="117" t="s">
        <v>3</v>
      </c>
      <c r="F417" s="117">
        <v>5312</v>
      </c>
      <c r="G417" s="117">
        <v>857</v>
      </c>
      <c r="H417" s="117">
        <v>740</v>
      </c>
      <c r="I417" s="117"/>
      <c r="J417" s="117"/>
      <c r="K417" s="117" t="s">
        <v>17</v>
      </c>
      <c r="L417" s="117" t="s">
        <v>72</v>
      </c>
      <c r="M417" s="117" t="s">
        <v>17</v>
      </c>
      <c r="N417" s="117" t="s">
        <v>72</v>
      </c>
      <c r="O417" s="117"/>
      <c r="P417" s="117"/>
      <c r="Q417" s="117"/>
      <c r="R417" s="117"/>
    </row>
    <row r="418" spans="1:18" ht="27" customHeight="1">
      <c r="A418" s="117">
        <v>413</v>
      </c>
      <c r="B418" s="117" t="s">
        <v>725</v>
      </c>
      <c r="C418" s="117" t="s">
        <v>763</v>
      </c>
      <c r="D418" s="117" t="s">
        <v>764</v>
      </c>
      <c r="E418" s="117" t="s">
        <v>6</v>
      </c>
      <c r="F418" s="117">
        <v>2830</v>
      </c>
      <c r="G418" s="117">
        <v>2068</v>
      </c>
      <c r="H418" s="117">
        <v>2068</v>
      </c>
      <c r="I418" s="117"/>
      <c r="J418" s="117"/>
      <c r="K418" s="117" t="s">
        <v>2016</v>
      </c>
      <c r="L418" s="117" t="s">
        <v>758</v>
      </c>
      <c r="M418" s="117" t="s">
        <v>17</v>
      </c>
      <c r="N418" s="117" t="s">
        <v>18</v>
      </c>
      <c r="O418" s="117"/>
      <c r="P418" s="117"/>
      <c r="Q418" s="117"/>
      <c r="R418" s="117"/>
    </row>
    <row r="419" spans="1:18" ht="27" customHeight="1">
      <c r="A419" s="117">
        <v>414</v>
      </c>
      <c r="B419" s="117" t="s">
        <v>725</v>
      </c>
      <c r="C419" s="117" t="s">
        <v>765</v>
      </c>
      <c r="D419" s="117" t="s">
        <v>766</v>
      </c>
      <c r="E419" s="117" t="s">
        <v>11</v>
      </c>
      <c r="F419" s="117">
        <v>294</v>
      </c>
      <c r="G419" s="117">
        <v>139</v>
      </c>
      <c r="H419" s="117">
        <v>139</v>
      </c>
      <c r="I419" s="117"/>
      <c r="J419" s="117"/>
      <c r="K419" s="117" t="s">
        <v>2018</v>
      </c>
      <c r="L419" s="117" t="s">
        <v>767</v>
      </c>
      <c r="M419" s="117" t="s">
        <v>17</v>
      </c>
      <c r="N419" s="117" t="s">
        <v>18</v>
      </c>
      <c r="O419" s="117"/>
      <c r="P419" s="117"/>
      <c r="Q419" s="117"/>
      <c r="R419" s="117"/>
    </row>
    <row r="420" spans="1:18" ht="27" customHeight="1">
      <c r="A420" s="117">
        <v>415</v>
      </c>
      <c r="B420" s="117" t="s">
        <v>725</v>
      </c>
      <c r="C420" s="117" t="s">
        <v>768</v>
      </c>
      <c r="D420" s="117" t="s">
        <v>769</v>
      </c>
      <c r="E420" s="117" t="s">
        <v>3</v>
      </c>
      <c r="F420" s="117">
        <v>824</v>
      </c>
      <c r="G420" s="117">
        <v>380</v>
      </c>
      <c r="H420" s="117">
        <v>380</v>
      </c>
      <c r="I420" s="117"/>
      <c r="J420" s="117"/>
      <c r="K420" s="117" t="s">
        <v>17</v>
      </c>
      <c r="L420" s="117" t="s">
        <v>72</v>
      </c>
      <c r="M420" s="117" t="s">
        <v>17</v>
      </c>
      <c r="N420" s="117" t="s">
        <v>72</v>
      </c>
      <c r="O420" s="117"/>
      <c r="P420" s="117"/>
      <c r="Q420" s="117"/>
      <c r="R420" s="117"/>
    </row>
    <row r="421" spans="1:18" ht="27" customHeight="1">
      <c r="A421" s="117">
        <v>416</v>
      </c>
      <c r="B421" s="117" t="s">
        <v>725</v>
      </c>
      <c r="C421" s="117" t="s">
        <v>770</v>
      </c>
      <c r="D421" s="117" t="s">
        <v>771</v>
      </c>
      <c r="E421" s="117" t="s">
        <v>6</v>
      </c>
      <c r="F421" s="117">
        <v>1190</v>
      </c>
      <c r="G421" s="117">
        <v>665</v>
      </c>
      <c r="H421" s="117">
        <v>665</v>
      </c>
      <c r="I421" s="117"/>
      <c r="J421" s="117"/>
      <c r="K421" s="117" t="s">
        <v>2019</v>
      </c>
      <c r="L421" s="117" t="s">
        <v>1262</v>
      </c>
      <c r="M421" s="117" t="s">
        <v>17</v>
      </c>
      <c r="N421" s="117" t="s">
        <v>18</v>
      </c>
      <c r="O421" s="117"/>
      <c r="P421" s="117"/>
      <c r="Q421" s="117"/>
      <c r="R421" s="117"/>
    </row>
    <row r="422" spans="1:18" ht="27" customHeight="1">
      <c r="A422" s="117">
        <v>417</v>
      </c>
      <c r="B422" s="117" t="s">
        <v>725</v>
      </c>
      <c r="C422" s="117" t="s">
        <v>770</v>
      </c>
      <c r="D422" s="117" t="s">
        <v>772</v>
      </c>
      <c r="E422" s="117" t="s">
        <v>11</v>
      </c>
      <c r="F422" s="117">
        <v>1190</v>
      </c>
      <c r="G422" s="117">
        <v>266</v>
      </c>
      <c r="H422" s="117">
        <v>266</v>
      </c>
      <c r="I422" s="117"/>
      <c r="J422" s="117"/>
      <c r="K422" s="117" t="s">
        <v>2019</v>
      </c>
      <c r="L422" s="117" t="s">
        <v>1262</v>
      </c>
      <c r="M422" s="117" t="s">
        <v>17</v>
      </c>
      <c r="N422" s="117" t="s">
        <v>18</v>
      </c>
      <c r="O422" s="117"/>
      <c r="P422" s="117"/>
      <c r="Q422" s="117"/>
      <c r="R422" s="117"/>
    </row>
    <row r="423" spans="1:18" ht="27" customHeight="1">
      <c r="A423" s="117">
        <v>418</v>
      </c>
      <c r="B423" s="117" t="s">
        <v>725</v>
      </c>
      <c r="C423" s="117" t="s">
        <v>773</v>
      </c>
      <c r="D423" s="117" t="s">
        <v>774</v>
      </c>
      <c r="E423" s="117" t="s">
        <v>11</v>
      </c>
      <c r="F423" s="117">
        <v>4860</v>
      </c>
      <c r="G423" s="117">
        <v>2728</v>
      </c>
      <c r="H423" s="117">
        <v>2728</v>
      </c>
      <c r="I423" s="117"/>
      <c r="J423" s="117"/>
      <c r="K423" s="117" t="s">
        <v>2020</v>
      </c>
      <c r="L423" s="117" t="s">
        <v>1264</v>
      </c>
      <c r="M423" s="117" t="s">
        <v>17</v>
      </c>
      <c r="N423" s="117" t="s">
        <v>18</v>
      </c>
      <c r="O423" s="117"/>
      <c r="P423" s="117"/>
      <c r="Q423" s="117"/>
      <c r="R423" s="117"/>
    </row>
    <row r="424" spans="1:18" ht="27" customHeight="1">
      <c r="A424" s="117">
        <v>419</v>
      </c>
      <c r="B424" s="117" t="s">
        <v>725</v>
      </c>
      <c r="C424" s="117" t="s">
        <v>776</v>
      </c>
      <c r="D424" s="117" t="s">
        <v>777</v>
      </c>
      <c r="E424" s="117" t="s">
        <v>6</v>
      </c>
      <c r="F424" s="117">
        <v>131</v>
      </c>
      <c r="G424" s="117">
        <v>71</v>
      </c>
      <c r="H424" s="117">
        <v>71</v>
      </c>
      <c r="I424" s="117"/>
      <c r="J424" s="117"/>
      <c r="K424" s="117" t="s">
        <v>2020</v>
      </c>
      <c r="L424" s="117" t="s">
        <v>775</v>
      </c>
      <c r="M424" s="117" t="s">
        <v>17</v>
      </c>
      <c r="N424" s="117" t="s">
        <v>18</v>
      </c>
      <c r="O424" s="117"/>
      <c r="P424" s="117"/>
      <c r="Q424" s="117"/>
      <c r="R424" s="117"/>
    </row>
    <row r="425" spans="1:18" ht="27" customHeight="1">
      <c r="A425" s="117">
        <v>420</v>
      </c>
      <c r="B425" s="117" t="s">
        <v>725</v>
      </c>
      <c r="C425" s="117" t="s">
        <v>778</v>
      </c>
      <c r="D425" s="117" t="s">
        <v>779</v>
      </c>
      <c r="E425" s="117" t="s">
        <v>6</v>
      </c>
      <c r="F425" s="117">
        <v>1705</v>
      </c>
      <c r="G425" s="117">
        <v>142</v>
      </c>
      <c r="H425" s="117">
        <v>142</v>
      </c>
      <c r="I425" s="117"/>
      <c r="J425" s="117"/>
      <c r="K425" s="117" t="s">
        <v>2020</v>
      </c>
      <c r="L425" s="117" t="s">
        <v>780</v>
      </c>
      <c r="M425" s="117" t="s">
        <v>17</v>
      </c>
      <c r="N425" s="117" t="s">
        <v>18</v>
      </c>
      <c r="O425" s="117"/>
      <c r="P425" s="117"/>
      <c r="Q425" s="117"/>
      <c r="R425" s="117"/>
    </row>
    <row r="426" spans="1:18" ht="27" customHeight="1">
      <c r="A426" s="117">
        <v>421</v>
      </c>
      <c r="B426" s="117" t="s">
        <v>725</v>
      </c>
      <c r="C426" s="117" t="s">
        <v>781</v>
      </c>
      <c r="D426" s="117" t="s">
        <v>782</v>
      </c>
      <c r="E426" s="117" t="s">
        <v>6</v>
      </c>
      <c r="F426" s="117">
        <v>347</v>
      </c>
      <c r="G426" s="117">
        <v>343</v>
      </c>
      <c r="H426" s="117">
        <v>343</v>
      </c>
      <c r="I426" s="117"/>
      <c r="J426" s="117"/>
      <c r="K426" s="117" t="s">
        <v>2020</v>
      </c>
      <c r="L426" s="117" t="s">
        <v>775</v>
      </c>
      <c r="M426" s="117" t="s">
        <v>17</v>
      </c>
      <c r="N426" s="117" t="s">
        <v>18</v>
      </c>
      <c r="O426" s="117"/>
      <c r="P426" s="117"/>
      <c r="Q426" s="117"/>
      <c r="R426" s="117"/>
    </row>
    <row r="427" spans="1:18" ht="27" customHeight="1">
      <c r="A427" s="117">
        <v>422</v>
      </c>
      <c r="B427" s="117" t="s">
        <v>725</v>
      </c>
      <c r="C427" s="117" t="s">
        <v>783</v>
      </c>
      <c r="D427" s="117" t="s">
        <v>784</v>
      </c>
      <c r="E427" s="117" t="s">
        <v>6</v>
      </c>
      <c r="F427" s="117">
        <v>985</v>
      </c>
      <c r="G427" s="117">
        <v>721</v>
      </c>
      <c r="H427" s="117">
        <v>721</v>
      </c>
      <c r="I427" s="117"/>
      <c r="J427" s="117"/>
      <c r="K427" s="117" t="s">
        <v>18</v>
      </c>
      <c r="L427" s="117"/>
      <c r="M427" s="117" t="s">
        <v>17</v>
      </c>
      <c r="N427" s="117" t="s">
        <v>18</v>
      </c>
      <c r="O427" s="117"/>
      <c r="P427" s="117"/>
      <c r="Q427" s="117"/>
      <c r="R427" s="117"/>
    </row>
    <row r="428" spans="1:18" ht="27" customHeight="1">
      <c r="A428" s="117">
        <v>423</v>
      </c>
      <c r="B428" s="117" t="s">
        <v>725</v>
      </c>
      <c r="C428" s="117" t="s">
        <v>785</v>
      </c>
      <c r="D428" s="117" t="s">
        <v>786</v>
      </c>
      <c r="E428" s="117" t="s">
        <v>6</v>
      </c>
      <c r="F428" s="117">
        <v>1008</v>
      </c>
      <c r="G428" s="117">
        <v>568</v>
      </c>
      <c r="H428" s="117">
        <v>568</v>
      </c>
      <c r="I428" s="117"/>
      <c r="J428" s="117"/>
      <c r="K428" s="117" t="s">
        <v>18</v>
      </c>
      <c r="L428" s="117"/>
      <c r="M428" s="117" t="s">
        <v>17</v>
      </c>
      <c r="N428" s="117" t="s">
        <v>18</v>
      </c>
      <c r="O428" s="117"/>
      <c r="P428" s="117"/>
      <c r="Q428" s="117"/>
      <c r="R428" s="117"/>
    </row>
    <row r="429" spans="1:18" ht="27" customHeight="1">
      <c r="A429" s="117">
        <v>424</v>
      </c>
      <c r="B429" s="117" t="s">
        <v>725</v>
      </c>
      <c r="C429" s="117" t="s">
        <v>787</v>
      </c>
      <c r="D429" s="117" t="s">
        <v>788</v>
      </c>
      <c r="E429" s="117" t="s">
        <v>6</v>
      </c>
      <c r="F429" s="117">
        <v>506</v>
      </c>
      <c r="G429" s="117">
        <v>120</v>
      </c>
      <c r="H429" s="117">
        <v>120</v>
      </c>
      <c r="I429" s="117"/>
      <c r="J429" s="117"/>
      <c r="K429" s="117" t="s">
        <v>18</v>
      </c>
      <c r="L429" s="117"/>
      <c r="M429" s="117" t="s">
        <v>17</v>
      </c>
      <c r="N429" s="117" t="s">
        <v>18</v>
      </c>
      <c r="O429" s="117"/>
      <c r="P429" s="117"/>
      <c r="Q429" s="117"/>
      <c r="R429" s="117"/>
    </row>
    <row r="430" spans="1:18" ht="27" customHeight="1">
      <c r="A430" s="117">
        <v>425</v>
      </c>
      <c r="B430" s="117" t="s">
        <v>725</v>
      </c>
      <c r="C430" s="117" t="s">
        <v>789</v>
      </c>
      <c r="D430" s="117" t="s">
        <v>790</v>
      </c>
      <c r="E430" s="117" t="s">
        <v>6</v>
      </c>
      <c r="F430" s="117">
        <v>466</v>
      </c>
      <c r="G430" s="117">
        <v>60</v>
      </c>
      <c r="H430" s="117">
        <v>60</v>
      </c>
      <c r="I430" s="117"/>
      <c r="J430" s="117"/>
      <c r="K430" s="117" t="s">
        <v>18</v>
      </c>
      <c r="L430" s="117"/>
      <c r="M430" s="117" t="s">
        <v>17</v>
      </c>
      <c r="N430" s="117" t="s">
        <v>18</v>
      </c>
      <c r="O430" s="117"/>
      <c r="P430" s="117"/>
      <c r="Q430" s="117"/>
      <c r="R430" s="117"/>
    </row>
    <row r="431" spans="1:18" ht="27" customHeight="1">
      <c r="A431" s="117">
        <v>426</v>
      </c>
      <c r="B431" s="117" t="s">
        <v>725</v>
      </c>
      <c r="C431" s="117" t="s">
        <v>791</v>
      </c>
      <c r="D431" s="117" t="s">
        <v>792</v>
      </c>
      <c r="E431" s="117" t="s">
        <v>0</v>
      </c>
      <c r="F431" s="117">
        <v>456</v>
      </c>
      <c r="G431" s="117">
        <v>206</v>
      </c>
      <c r="H431" s="117">
        <v>206</v>
      </c>
      <c r="I431" s="117"/>
      <c r="J431" s="117"/>
      <c r="K431" s="117" t="s">
        <v>18</v>
      </c>
      <c r="L431" s="117"/>
      <c r="M431" s="117" t="s">
        <v>17</v>
      </c>
      <c r="N431" s="117" t="s">
        <v>18</v>
      </c>
      <c r="O431" s="117"/>
      <c r="P431" s="117"/>
      <c r="Q431" s="117"/>
      <c r="R431" s="117"/>
    </row>
    <row r="432" spans="1:18" ht="27" customHeight="1">
      <c r="A432" s="117">
        <v>427</v>
      </c>
      <c r="B432" s="117" t="s">
        <v>725</v>
      </c>
      <c r="C432" s="117" t="s">
        <v>793</v>
      </c>
      <c r="D432" s="117" t="s">
        <v>793</v>
      </c>
      <c r="E432" s="117" t="s">
        <v>6</v>
      </c>
      <c r="F432" s="117">
        <v>162</v>
      </c>
      <c r="G432" s="117">
        <v>162</v>
      </c>
      <c r="H432" s="117">
        <v>162</v>
      </c>
      <c r="I432" s="117"/>
      <c r="J432" s="117"/>
      <c r="K432" s="117" t="s">
        <v>1985</v>
      </c>
      <c r="L432" s="117" t="s">
        <v>794</v>
      </c>
      <c r="M432" s="117" t="s">
        <v>17</v>
      </c>
      <c r="N432" s="117" t="s">
        <v>18</v>
      </c>
      <c r="O432" s="117"/>
      <c r="P432" s="117"/>
      <c r="Q432" s="117"/>
      <c r="R432" s="117"/>
    </row>
    <row r="433" spans="1:18" ht="27" customHeight="1">
      <c r="A433" s="117">
        <v>428</v>
      </c>
      <c r="B433" s="117" t="s">
        <v>725</v>
      </c>
      <c r="C433" s="117" t="s">
        <v>795</v>
      </c>
      <c r="D433" s="117" t="s">
        <v>796</v>
      </c>
      <c r="E433" s="117" t="s">
        <v>0</v>
      </c>
      <c r="F433" s="117">
        <v>1504</v>
      </c>
      <c r="G433" s="117">
        <v>1079</v>
      </c>
      <c r="H433" s="117">
        <v>1079</v>
      </c>
      <c r="I433" s="117"/>
      <c r="J433" s="117"/>
      <c r="K433" s="117" t="s">
        <v>1985</v>
      </c>
      <c r="L433" s="117" t="s">
        <v>794</v>
      </c>
      <c r="M433" s="117" t="s">
        <v>17</v>
      </c>
      <c r="N433" s="117" t="s">
        <v>18</v>
      </c>
      <c r="O433" s="117"/>
      <c r="P433" s="117"/>
      <c r="Q433" s="117"/>
      <c r="R433" s="117"/>
    </row>
    <row r="434" spans="1:18" ht="27" customHeight="1">
      <c r="A434" s="117">
        <v>429</v>
      </c>
      <c r="B434" s="117" t="s">
        <v>725</v>
      </c>
      <c r="C434" s="117" t="s">
        <v>797</v>
      </c>
      <c r="D434" s="117" t="s">
        <v>798</v>
      </c>
      <c r="E434" s="117" t="s">
        <v>0</v>
      </c>
      <c r="F434" s="117">
        <v>774</v>
      </c>
      <c r="G434" s="117">
        <v>4</v>
      </c>
      <c r="H434" s="117">
        <v>4</v>
      </c>
      <c r="I434" s="117"/>
      <c r="J434" s="117"/>
      <c r="K434" s="117" t="s">
        <v>2016</v>
      </c>
      <c r="L434" s="117" t="s">
        <v>758</v>
      </c>
      <c r="M434" s="117" t="s">
        <v>17</v>
      </c>
      <c r="N434" s="117" t="s">
        <v>18</v>
      </c>
      <c r="O434" s="117"/>
      <c r="P434" s="117"/>
      <c r="Q434" s="117"/>
      <c r="R434" s="117"/>
    </row>
    <row r="435" spans="1:18" ht="27" customHeight="1">
      <c r="A435" s="117">
        <v>430</v>
      </c>
      <c r="B435" s="117" t="s">
        <v>725</v>
      </c>
      <c r="C435" s="117" t="s">
        <v>799</v>
      </c>
      <c r="D435" s="117" t="s">
        <v>800</v>
      </c>
      <c r="E435" s="117" t="s">
        <v>6</v>
      </c>
      <c r="F435" s="117">
        <v>288</v>
      </c>
      <c r="G435" s="117">
        <v>64</v>
      </c>
      <c r="H435" s="117">
        <v>64</v>
      </c>
      <c r="I435" s="117"/>
      <c r="J435" s="117"/>
      <c r="K435" s="117" t="s">
        <v>2016</v>
      </c>
      <c r="L435" s="117" t="s">
        <v>758</v>
      </c>
      <c r="M435" s="117" t="s">
        <v>17</v>
      </c>
      <c r="N435" s="117" t="s">
        <v>18</v>
      </c>
      <c r="O435" s="117"/>
      <c r="P435" s="117"/>
      <c r="Q435" s="117"/>
      <c r="R435" s="117"/>
    </row>
    <row r="436" spans="1:18" ht="27" customHeight="1">
      <c r="A436" s="117">
        <v>431</v>
      </c>
      <c r="B436" s="117" t="s">
        <v>725</v>
      </c>
      <c r="C436" s="117" t="s">
        <v>801</v>
      </c>
      <c r="D436" s="117" t="s">
        <v>801</v>
      </c>
      <c r="E436" s="117" t="s">
        <v>6</v>
      </c>
      <c r="F436" s="117">
        <v>175</v>
      </c>
      <c r="G436" s="117">
        <v>175</v>
      </c>
      <c r="H436" s="117">
        <v>175</v>
      </c>
      <c r="I436" s="117"/>
      <c r="J436" s="117"/>
      <c r="K436" s="117" t="s">
        <v>2016</v>
      </c>
      <c r="L436" s="117" t="s">
        <v>758</v>
      </c>
      <c r="M436" s="117" t="s">
        <v>17</v>
      </c>
      <c r="N436" s="117" t="s">
        <v>18</v>
      </c>
      <c r="O436" s="117"/>
      <c r="P436" s="117"/>
      <c r="Q436" s="117"/>
      <c r="R436" s="117"/>
    </row>
    <row r="437" spans="1:18" ht="27" customHeight="1">
      <c r="A437" s="117">
        <v>432</v>
      </c>
      <c r="B437" s="117" t="s">
        <v>725</v>
      </c>
      <c r="C437" s="117" t="s">
        <v>1273</v>
      </c>
      <c r="D437" s="117" t="s">
        <v>1274</v>
      </c>
      <c r="E437" s="117" t="s">
        <v>11</v>
      </c>
      <c r="F437" s="117">
        <v>2182</v>
      </c>
      <c r="G437" s="117">
        <v>193</v>
      </c>
      <c r="H437" s="117">
        <v>608</v>
      </c>
      <c r="I437" s="117"/>
      <c r="J437" s="117"/>
      <c r="K437" s="117" t="s">
        <v>2021</v>
      </c>
      <c r="L437" s="117" t="s">
        <v>1275</v>
      </c>
      <c r="M437" s="117" t="s">
        <v>17</v>
      </c>
      <c r="N437" s="117" t="s">
        <v>18</v>
      </c>
      <c r="O437" s="117"/>
      <c r="P437" s="117"/>
      <c r="Q437" s="117"/>
      <c r="R437" s="117"/>
    </row>
    <row r="438" spans="1:18" ht="27" customHeight="1">
      <c r="A438" s="117">
        <v>433</v>
      </c>
      <c r="B438" s="117" t="s">
        <v>725</v>
      </c>
      <c r="C438" s="117" t="s">
        <v>1276</v>
      </c>
      <c r="D438" s="117" t="s">
        <v>1277</v>
      </c>
      <c r="E438" s="117" t="s">
        <v>11</v>
      </c>
      <c r="F438" s="117">
        <v>4901</v>
      </c>
      <c r="G438" s="117"/>
      <c r="H438" s="117">
        <v>9</v>
      </c>
      <c r="I438" s="117"/>
      <c r="J438" s="117"/>
      <c r="K438" s="117" t="s">
        <v>1981</v>
      </c>
      <c r="L438" s="117" t="s">
        <v>1244</v>
      </c>
      <c r="M438" s="117" t="s">
        <v>17</v>
      </c>
      <c r="N438" s="117" t="s">
        <v>18</v>
      </c>
      <c r="O438" s="117"/>
      <c r="P438" s="117"/>
      <c r="Q438" s="117"/>
      <c r="R438" s="117" t="s">
        <v>1337</v>
      </c>
    </row>
    <row r="439" spans="1:18" ht="27" customHeight="1">
      <c r="A439" s="117">
        <v>434</v>
      </c>
      <c r="B439" s="117" t="s">
        <v>725</v>
      </c>
      <c r="C439" s="117" t="s">
        <v>1276</v>
      </c>
      <c r="D439" s="117" t="s">
        <v>1422</v>
      </c>
      <c r="E439" s="117" t="s">
        <v>11</v>
      </c>
      <c r="F439" s="117">
        <v>4901</v>
      </c>
      <c r="G439" s="117">
        <v>4283</v>
      </c>
      <c r="H439" s="117">
        <v>3343</v>
      </c>
      <c r="I439" s="117"/>
      <c r="J439" s="117"/>
      <c r="K439" s="117" t="s">
        <v>1981</v>
      </c>
      <c r="L439" s="117" t="s">
        <v>1244</v>
      </c>
      <c r="M439" s="117" t="s">
        <v>17</v>
      </c>
      <c r="N439" s="117" t="s">
        <v>18</v>
      </c>
      <c r="O439" s="117"/>
      <c r="P439" s="117"/>
      <c r="Q439" s="117"/>
      <c r="R439" s="117"/>
    </row>
    <row r="440" spans="1:18" ht="27" customHeight="1">
      <c r="A440" s="117">
        <v>435</v>
      </c>
      <c r="B440" s="117" t="s">
        <v>725</v>
      </c>
      <c r="C440" s="117" t="s">
        <v>802</v>
      </c>
      <c r="D440" s="117" t="s">
        <v>1423</v>
      </c>
      <c r="E440" s="117" t="s">
        <v>6</v>
      </c>
      <c r="F440" s="117">
        <v>1260</v>
      </c>
      <c r="G440" s="117">
        <v>871</v>
      </c>
      <c r="H440" s="117">
        <v>924</v>
      </c>
      <c r="I440" s="117"/>
      <c r="J440" s="117"/>
      <c r="K440" s="117" t="s">
        <v>1981</v>
      </c>
      <c r="L440" s="117" t="s">
        <v>1244</v>
      </c>
      <c r="M440" s="117" t="s">
        <v>17</v>
      </c>
      <c r="N440" s="117" t="s">
        <v>18</v>
      </c>
      <c r="O440" s="117"/>
      <c r="P440" s="117"/>
      <c r="Q440" s="117"/>
      <c r="R440" s="117"/>
    </row>
    <row r="441" spans="1:18" ht="27" customHeight="1">
      <c r="A441" s="117">
        <v>436</v>
      </c>
      <c r="B441" s="117" t="s">
        <v>725</v>
      </c>
      <c r="C441" s="117" t="s">
        <v>803</v>
      </c>
      <c r="D441" s="117" t="s">
        <v>803</v>
      </c>
      <c r="E441" s="117" t="s">
        <v>6</v>
      </c>
      <c r="F441" s="117">
        <v>625</v>
      </c>
      <c r="G441" s="117">
        <v>625</v>
      </c>
      <c r="H441" s="117">
        <v>625</v>
      </c>
      <c r="I441" s="117"/>
      <c r="J441" s="117"/>
      <c r="K441" s="117" t="s">
        <v>2022</v>
      </c>
      <c r="L441" s="117" t="s">
        <v>804</v>
      </c>
      <c r="M441" s="117" t="s">
        <v>17</v>
      </c>
      <c r="N441" s="117" t="s">
        <v>18</v>
      </c>
      <c r="O441" s="117"/>
      <c r="P441" s="117"/>
      <c r="Q441" s="117"/>
      <c r="R441" s="117"/>
    </row>
    <row r="442" spans="1:18" ht="27" customHeight="1">
      <c r="A442" s="117">
        <v>437</v>
      </c>
      <c r="B442" s="117" t="s">
        <v>725</v>
      </c>
      <c r="C442" s="117" t="s">
        <v>1278</v>
      </c>
      <c r="D442" s="117" t="s">
        <v>1279</v>
      </c>
      <c r="E442" s="117" t="s">
        <v>2</v>
      </c>
      <c r="F442" s="117">
        <v>970</v>
      </c>
      <c r="G442" s="117">
        <v>104</v>
      </c>
      <c r="H442" s="117">
        <v>124</v>
      </c>
      <c r="I442" s="117"/>
      <c r="J442" s="117"/>
      <c r="K442" s="117" t="s">
        <v>17</v>
      </c>
      <c r="L442" s="117" t="s">
        <v>72</v>
      </c>
      <c r="M442" s="117" t="s">
        <v>17</v>
      </c>
      <c r="N442" s="117" t="s">
        <v>72</v>
      </c>
      <c r="O442" s="117"/>
      <c r="P442" s="117"/>
      <c r="Q442" s="117"/>
      <c r="R442" s="117"/>
    </row>
    <row r="443" spans="1:18" ht="27" customHeight="1">
      <c r="A443" s="117">
        <v>438</v>
      </c>
      <c r="B443" s="117" t="s">
        <v>725</v>
      </c>
      <c r="C443" s="117" t="s">
        <v>805</v>
      </c>
      <c r="D443" s="117" t="s">
        <v>805</v>
      </c>
      <c r="E443" s="117" t="s">
        <v>0</v>
      </c>
      <c r="F443" s="117">
        <v>2661</v>
      </c>
      <c r="G443" s="117">
        <v>2661</v>
      </c>
      <c r="H443" s="117">
        <v>2661</v>
      </c>
      <c r="I443" s="117"/>
      <c r="J443" s="117"/>
      <c r="K443" s="117" t="s">
        <v>18</v>
      </c>
      <c r="L443" s="117"/>
      <c r="M443" s="117" t="s">
        <v>17</v>
      </c>
      <c r="N443" s="117" t="s">
        <v>18</v>
      </c>
      <c r="O443" s="117"/>
      <c r="P443" s="117"/>
      <c r="Q443" s="117"/>
      <c r="R443" s="117"/>
    </row>
    <row r="444" spans="1:18" ht="27" customHeight="1">
      <c r="A444" s="117">
        <v>439</v>
      </c>
      <c r="B444" s="117" t="s">
        <v>725</v>
      </c>
      <c r="C444" s="117" t="s">
        <v>806</v>
      </c>
      <c r="D444" s="117" t="s">
        <v>807</v>
      </c>
      <c r="E444" s="117" t="s">
        <v>0</v>
      </c>
      <c r="F444" s="117">
        <v>2483</v>
      </c>
      <c r="G444" s="117">
        <v>1395</v>
      </c>
      <c r="H444" s="117">
        <v>1395</v>
      </c>
      <c r="I444" s="117"/>
      <c r="J444" s="117"/>
      <c r="K444" s="117" t="s">
        <v>18</v>
      </c>
      <c r="L444" s="117"/>
      <c r="M444" s="117" t="s">
        <v>17</v>
      </c>
      <c r="N444" s="117" t="s">
        <v>18</v>
      </c>
      <c r="O444" s="117"/>
      <c r="P444" s="117"/>
      <c r="Q444" s="117"/>
      <c r="R444" s="117"/>
    </row>
    <row r="445" spans="1:18" ht="27" customHeight="1">
      <c r="A445" s="117">
        <v>440</v>
      </c>
      <c r="B445" s="117" t="s">
        <v>725</v>
      </c>
      <c r="C445" s="117" t="s">
        <v>319</v>
      </c>
      <c r="D445" s="117" t="s">
        <v>808</v>
      </c>
      <c r="E445" s="117" t="s">
        <v>0</v>
      </c>
      <c r="F445" s="117">
        <v>886</v>
      </c>
      <c r="G445" s="117">
        <v>540</v>
      </c>
      <c r="H445" s="117">
        <v>540</v>
      </c>
      <c r="I445" s="117"/>
      <c r="J445" s="117"/>
      <c r="K445" s="117" t="s">
        <v>18</v>
      </c>
      <c r="L445" s="117"/>
      <c r="M445" s="117" t="s">
        <v>17</v>
      </c>
      <c r="N445" s="117" t="s">
        <v>18</v>
      </c>
      <c r="O445" s="117"/>
      <c r="P445" s="117"/>
      <c r="Q445" s="117"/>
      <c r="R445" s="117"/>
    </row>
    <row r="446" spans="1:18" ht="27" customHeight="1">
      <c r="A446" s="117">
        <v>441</v>
      </c>
      <c r="B446" s="117" t="s">
        <v>725</v>
      </c>
      <c r="C446" s="117" t="s">
        <v>301</v>
      </c>
      <c r="D446" s="117" t="s">
        <v>809</v>
      </c>
      <c r="E446" s="117" t="s">
        <v>0</v>
      </c>
      <c r="F446" s="117">
        <v>3531</v>
      </c>
      <c r="G446" s="117">
        <v>59</v>
      </c>
      <c r="H446" s="117">
        <v>59</v>
      </c>
      <c r="I446" s="117"/>
      <c r="J446" s="117"/>
      <c r="K446" s="117" t="s">
        <v>2023</v>
      </c>
      <c r="L446" s="117" t="s">
        <v>810</v>
      </c>
      <c r="M446" s="117" t="s">
        <v>17</v>
      </c>
      <c r="N446" s="117" t="s">
        <v>18</v>
      </c>
      <c r="O446" s="117"/>
      <c r="P446" s="117"/>
      <c r="Q446" s="117"/>
      <c r="R446" s="117"/>
    </row>
    <row r="447" spans="1:18" ht="27" customHeight="1">
      <c r="A447" s="117">
        <v>442</v>
      </c>
      <c r="B447" s="117" t="s">
        <v>725</v>
      </c>
      <c r="C447" s="117" t="s">
        <v>322</v>
      </c>
      <c r="D447" s="117" t="s">
        <v>811</v>
      </c>
      <c r="E447" s="117" t="s">
        <v>3</v>
      </c>
      <c r="F447" s="117">
        <v>387</v>
      </c>
      <c r="G447" s="117">
        <v>262</v>
      </c>
      <c r="H447" s="117">
        <v>262</v>
      </c>
      <c r="I447" s="117"/>
      <c r="J447" s="117"/>
      <c r="K447" s="117" t="s">
        <v>205</v>
      </c>
      <c r="L447" s="117"/>
      <c r="M447" s="117" t="s">
        <v>17</v>
      </c>
      <c r="N447" s="117" t="s">
        <v>205</v>
      </c>
      <c r="O447" s="117"/>
      <c r="P447" s="117"/>
      <c r="Q447" s="117"/>
      <c r="R447" s="117"/>
    </row>
    <row r="448" spans="1:18" ht="27" customHeight="1">
      <c r="A448" s="117">
        <v>443</v>
      </c>
      <c r="B448" s="117" t="s">
        <v>725</v>
      </c>
      <c r="C448" s="117" t="s">
        <v>812</v>
      </c>
      <c r="D448" s="117" t="s">
        <v>812</v>
      </c>
      <c r="E448" s="117" t="s">
        <v>23</v>
      </c>
      <c r="F448" s="117">
        <v>182</v>
      </c>
      <c r="G448" s="117">
        <v>182</v>
      </c>
      <c r="H448" s="117">
        <v>182</v>
      </c>
      <c r="I448" s="117"/>
      <c r="J448" s="117"/>
      <c r="K448" s="117" t="s">
        <v>18</v>
      </c>
      <c r="L448" s="117"/>
      <c r="M448" s="117" t="s">
        <v>17</v>
      </c>
      <c r="N448" s="117" t="s">
        <v>18</v>
      </c>
      <c r="O448" s="117"/>
      <c r="P448" s="117"/>
      <c r="Q448" s="117"/>
      <c r="R448" s="117"/>
    </row>
    <row r="449" spans="1:18" ht="27" customHeight="1">
      <c r="A449" s="117">
        <v>444</v>
      </c>
      <c r="B449" s="117" t="s">
        <v>725</v>
      </c>
      <c r="C449" s="117" t="s">
        <v>813</v>
      </c>
      <c r="D449" s="117" t="s">
        <v>814</v>
      </c>
      <c r="E449" s="117" t="s">
        <v>0</v>
      </c>
      <c r="F449" s="117">
        <v>172</v>
      </c>
      <c r="G449" s="117">
        <v>3</v>
      </c>
      <c r="H449" s="117">
        <v>3</v>
      </c>
      <c r="I449" s="117"/>
      <c r="J449" s="117"/>
      <c r="K449" s="117" t="s">
        <v>2023</v>
      </c>
      <c r="L449" s="117" t="s">
        <v>815</v>
      </c>
      <c r="M449" s="117" t="s">
        <v>17</v>
      </c>
      <c r="N449" s="117" t="s">
        <v>18</v>
      </c>
      <c r="O449" s="117"/>
      <c r="P449" s="117"/>
      <c r="Q449" s="117"/>
      <c r="R449" s="117"/>
    </row>
    <row r="450" spans="1:18" ht="27" customHeight="1">
      <c r="A450" s="117">
        <v>445</v>
      </c>
      <c r="B450" s="117" t="s">
        <v>725</v>
      </c>
      <c r="C450" s="117" t="s">
        <v>816</v>
      </c>
      <c r="D450" s="117" t="s">
        <v>817</v>
      </c>
      <c r="E450" s="117" t="s">
        <v>6</v>
      </c>
      <c r="F450" s="117">
        <v>965</v>
      </c>
      <c r="G450" s="117">
        <v>711</v>
      </c>
      <c r="H450" s="117">
        <v>711</v>
      </c>
      <c r="I450" s="117"/>
      <c r="J450" s="117"/>
      <c r="K450" s="117" t="s">
        <v>2024</v>
      </c>
      <c r="L450" s="117" t="s">
        <v>818</v>
      </c>
      <c r="M450" s="117" t="s">
        <v>17</v>
      </c>
      <c r="N450" s="117" t="s">
        <v>18</v>
      </c>
      <c r="O450" s="117"/>
      <c r="P450" s="117"/>
      <c r="Q450" s="117"/>
      <c r="R450" s="117"/>
    </row>
    <row r="451" spans="1:18" ht="27" customHeight="1">
      <c r="A451" s="117">
        <v>446</v>
      </c>
      <c r="B451" s="117" t="s">
        <v>725</v>
      </c>
      <c r="C451" s="117" t="s">
        <v>819</v>
      </c>
      <c r="D451" s="117" t="s">
        <v>820</v>
      </c>
      <c r="E451" s="117" t="s">
        <v>11</v>
      </c>
      <c r="F451" s="117">
        <v>8901</v>
      </c>
      <c r="G451" s="117">
        <v>3973</v>
      </c>
      <c r="H451" s="117">
        <v>3973</v>
      </c>
      <c r="I451" s="117"/>
      <c r="J451" s="117"/>
      <c r="K451" s="117" t="s">
        <v>2025</v>
      </c>
      <c r="L451" s="117" t="s">
        <v>821</v>
      </c>
      <c r="M451" s="117" t="s">
        <v>17</v>
      </c>
      <c r="N451" s="117" t="s">
        <v>18</v>
      </c>
      <c r="O451" s="117"/>
      <c r="P451" s="117"/>
      <c r="Q451" s="117"/>
      <c r="R451" s="117"/>
    </row>
    <row r="452" spans="1:18" ht="27" customHeight="1">
      <c r="A452" s="117">
        <v>447</v>
      </c>
      <c r="B452" s="117" t="s">
        <v>725</v>
      </c>
      <c r="C452" s="117" t="s">
        <v>822</v>
      </c>
      <c r="D452" s="117" t="s">
        <v>823</v>
      </c>
      <c r="E452" s="117" t="s">
        <v>6</v>
      </c>
      <c r="F452" s="117">
        <v>3967</v>
      </c>
      <c r="G452" s="117">
        <v>574</v>
      </c>
      <c r="H452" s="117">
        <v>574</v>
      </c>
      <c r="I452" s="117"/>
      <c r="J452" s="117"/>
      <c r="K452" s="117" t="s">
        <v>18</v>
      </c>
      <c r="L452" s="117"/>
      <c r="M452" s="117" t="s">
        <v>17</v>
      </c>
      <c r="N452" s="117" t="s">
        <v>18</v>
      </c>
      <c r="O452" s="117"/>
      <c r="P452" s="117"/>
      <c r="Q452" s="117"/>
      <c r="R452" s="117"/>
    </row>
    <row r="453" spans="1:18" ht="27" customHeight="1">
      <c r="A453" s="117">
        <v>448</v>
      </c>
      <c r="B453" s="117" t="s">
        <v>725</v>
      </c>
      <c r="C453" s="117" t="s">
        <v>822</v>
      </c>
      <c r="D453" s="117" t="s">
        <v>824</v>
      </c>
      <c r="E453" s="117" t="s">
        <v>11</v>
      </c>
      <c r="F453" s="117">
        <v>3967</v>
      </c>
      <c r="G453" s="117">
        <v>1091</v>
      </c>
      <c r="H453" s="117">
        <v>1091</v>
      </c>
      <c r="I453" s="117"/>
      <c r="J453" s="117"/>
      <c r="K453" s="117" t="s">
        <v>18</v>
      </c>
      <c r="L453" s="117"/>
      <c r="M453" s="117" t="s">
        <v>17</v>
      </c>
      <c r="N453" s="117" t="s">
        <v>18</v>
      </c>
      <c r="O453" s="117"/>
      <c r="P453" s="117"/>
      <c r="Q453" s="117"/>
      <c r="R453" s="117"/>
    </row>
    <row r="454" spans="1:18" ht="27" customHeight="1">
      <c r="A454" s="117">
        <v>449</v>
      </c>
      <c r="B454" s="117" t="s">
        <v>725</v>
      </c>
      <c r="C454" s="117" t="s">
        <v>70</v>
      </c>
      <c r="D454" s="117" t="s">
        <v>825</v>
      </c>
      <c r="E454" s="117" t="s">
        <v>6</v>
      </c>
      <c r="F454" s="117">
        <v>8231</v>
      </c>
      <c r="G454" s="117">
        <v>1259</v>
      </c>
      <c r="H454" s="117">
        <v>1259</v>
      </c>
      <c r="I454" s="117"/>
      <c r="J454" s="117"/>
      <c r="K454" s="117" t="s">
        <v>18</v>
      </c>
      <c r="L454" s="117"/>
      <c r="M454" s="117" t="s">
        <v>17</v>
      </c>
      <c r="N454" s="117" t="s">
        <v>18</v>
      </c>
      <c r="O454" s="117"/>
      <c r="P454" s="117"/>
      <c r="Q454" s="117"/>
      <c r="R454" s="117"/>
    </row>
    <row r="455" spans="1:18" ht="27" customHeight="1">
      <c r="A455" s="117">
        <v>450</v>
      </c>
      <c r="B455" s="117" t="s">
        <v>725</v>
      </c>
      <c r="C455" s="117" t="s">
        <v>70</v>
      </c>
      <c r="D455" s="117" t="s">
        <v>826</v>
      </c>
      <c r="E455" s="117" t="s">
        <v>6</v>
      </c>
      <c r="F455" s="117">
        <v>8231</v>
      </c>
      <c r="G455" s="117">
        <v>911</v>
      </c>
      <c r="H455" s="117">
        <v>911</v>
      </c>
      <c r="I455" s="117"/>
      <c r="J455" s="117"/>
      <c r="K455" s="117" t="s">
        <v>18</v>
      </c>
      <c r="L455" s="117"/>
      <c r="M455" s="117" t="s">
        <v>17</v>
      </c>
      <c r="N455" s="117" t="s">
        <v>18</v>
      </c>
      <c r="O455" s="117"/>
      <c r="P455" s="117"/>
      <c r="Q455" s="117"/>
      <c r="R455" s="117"/>
    </row>
    <row r="456" spans="1:18" ht="27" customHeight="1">
      <c r="A456" s="117">
        <v>451</v>
      </c>
      <c r="B456" s="117" t="s">
        <v>725</v>
      </c>
      <c r="C456" s="117" t="s">
        <v>827</v>
      </c>
      <c r="D456" s="117" t="s">
        <v>828</v>
      </c>
      <c r="E456" s="117" t="s">
        <v>6</v>
      </c>
      <c r="F456" s="117">
        <v>1147</v>
      </c>
      <c r="G456" s="117">
        <v>99</v>
      </c>
      <c r="H456" s="117">
        <v>99</v>
      </c>
      <c r="I456" s="117"/>
      <c r="J456" s="117"/>
      <c r="K456" s="117" t="s">
        <v>2026</v>
      </c>
      <c r="L456" s="117" t="s">
        <v>829</v>
      </c>
      <c r="M456" s="117" t="s">
        <v>17</v>
      </c>
      <c r="N456" s="117" t="s">
        <v>18</v>
      </c>
      <c r="O456" s="117"/>
      <c r="P456" s="117"/>
      <c r="Q456" s="117"/>
      <c r="R456" s="117"/>
    </row>
    <row r="457" spans="1:18" ht="27" customHeight="1">
      <c r="A457" s="117">
        <v>452</v>
      </c>
      <c r="B457" s="117" t="s">
        <v>725</v>
      </c>
      <c r="C457" s="117" t="s">
        <v>81</v>
      </c>
      <c r="D457" s="117" t="s">
        <v>1280</v>
      </c>
      <c r="E457" s="117" t="s">
        <v>6</v>
      </c>
      <c r="F457" s="117">
        <v>18942</v>
      </c>
      <c r="G457" s="117">
        <v>1754</v>
      </c>
      <c r="H457" s="117">
        <v>1754</v>
      </c>
      <c r="I457" s="117"/>
      <c r="J457" s="117"/>
      <c r="K457" s="117" t="s">
        <v>2027</v>
      </c>
      <c r="L457" s="117" t="s">
        <v>830</v>
      </c>
      <c r="M457" s="117" t="s">
        <v>17</v>
      </c>
      <c r="N457" s="117" t="s">
        <v>18</v>
      </c>
      <c r="O457" s="117"/>
      <c r="P457" s="117"/>
      <c r="Q457" s="117"/>
      <c r="R457" s="117"/>
    </row>
    <row r="458" spans="1:18" ht="27" customHeight="1">
      <c r="A458" s="117">
        <v>453</v>
      </c>
      <c r="B458" s="117" t="s">
        <v>725</v>
      </c>
      <c r="C458" s="117" t="s">
        <v>81</v>
      </c>
      <c r="D458" s="117" t="s">
        <v>831</v>
      </c>
      <c r="E458" s="117" t="s">
        <v>11</v>
      </c>
      <c r="F458" s="117">
        <v>18942</v>
      </c>
      <c r="G458" s="117">
        <v>7470</v>
      </c>
      <c r="H458" s="117">
        <v>7470</v>
      </c>
      <c r="I458" s="117"/>
      <c r="J458" s="117"/>
      <c r="K458" s="117" t="s">
        <v>2027</v>
      </c>
      <c r="L458" s="117" t="s">
        <v>830</v>
      </c>
      <c r="M458" s="117" t="s">
        <v>17</v>
      </c>
      <c r="N458" s="117" t="s">
        <v>18</v>
      </c>
      <c r="O458" s="117"/>
      <c r="P458" s="117"/>
      <c r="Q458" s="117"/>
      <c r="R458" s="117"/>
    </row>
    <row r="459" spans="1:18" ht="27" customHeight="1">
      <c r="A459" s="117">
        <v>454</v>
      </c>
      <c r="B459" s="117" t="s">
        <v>725</v>
      </c>
      <c r="C459" s="117" t="s">
        <v>81</v>
      </c>
      <c r="D459" s="117" t="s">
        <v>832</v>
      </c>
      <c r="E459" s="117" t="s">
        <v>6</v>
      </c>
      <c r="F459" s="117">
        <v>18942</v>
      </c>
      <c r="G459" s="117">
        <v>919</v>
      </c>
      <c r="H459" s="117">
        <v>919</v>
      </c>
      <c r="I459" s="117"/>
      <c r="J459" s="117"/>
      <c r="K459" s="117" t="s">
        <v>2027</v>
      </c>
      <c r="L459" s="117" t="s">
        <v>830</v>
      </c>
      <c r="M459" s="117" t="s">
        <v>17</v>
      </c>
      <c r="N459" s="117" t="s">
        <v>18</v>
      </c>
      <c r="O459" s="117"/>
      <c r="P459" s="117"/>
      <c r="Q459" s="117"/>
      <c r="R459" s="117"/>
    </row>
    <row r="460" spans="1:18" ht="27" customHeight="1">
      <c r="A460" s="117">
        <v>455</v>
      </c>
      <c r="B460" s="117" t="s">
        <v>725</v>
      </c>
      <c r="C460" s="117" t="s">
        <v>833</v>
      </c>
      <c r="D460" s="117" t="s">
        <v>834</v>
      </c>
      <c r="E460" s="117" t="s">
        <v>6</v>
      </c>
      <c r="F460" s="117">
        <v>1550</v>
      </c>
      <c r="G460" s="117">
        <v>207</v>
      </c>
      <c r="H460" s="117">
        <v>207</v>
      </c>
      <c r="I460" s="117"/>
      <c r="J460" s="117"/>
      <c r="K460" s="117" t="s">
        <v>18</v>
      </c>
      <c r="L460" s="117"/>
      <c r="M460" s="117" t="s">
        <v>17</v>
      </c>
      <c r="N460" s="117" t="s">
        <v>18</v>
      </c>
      <c r="O460" s="117"/>
      <c r="P460" s="117"/>
      <c r="Q460" s="117"/>
      <c r="R460" s="117"/>
    </row>
    <row r="461" spans="1:18" ht="27" customHeight="1">
      <c r="A461" s="117">
        <v>456</v>
      </c>
      <c r="B461" s="117" t="s">
        <v>725</v>
      </c>
      <c r="C461" s="117" t="s">
        <v>835</v>
      </c>
      <c r="D461" s="117" t="s">
        <v>94</v>
      </c>
      <c r="E461" s="117" t="s">
        <v>6</v>
      </c>
      <c r="F461" s="117">
        <v>681</v>
      </c>
      <c r="G461" s="117">
        <v>642</v>
      </c>
      <c r="H461" s="117">
        <v>642</v>
      </c>
      <c r="I461" s="117"/>
      <c r="J461" s="117"/>
      <c r="K461" s="117" t="s">
        <v>18</v>
      </c>
      <c r="L461" s="117"/>
      <c r="M461" s="117" t="s">
        <v>17</v>
      </c>
      <c r="N461" s="117" t="s">
        <v>18</v>
      </c>
      <c r="O461" s="117"/>
      <c r="P461" s="117"/>
      <c r="Q461" s="117"/>
      <c r="R461" s="117"/>
    </row>
    <row r="462" spans="1:18" ht="27" customHeight="1">
      <c r="A462" s="117">
        <v>457</v>
      </c>
      <c r="B462" s="117" t="s">
        <v>725</v>
      </c>
      <c r="C462" s="117" t="s">
        <v>836</v>
      </c>
      <c r="D462" s="117" t="s">
        <v>98</v>
      </c>
      <c r="E462" s="117" t="s">
        <v>11</v>
      </c>
      <c r="F462" s="117">
        <v>9818</v>
      </c>
      <c r="G462" s="117">
        <v>2824</v>
      </c>
      <c r="H462" s="117">
        <v>2824</v>
      </c>
      <c r="I462" s="117"/>
      <c r="J462" s="117"/>
      <c r="K462" s="117" t="s">
        <v>2028</v>
      </c>
      <c r="L462" s="117" t="s">
        <v>837</v>
      </c>
      <c r="M462" s="117" t="s">
        <v>17</v>
      </c>
      <c r="N462" s="117" t="s">
        <v>18</v>
      </c>
      <c r="O462" s="117"/>
      <c r="P462" s="117"/>
      <c r="Q462" s="117"/>
      <c r="R462" s="117"/>
    </row>
    <row r="463" spans="1:18" ht="27" customHeight="1">
      <c r="A463" s="117">
        <v>458</v>
      </c>
      <c r="B463" s="117" t="s">
        <v>725</v>
      </c>
      <c r="C463" s="117" t="s">
        <v>838</v>
      </c>
      <c r="D463" s="117" t="s">
        <v>839</v>
      </c>
      <c r="E463" s="117" t="s">
        <v>6</v>
      </c>
      <c r="F463" s="117">
        <v>231</v>
      </c>
      <c r="G463" s="117">
        <v>191</v>
      </c>
      <c r="H463" s="117">
        <v>191</v>
      </c>
      <c r="I463" s="117"/>
      <c r="J463" s="117"/>
      <c r="K463" s="117" t="s">
        <v>18</v>
      </c>
      <c r="L463" s="117"/>
      <c r="M463" s="117" t="s">
        <v>17</v>
      </c>
      <c r="N463" s="117" t="s">
        <v>18</v>
      </c>
      <c r="O463" s="117"/>
      <c r="P463" s="117"/>
      <c r="Q463" s="117"/>
      <c r="R463" s="117"/>
    </row>
    <row r="464" spans="1:18" ht="27" customHeight="1">
      <c r="A464" s="117">
        <v>459</v>
      </c>
      <c r="B464" s="117" t="s">
        <v>725</v>
      </c>
      <c r="C464" s="117" t="s">
        <v>840</v>
      </c>
      <c r="D464" s="117" t="s">
        <v>841</v>
      </c>
      <c r="E464" s="117" t="s">
        <v>6</v>
      </c>
      <c r="F464" s="117">
        <v>684</v>
      </c>
      <c r="G464" s="117">
        <v>98</v>
      </c>
      <c r="H464" s="117">
        <v>98</v>
      </c>
      <c r="I464" s="117"/>
      <c r="J464" s="117"/>
      <c r="K464" s="117" t="s">
        <v>18</v>
      </c>
      <c r="L464" s="117"/>
      <c r="M464" s="117" t="s">
        <v>17</v>
      </c>
      <c r="N464" s="117" t="s">
        <v>18</v>
      </c>
      <c r="O464" s="117"/>
      <c r="P464" s="117"/>
      <c r="Q464" s="117"/>
      <c r="R464" s="117"/>
    </row>
    <row r="465" spans="1:18" ht="27" customHeight="1">
      <c r="A465" s="117">
        <v>460</v>
      </c>
      <c r="B465" s="117" t="s">
        <v>725</v>
      </c>
      <c r="C465" s="117" t="s">
        <v>842</v>
      </c>
      <c r="D465" s="117" t="s">
        <v>842</v>
      </c>
      <c r="E465" s="117" t="s">
        <v>6</v>
      </c>
      <c r="F465" s="117">
        <v>536</v>
      </c>
      <c r="G465" s="117">
        <v>536</v>
      </c>
      <c r="H465" s="117">
        <v>536</v>
      </c>
      <c r="I465" s="117"/>
      <c r="J465" s="117"/>
      <c r="K465" s="117" t="s">
        <v>18</v>
      </c>
      <c r="L465" s="117"/>
      <c r="M465" s="117" t="s">
        <v>17</v>
      </c>
      <c r="N465" s="117" t="s">
        <v>18</v>
      </c>
      <c r="O465" s="117"/>
      <c r="P465" s="117"/>
      <c r="Q465" s="117"/>
      <c r="R465" s="117"/>
    </row>
    <row r="466" spans="1:18" ht="27" customHeight="1">
      <c r="A466" s="117">
        <v>461</v>
      </c>
      <c r="B466" s="117" t="s">
        <v>725</v>
      </c>
      <c r="C466" s="117" t="s">
        <v>843</v>
      </c>
      <c r="D466" s="117" t="s">
        <v>844</v>
      </c>
      <c r="E466" s="117" t="s">
        <v>0</v>
      </c>
      <c r="F466" s="117">
        <v>2727</v>
      </c>
      <c r="G466" s="117">
        <v>138</v>
      </c>
      <c r="H466" s="117">
        <v>138</v>
      </c>
      <c r="I466" s="117"/>
      <c r="J466" s="117"/>
      <c r="K466" s="117" t="s">
        <v>18</v>
      </c>
      <c r="L466" s="117"/>
      <c r="M466" s="117" t="s">
        <v>17</v>
      </c>
      <c r="N466" s="117" t="s">
        <v>18</v>
      </c>
      <c r="O466" s="117"/>
      <c r="P466" s="117"/>
      <c r="Q466" s="117"/>
      <c r="R466" s="117"/>
    </row>
    <row r="467" spans="1:18" ht="27" customHeight="1">
      <c r="A467" s="117">
        <v>462</v>
      </c>
      <c r="B467" s="117" t="s">
        <v>725</v>
      </c>
      <c r="C467" s="117" t="s">
        <v>845</v>
      </c>
      <c r="D467" s="117" t="s">
        <v>846</v>
      </c>
      <c r="E467" s="117" t="s">
        <v>0</v>
      </c>
      <c r="F467" s="117">
        <v>3114</v>
      </c>
      <c r="G467" s="117">
        <v>240</v>
      </c>
      <c r="H467" s="117">
        <v>240</v>
      </c>
      <c r="I467" s="117"/>
      <c r="J467" s="117"/>
      <c r="K467" s="117" t="s">
        <v>18</v>
      </c>
      <c r="L467" s="117"/>
      <c r="M467" s="117" t="s">
        <v>17</v>
      </c>
      <c r="N467" s="117" t="s">
        <v>18</v>
      </c>
      <c r="O467" s="117"/>
      <c r="P467" s="117"/>
      <c r="Q467" s="117"/>
      <c r="R467" s="117"/>
    </row>
    <row r="468" spans="1:18" ht="27" customHeight="1">
      <c r="A468" s="117">
        <v>463</v>
      </c>
      <c r="B468" s="117" t="s">
        <v>725</v>
      </c>
      <c r="C468" s="117" t="s">
        <v>845</v>
      </c>
      <c r="D468" s="117" t="s">
        <v>847</v>
      </c>
      <c r="E468" s="117" t="s">
        <v>0</v>
      </c>
      <c r="F468" s="117">
        <v>3114</v>
      </c>
      <c r="G468" s="117">
        <v>54</v>
      </c>
      <c r="H468" s="117">
        <v>54</v>
      </c>
      <c r="I468" s="117"/>
      <c r="J468" s="117"/>
      <c r="K468" s="117" t="s">
        <v>18</v>
      </c>
      <c r="L468" s="117"/>
      <c r="M468" s="117" t="s">
        <v>17</v>
      </c>
      <c r="N468" s="117" t="s">
        <v>18</v>
      </c>
      <c r="O468" s="117"/>
      <c r="P468" s="117"/>
      <c r="Q468" s="117"/>
      <c r="R468" s="117"/>
    </row>
    <row r="469" spans="1:18" ht="27" customHeight="1">
      <c r="A469" s="117">
        <v>464</v>
      </c>
      <c r="B469" s="117" t="s">
        <v>725</v>
      </c>
      <c r="C469" s="117" t="s">
        <v>848</v>
      </c>
      <c r="D469" s="117" t="s">
        <v>848</v>
      </c>
      <c r="E469" s="117" t="s">
        <v>0</v>
      </c>
      <c r="F469" s="117">
        <v>1170</v>
      </c>
      <c r="G469" s="117">
        <v>1170</v>
      </c>
      <c r="H469" s="117">
        <v>1170</v>
      </c>
      <c r="I469" s="117"/>
      <c r="J469" s="117"/>
      <c r="K469" s="117" t="s">
        <v>18</v>
      </c>
      <c r="L469" s="117"/>
      <c r="M469" s="117" t="s">
        <v>17</v>
      </c>
      <c r="N469" s="117" t="s">
        <v>18</v>
      </c>
      <c r="O469" s="117"/>
      <c r="P469" s="117"/>
      <c r="Q469" s="117"/>
      <c r="R469" s="117"/>
    </row>
    <row r="470" spans="1:18" ht="27" customHeight="1">
      <c r="A470" s="117">
        <v>465</v>
      </c>
      <c r="B470" s="117" t="s">
        <v>725</v>
      </c>
      <c r="C470" s="117" t="s">
        <v>849</v>
      </c>
      <c r="D470" s="117" t="s">
        <v>850</v>
      </c>
      <c r="E470" s="117" t="s">
        <v>0</v>
      </c>
      <c r="F470" s="117">
        <v>53</v>
      </c>
      <c r="G470" s="117">
        <v>7</v>
      </c>
      <c r="H470" s="117">
        <v>7</v>
      </c>
      <c r="I470" s="117"/>
      <c r="J470" s="117"/>
      <c r="K470" s="117" t="s">
        <v>18</v>
      </c>
      <c r="L470" s="117"/>
      <c r="M470" s="117" t="s">
        <v>17</v>
      </c>
      <c r="N470" s="117" t="s">
        <v>18</v>
      </c>
      <c r="O470" s="117"/>
      <c r="P470" s="117"/>
      <c r="Q470" s="117"/>
      <c r="R470" s="117"/>
    </row>
    <row r="471" spans="1:18" ht="27" customHeight="1">
      <c r="A471" s="117">
        <v>466</v>
      </c>
      <c r="B471" s="117" t="s">
        <v>725</v>
      </c>
      <c r="C471" s="117" t="s">
        <v>851</v>
      </c>
      <c r="D471" s="117" t="s">
        <v>852</v>
      </c>
      <c r="E471" s="117" t="s">
        <v>0</v>
      </c>
      <c r="F471" s="117">
        <v>271</v>
      </c>
      <c r="G471" s="117">
        <v>143</v>
      </c>
      <c r="H471" s="117">
        <v>143</v>
      </c>
      <c r="I471" s="117"/>
      <c r="J471" s="117"/>
      <c r="K471" s="117" t="s">
        <v>18</v>
      </c>
      <c r="L471" s="117"/>
      <c r="M471" s="117" t="s">
        <v>17</v>
      </c>
      <c r="N471" s="117" t="s">
        <v>18</v>
      </c>
      <c r="O471" s="117"/>
      <c r="P471" s="117"/>
      <c r="Q471" s="117"/>
      <c r="R471" s="117"/>
    </row>
    <row r="472" spans="1:18" ht="27" customHeight="1">
      <c r="A472" s="117">
        <v>467</v>
      </c>
      <c r="B472" s="117" t="s">
        <v>725</v>
      </c>
      <c r="C472" s="117" t="s">
        <v>853</v>
      </c>
      <c r="D472" s="117" t="s">
        <v>853</v>
      </c>
      <c r="E472" s="117" t="s">
        <v>3</v>
      </c>
      <c r="F472" s="117">
        <v>26</v>
      </c>
      <c r="G472" s="117">
        <v>26</v>
      </c>
      <c r="H472" s="117">
        <v>26</v>
      </c>
      <c r="I472" s="117"/>
      <c r="J472" s="117"/>
      <c r="K472" s="117" t="s">
        <v>205</v>
      </c>
      <c r="L472" s="117"/>
      <c r="M472" s="117" t="s">
        <v>17</v>
      </c>
      <c r="N472" s="117" t="s">
        <v>205</v>
      </c>
      <c r="O472" s="117"/>
      <c r="P472" s="117"/>
      <c r="Q472" s="117"/>
      <c r="R472" s="117"/>
    </row>
    <row r="473" spans="1:18" ht="27" customHeight="1">
      <c r="A473" s="117">
        <v>468</v>
      </c>
      <c r="B473" s="117" t="s">
        <v>725</v>
      </c>
      <c r="C473" s="117" t="s">
        <v>854</v>
      </c>
      <c r="D473" s="117" t="s">
        <v>855</v>
      </c>
      <c r="E473" s="117" t="s">
        <v>3</v>
      </c>
      <c r="F473" s="117">
        <v>456</v>
      </c>
      <c r="G473" s="117">
        <v>263</v>
      </c>
      <c r="H473" s="117">
        <v>263</v>
      </c>
      <c r="I473" s="117"/>
      <c r="J473" s="117"/>
      <c r="K473" s="117" t="s">
        <v>205</v>
      </c>
      <c r="L473" s="117"/>
      <c r="M473" s="117" t="s">
        <v>17</v>
      </c>
      <c r="N473" s="117" t="s">
        <v>205</v>
      </c>
      <c r="O473" s="117"/>
      <c r="P473" s="117"/>
      <c r="Q473" s="117"/>
      <c r="R473" s="117"/>
    </row>
    <row r="474" spans="1:18" ht="27" customHeight="1">
      <c r="A474" s="117">
        <v>469</v>
      </c>
      <c r="B474" s="117" t="s">
        <v>725</v>
      </c>
      <c r="C474" s="117" t="s">
        <v>856</v>
      </c>
      <c r="D474" s="117" t="s">
        <v>856</v>
      </c>
      <c r="E474" s="117" t="s">
        <v>3</v>
      </c>
      <c r="F474" s="117">
        <v>20</v>
      </c>
      <c r="G474" s="117">
        <v>20</v>
      </c>
      <c r="H474" s="117">
        <v>20</v>
      </c>
      <c r="I474" s="117"/>
      <c r="J474" s="117"/>
      <c r="K474" s="117" t="s">
        <v>205</v>
      </c>
      <c r="L474" s="117"/>
      <c r="M474" s="117" t="s">
        <v>17</v>
      </c>
      <c r="N474" s="117" t="s">
        <v>205</v>
      </c>
      <c r="O474" s="117"/>
      <c r="P474" s="117"/>
      <c r="Q474" s="117"/>
      <c r="R474" s="117"/>
    </row>
    <row r="475" spans="1:18" ht="27" customHeight="1">
      <c r="A475" s="117">
        <v>470</v>
      </c>
      <c r="B475" s="117" t="s">
        <v>725</v>
      </c>
      <c r="C475" s="117" t="s">
        <v>857</v>
      </c>
      <c r="D475" s="117" t="s">
        <v>858</v>
      </c>
      <c r="E475" s="117" t="s">
        <v>0</v>
      </c>
      <c r="F475" s="117">
        <v>1597</v>
      </c>
      <c r="G475" s="117">
        <v>1443</v>
      </c>
      <c r="H475" s="117">
        <v>1443</v>
      </c>
      <c r="I475" s="117"/>
      <c r="J475" s="117"/>
      <c r="K475" s="117" t="s">
        <v>18</v>
      </c>
      <c r="L475" s="117"/>
      <c r="M475" s="117" t="s">
        <v>17</v>
      </c>
      <c r="N475" s="117" t="s">
        <v>18</v>
      </c>
      <c r="O475" s="117"/>
      <c r="P475" s="117"/>
      <c r="Q475" s="117"/>
      <c r="R475" s="117"/>
    </row>
    <row r="476" spans="1:18" ht="27" customHeight="1">
      <c r="A476" s="117">
        <v>471</v>
      </c>
      <c r="B476" s="117" t="s">
        <v>725</v>
      </c>
      <c r="C476" s="117" t="s">
        <v>859</v>
      </c>
      <c r="D476" s="117" t="s">
        <v>859</v>
      </c>
      <c r="E476" s="117" t="s">
        <v>23</v>
      </c>
      <c r="F476" s="117">
        <v>466</v>
      </c>
      <c r="G476" s="117">
        <v>466</v>
      </c>
      <c r="H476" s="117">
        <v>466</v>
      </c>
      <c r="I476" s="117"/>
      <c r="J476" s="117"/>
      <c r="K476" s="117" t="s">
        <v>18</v>
      </c>
      <c r="L476" s="117"/>
      <c r="M476" s="117" t="s">
        <v>17</v>
      </c>
      <c r="N476" s="117" t="s">
        <v>18</v>
      </c>
      <c r="O476" s="117"/>
      <c r="P476" s="117"/>
      <c r="Q476" s="117"/>
      <c r="R476" s="117"/>
    </row>
    <row r="477" spans="1:18" ht="27" customHeight="1">
      <c r="A477" s="117">
        <v>472</v>
      </c>
      <c r="B477" s="117" t="s">
        <v>725</v>
      </c>
      <c r="C477" s="117" t="s">
        <v>860</v>
      </c>
      <c r="D477" s="117" t="s">
        <v>861</v>
      </c>
      <c r="E477" s="117" t="s">
        <v>11</v>
      </c>
      <c r="F477" s="117">
        <v>1909</v>
      </c>
      <c r="G477" s="117">
        <v>1612</v>
      </c>
      <c r="H477" s="117">
        <v>1612</v>
      </c>
      <c r="I477" s="117"/>
      <c r="J477" s="117"/>
      <c r="K477" s="117" t="s">
        <v>2029</v>
      </c>
      <c r="L477" s="117" t="s">
        <v>862</v>
      </c>
      <c r="M477" s="117" t="s">
        <v>17</v>
      </c>
      <c r="N477" s="117" t="s">
        <v>18</v>
      </c>
      <c r="O477" s="117"/>
      <c r="P477" s="117"/>
      <c r="Q477" s="117"/>
      <c r="R477" s="117"/>
    </row>
    <row r="478" spans="1:18" ht="27" customHeight="1">
      <c r="A478" s="117">
        <v>473</v>
      </c>
      <c r="B478" s="117" t="s">
        <v>725</v>
      </c>
      <c r="C478" s="117" t="s">
        <v>863</v>
      </c>
      <c r="D478" s="117" t="s">
        <v>864</v>
      </c>
      <c r="E478" s="117" t="s">
        <v>11</v>
      </c>
      <c r="F478" s="117">
        <v>1661</v>
      </c>
      <c r="G478" s="117">
        <v>10</v>
      </c>
      <c r="H478" s="117">
        <v>10</v>
      </c>
      <c r="I478" s="117"/>
      <c r="J478" s="117"/>
      <c r="K478" s="117" t="s">
        <v>2027</v>
      </c>
      <c r="L478" s="117" t="s">
        <v>865</v>
      </c>
      <c r="M478" s="117" t="s">
        <v>17</v>
      </c>
      <c r="N478" s="117" t="s">
        <v>18</v>
      </c>
      <c r="O478" s="117"/>
      <c r="P478" s="117"/>
      <c r="Q478" s="117"/>
      <c r="R478" s="117"/>
    </row>
    <row r="479" spans="1:18" ht="27" customHeight="1">
      <c r="A479" s="117">
        <v>474</v>
      </c>
      <c r="B479" s="117" t="s">
        <v>1426</v>
      </c>
      <c r="C479" s="117" t="s">
        <v>866</v>
      </c>
      <c r="D479" s="117" t="s">
        <v>867</v>
      </c>
      <c r="E479" s="117" t="s">
        <v>11</v>
      </c>
      <c r="F479" s="117">
        <v>1653</v>
      </c>
      <c r="G479" s="117">
        <v>1625</v>
      </c>
      <c r="H479" s="117">
        <v>1625</v>
      </c>
      <c r="I479" s="117"/>
      <c r="J479" s="117"/>
      <c r="K479" s="117" t="s">
        <v>18</v>
      </c>
      <c r="L479" s="117"/>
      <c r="M479" s="117" t="s">
        <v>17</v>
      </c>
      <c r="N479" s="117" t="s">
        <v>18</v>
      </c>
      <c r="O479" s="117"/>
      <c r="P479" s="117"/>
      <c r="Q479" s="117"/>
      <c r="R479" s="117"/>
    </row>
    <row r="480" spans="1:18" ht="27" customHeight="1">
      <c r="A480" s="117">
        <v>475</v>
      </c>
      <c r="B480" s="117" t="s">
        <v>1426</v>
      </c>
      <c r="C480" s="117" t="s">
        <v>868</v>
      </c>
      <c r="D480" s="117" t="s">
        <v>869</v>
      </c>
      <c r="E480" s="117" t="s">
        <v>11</v>
      </c>
      <c r="F480" s="117">
        <v>1653</v>
      </c>
      <c r="G480" s="117">
        <v>783</v>
      </c>
      <c r="H480" s="117">
        <v>783</v>
      </c>
      <c r="I480" s="117"/>
      <c r="J480" s="117"/>
      <c r="K480" s="117" t="s">
        <v>2030</v>
      </c>
      <c r="L480" s="117" t="s">
        <v>1427</v>
      </c>
      <c r="M480" s="117" t="s">
        <v>17</v>
      </c>
      <c r="N480" s="117" t="s">
        <v>18</v>
      </c>
      <c r="O480" s="117"/>
      <c r="P480" s="117"/>
      <c r="Q480" s="117"/>
      <c r="R480" s="117"/>
    </row>
    <row r="481" spans="1:18" ht="27" customHeight="1">
      <c r="A481" s="117">
        <v>476</v>
      </c>
      <c r="B481" s="117" t="s">
        <v>1426</v>
      </c>
      <c r="C481" s="117" t="s">
        <v>870</v>
      </c>
      <c r="D481" s="117" t="s">
        <v>871</v>
      </c>
      <c r="E481" s="117" t="s">
        <v>11</v>
      </c>
      <c r="F481" s="117">
        <v>5421</v>
      </c>
      <c r="G481" s="117">
        <v>1920</v>
      </c>
      <c r="H481" s="117">
        <v>1920</v>
      </c>
      <c r="I481" s="117"/>
      <c r="J481" s="117"/>
      <c r="K481" s="117" t="s">
        <v>2031</v>
      </c>
      <c r="L481" s="117" t="s">
        <v>1428</v>
      </c>
      <c r="M481" s="117" t="s">
        <v>17</v>
      </c>
      <c r="N481" s="117" t="s">
        <v>18</v>
      </c>
      <c r="O481" s="117"/>
      <c r="P481" s="117"/>
      <c r="Q481" s="117"/>
      <c r="R481" s="117"/>
    </row>
    <row r="482" spans="1:18" ht="27" customHeight="1">
      <c r="A482" s="117">
        <v>477</v>
      </c>
      <c r="B482" s="117" t="s">
        <v>1426</v>
      </c>
      <c r="C482" s="117" t="s">
        <v>304</v>
      </c>
      <c r="D482" s="117" t="s">
        <v>872</v>
      </c>
      <c r="E482" s="117" t="s">
        <v>6</v>
      </c>
      <c r="F482" s="117">
        <v>1061</v>
      </c>
      <c r="G482" s="117">
        <v>993</v>
      </c>
      <c r="H482" s="117">
        <v>993</v>
      </c>
      <c r="I482" s="117"/>
      <c r="J482" s="117"/>
      <c r="K482" s="117" t="s">
        <v>2032</v>
      </c>
      <c r="L482" s="117" t="s">
        <v>1429</v>
      </c>
      <c r="M482" s="117" t="s">
        <v>17</v>
      </c>
      <c r="N482" s="117" t="s">
        <v>18</v>
      </c>
      <c r="O482" s="117"/>
      <c r="P482" s="117"/>
      <c r="Q482" s="117"/>
      <c r="R482" s="117"/>
    </row>
    <row r="483" spans="1:18" ht="27" customHeight="1">
      <c r="A483" s="117">
        <v>478</v>
      </c>
      <c r="B483" s="117" t="s">
        <v>1426</v>
      </c>
      <c r="C483" s="117" t="s">
        <v>301</v>
      </c>
      <c r="D483" s="117" t="s">
        <v>873</v>
      </c>
      <c r="E483" s="117" t="s">
        <v>6</v>
      </c>
      <c r="F483" s="117">
        <v>202</v>
      </c>
      <c r="G483" s="117">
        <v>125</v>
      </c>
      <c r="H483" s="117">
        <v>125</v>
      </c>
      <c r="I483" s="117"/>
      <c r="J483" s="117"/>
      <c r="K483" s="117" t="s">
        <v>2020</v>
      </c>
      <c r="L483" s="117" t="s">
        <v>1430</v>
      </c>
      <c r="M483" s="117" t="s">
        <v>17</v>
      </c>
      <c r="N483" s="117" t="s">
        <v>18</v>
      </c>
      <c r="O483" s="117"/>
      <c r="P483" s="117"/>
      <c r="Q483" s="117"/>
      <c r="R483" s="117"/>
    </row>
    <row r="484" spans="1:18" ht="27" customHeight="1">
      <c r="A484" s="117">
        <v>479</v>
      </c>
      <c r="B484" s="117" t="s">
        <v>1426</v>
      </c>
      <c r="C484" s="117" t="s">
        <v>874</v>
      </c>
      <c r="D484" s="117" t="s">
        <v>875</v>
      </c>
      <c r="E484" s="117" t="s">
        <v>11</v>
      </c>
      <c r="F484" s="117">
        <v>12284</v>
      </c>
      <c r="G484" s="117">
        <v>2555</v>
      </c>
      <c r="H484" s="117">
        <v>2555</v>
      </c>
      <c r="I484" s="117"/>
      <c r="J484" s="117"/>
      <c r="K484" s="117" t="s">
        <v>18</v>
      </c>
      <c r="L484" s="117"/>
      <c r="M484" s="117" t="s">
        <v>17</v>
      </c>
      <c r="N484" s="117" t="s">
        <v>18</v>
      </c>
      <c r="O484" s="117"/>
      <c r="P484" s="117"/>
      <c r="Q484" s="117"/>
      <c r="R484" s="117"/>
    </row>
    <row r="485" spans="1:18" ht="27" customHeight="1">
      <c r="A485" s="117">
        <v>480</v>
      </c>
      <c r="B485" s="117" t="s">
        <v>1426</v>
      </c>
      <c r="C485" s="117" t="s">
        <v>874</v>
      </c>
      <c r="D485" s="117" t="s">
        <v>876</v>
      </c>
      <c r="E485" s="117" t="s">
        <v>11</v>
      </c>
      <c r="F485" s="117">
        <v>12284</v>
      </c>
      <c r="G485" s="117">
        <v>48</v>
      </c>
      <c r="H485" s="117">
        <v>48</v>
      </c>
      <c r="I485" s="117"/>
      <c r="J485" s="117"/>
      <c r="K485" s="117" t="s">
        <v>18</v>
      </c>
      <c r="L485" s="117"/>
      <c r="M485" s="117" t="s">
        <v>17</v>
      </c>
      <c r="N485" s="117" t="s">
        <v>18</v>
      </c>
      <c r="O485" s="117"/>
      <c r="P485" s="117"/>
      <c r="Q485" s="117"/>
      <c r="R485" s="117"/>
    </row>
    <row r="486" spans="1:18" ht="27" customHeight="1">
      <c r="A486" s="117">
        <v>481</v>
      </c>
      <c r="B486" s="117" t="s">
        <v>1426</v>
      </c>
      <c r="C486" s="117" t="s">
        <v>877</v>
      </c>
      <c r="D486" s="117" t="s">
        <v>878</v>
      </c>
      <c r="E486" s="117" t="s">
        <v>11</v>
      </c>
      <c r="F486" s="117">
        <v>2083</v>
      </c>
      <c r="G486" s="117">
        <v>22</v>
      </c>
      <c r="H486" s="117">
        <v>22</v>
      </c>
      <c r="I486" s="117"/>
      <c r="J486" s="117"/>
      <c r="K486" s="117" t="s">
        <v>18</v>
      </c>
      <c r="L486" s="117"/>
      <c r="M486" s="117" t="s">
        <v>17</v>
      </c>
      <c r="N486" s="117" t="s">
        <v>18</v>
      </c>
      <c r="O486" s="117"/>
      <c r="P486" s="117"/>
      <c r="Q486" s="117"/>
      <c r="R486" s="117"/>
    </row>
    <row r="487" spans="1:18" ht="27" customHeight="1">
      <c r="A487" s="117">
        <v>482</v>
      </c>
      <c r="B487" s="117" t="s">
        <v>1426</v>
      </c>
      <c r="C487" s="117" t="s">
        <v>879</v>
      </c>
      <c r="D487" s="117" t="s">
        <v>880</v>
      </c>
      <c r="E487" s="117" t="s">
        <v>11</v>
      </c>
      <c r="F487" s="117">
        <v>595</v>
      </c>
      <c r="G487" s="117">
        <v>552</v>
      </c>
      <c r="H487" s="117">
        <v>552</v>
      </c>
      <c r="I487" s="117"/>
      <c r="J487" s="117"/>
      <c r="K487" s="117" t="s">
        <v>18</v>
      </c>
      <c r="L487" s="117"/>
      <c r="M487" s="117" t="s">
        <v>17</v>
      </c>
      <c r="N487" s="117" t="s">
        <v>18</v>
      </c>
      <c r="O487" s="117"/>
      <c r="P487" s="117"/>
      <c r="Q487" s="117"/>
      <c r="R487" s="117"/>
    </row>
    <row r="488" spans="1:18" ht="27" customHeight="1">
      <c r="A488" s="117">
        <v>483</v>
      </c>
      <c r="B488" s="117" t="s">
        <v>1426</v>
      </c>
      <c r="C488" s="117" t="s">
        <v>881</v>
      </c>
      <c r="D488" s="117" t="s">
        <v>882</v>
      </c>
      <c r="E488" s="117" t="s">
        <v>11</v>
      </c>
      <c r="F488" s="117">
        <v>6231</v>
      </c>
      <c r="G488" s="117">
        <v>754</v>
      </c>
      <c r="H488" s="117">
        <v>754</v>
      </c>
      <c r="I488" s="117"/>
      <c r="J488" s="117"/>
      <c r="K488" s="117" t="s">
        <v>2033</v>
      </c>
      <c r="L488" s="117" t="s">
        <v>1431</v>
      </c>
      <c r="M488" s="117" t="s">
        <v>17</v>
      </c>
      <c r="N488" s="117" t="s">
        <v>18</v>
      </c>
      <c r="O488" s="117"/>
      <c r="P488" s="117"/>
      <c r="Q488" s="117"/>
      <c r="R488" s="117"/>
    </row>
    <row r="489" spans="1:18" ht="27" customHeight="1">
      <c r="A489" s="117">
        <v>484</v>
      </c>
      <c r="B489" s="117" t="s">
        <v>1426</v>
      </c>
      <c r="C489" s="117" t="s">
        <v>883</v>
      </c>
      <c r="D489" s="117" t="s">
        <v>884</v>
      </c>
      <c r="E489" s="117" t="s">
        <v>11</v>
      </c>
      <c r="F489" s="117">
        <v>4211</v>
      </c>
      <c r="G489" s="117">
        <v>25</v>
      </c>
      <c r="H489" s="117">
        <v>25</v>
      </c>
      <c r="I489" s="117"/>
      <c r="J489" s="117"/>
      <c r="K489" s="117" t="s">
        <v>2034</v>
      </c>
      <c r="L489" s="117" t="s">
        <v>1432</v>
      </c>
      <c r="M489" s="117" t="s">
        <v>17</v>
      </c>
      <c r="N489" s="117" t="s">
        <v>18</v>
      </c>
      <c r="O489" s="117"/>
      <c r="P489" s="117"/>
      <c r="Q489" s="117"/>
      <c r="R489" s="117"/>
    </row>
    <row r="490" spans="1:18" ht="27" customHeight="1">
      <c r="A490" s="117">
        <v>485</v>
      </c>
      <c r="B490" s="117" t="s">
        <v>1426</v>
      </c>
      <c r="C490" s="117" t="s">
        <v>885</v>
      </c>
      <c r="D490" s="117" t="s">
        <v>886</v>
      </c>
      <c r="E490" s="117" t="s">
        <v>11</v>
      </c>
      <c r="F490" s="117">
        <v>110</v>
      </c>
      <c r="G490" s="117">
        <v>4</v>
      </c>
      <c r="H490" s="117">
        <v>4</v>
      </c>
      <c r="I490" s="117"/>
      <c r="J490" s="117"/>
      <c r="K490" s="117" t="s">
        <v>2033</v>
      </c>
      <c r="L490" s="117" t="s">
        <v>1431</v>
      </c>
      <c r="M490" s="117" t="s">
        <v>17</v>
      </c>
      <c r="N490" s="117" t="s">
        <v>18</v>
      </c>
      <c r="O490" s="117"/>
      <c r="P490" s="117"/>
      <c r="Q490" s="117"/>
      <c r="R490" s="117"/>
    </row>
    <row r="491" spans="1:18" ht="27" customHeight="1">
      <c r="A491" s="117">
        <v>486</v>
      </c>
      <c r="B491" s="117" t="s">
        <v>1426</v>
      </c>
      <c r="C491" s="117" t="s">
        <v>887</v>
      </c>
      <c r="D491" s="117" t="s">
        <v>887</v>
      </c>
      <c r="E491" s="117" t="s">
        <v>11</v>
      </c>
      <c r="F491" s="117">
        <v>618</v>
      </c>
      <c r="G491" s="117">
        <v>618</v>
      </c>
      <c r="H491" s="117">
        <v>618</v>
      </c>
      <c r="I491" s="117"/>
      <c r="J491" s="117"/>
      <c r="K491" s="117" t="s">
        <v>18</v>
      </c>
      <c r="L491" s="117"/>
      <c r="M491" s="117" t="s">
        <v>17</v>
      </c>
      <c r="N491" s="117" t="s">
        <v>18</v>
      </c>
      <c r="O491" s="117"/>
      <c r="P491" s="117"/>
      <c r="Q491" s="117"/>
      <c r="R491" s="117"/>
    </row>
    <row r="492" spans="1:18" ht="27" customHeight="1">
      <c r="A492" s="117">
        <v>487</v>
      </c>
      <c r="B492" s="117" t="s">
        <v>1426</v>
      </c>
      <c r="C492" s="117" t="s">
        <v>887</v>
      </c>
      <c r="D492" s="117" t="s">
        <v>888</v>
      </c>
      <c r="E492" s="117" t="s">
        <v>11</v>
      </c>
      <c r="F492" s="117">
        <v>804</v>
      </c>
      <c r="G492" s="117">
        <v>804</v>
      </c>
      <c r="H492" s="117">
        <v>804</v>
      </c>
      <c r="I492" s="117"/>
      <c r="J492" s="117"/>
      <c r="K492" s="117" t="s">
        <v>2035</v>
      </c>
      <c r="L492" s="117" t="s">
        <v>1433</v>
      </c>
      <c r="M492" s="117" t="s">
        <v>17</v>
      </c>
      <c r="N492" s="117" t="s">
        <v>18</v>
      </c>
      <c r="O492" s="117"/>
      <c r="P492" s="117"/>
      <c r="Q492" s="117"/>
      <c r="R492" s="117"/>
    </row>
    <row r="493" spans="1:18" ht="27" customHeight="1">
      <c r="A493" s="117">
        <v>488</v>
      </c>
      <c r="B493" s="117" t="s">
        <v>1426</v>
      </c>
      <c r="C493" s="117" t="s">
        <v>897</v>
      </c>
      <c r="D493" s="117" t="s">
        <v>889</v>
      </c>
      <c r="E493" s="117" t="s">
        <v>11</v>
      </c>
      <c r="F493" s="117">
        <v>6115</v>
      </c>
      <c r="G493" s="117">
        <v>801</v>
      </c>
      <c r="H493" s="117">
        <v>801</v>
      </c>
      <c r="I493" s="117"/>
      <c r="J493" s="117"/>
      <c r="K493" s="117" t="s">
        <v>2035</v>
      </c>
      <c r="L493" s="117" t="s">
        <v>1433</v>
      </c>
      <c r="M493" s="117" t="s">
        <v>17</v>
      </c>
      <c r="N493" s="117" t="s">
        <v>18</v>
      </c>
      <c r="O493" s="117"/>
      <c r="P493" s="117"/>
      <c r="Q493" s="117"/>
      <c r="R493" s="117"/>
    </row>
    <row r="494" spans="1:18" ht="27" customHeight="1">
      <c r="A494" s="117">
        <v>489</v>
      </c>
      <c r="B494" s="117" t="s">
        <v>1426</v>
      </c>
      <c r="C494" s="117" t="s">
        <v>890</v>
      </c>
      <c r="D494" s="117" t="s">
        <v>891</v>
      </c>
      <c r="E494" s="117" t="s">
        <v>11</v>
      </c>
      <c r="F494" s="117">
        <v>2151</v>
      </c>
      <c r="G494" s="117">
        <v>218</v>
      </c>
      <c r="H494" s="117">
        <v>218</v>
      </c>
      <c r="I494" s="117"/>
      <c r="J494" s="117"/>
      <c r="K494" s="117" t="s">
        <v>2033</v>
      </c>
      <c r="L494" s="117" t="s">
        <v>1431</v>
      </c>
      <c r="M494" s="117" t="s">
        <v>17</v>
      </c>
      <c r="N494" s="117" t="s">
        <v>18</v>
      </c>
      <c r="O494" s="117"/>
      <c r="P494" s="117"/>
      <c r="Q494" s="117"/>
      <c r="R494" s="117"/>
    </row>
    <row r="495" spans="1:18" ht="27" customHeight="1">
      <c r="A495" s="117">
        <v>490</v>
      </c>
      <c r="B495" s="117" t="s">
        <v>1426</v>
      </c>
      <c r="C495" s="117" t="s">
        <v>892</v>
      </c>
      <c r="D495" s="117" t="s">
        <v>893</v>
      </c>
      <c r="E495" s="117" t="s">
        <v>11</v>
      </c>
      <c r="F495" s="117">
        <v>3306</v>
      </c>
      <c r="G495" s="117">
        <v>1793</v>
      </c>
      <c r="H495" s="117">
        <v>1793</v>
      </c>
      <c r="I495" s="117"/>
      <c r="J495" s="117"/>
      <c r="K495" s="117" t="s">
        <v>2036</v>
      </c>
      <c r="L495" s="117" t="s">
        <v>1434</v>
      </c>
      <c r="M495" s="117" t="s">
        <v>17</v>
      </c>
      <c r="N495" s="117" t="s">
        <v>18</v>
      </c>
      <c r="O495" s="117"/>
      <c r="P495" s="117"/>
      <c r="Q495" s="117"/>
      <c r="R495" s="117"/>
    </row>
    <row r="496" spans="1:18" ht="27" customHeight="1">
      <c r="A496" s="117">
        <v>491</v>
      </c>
      <c r="B496" s="117" t="s">
        <v>1426</v>
      </c>
      <c r="C496" s="117" t="s">
        <v>894</v>
      </c>
      <c r="D496" s="117" t="s">
        <v>895</v>
      </c>
      <c r="E496" s="117" t="s">
        <v>11</v>
      </c>
      <c r="F496" s="117">
        <v>4326</v>
      </c>
      <c r="G496" s="117">
        <v>200</v>
      </c>
      <c r="H496" s="117">
        <v>200</v>
      </c>
      <c r="I496" s="117"/>
      <c r="J496" s="117"/>
      <c r="K496" s="117" t="s">
        <v>18</v>
      </c>
      <c r="L496" s="117"/>
      <c r="M496" s="117" t="s">
        <v>17</v>
      </c>
      <c r="N496" s="117" t="s">
        <v>18</v>
      </c>
      <c r="O496" s="117"/>
      <c r="P496" s="117"/>
      <c r="Q496" s="117"/>
      <c r="R496" s="117"/>
    </row>
    <row r="497" spans="1:18" ht="27" customHeight="1">
      <c r="A497" s="117">
        <v>492</v>
      </c>
      <c r="B497" s="117" t="s">
        <v>1426</v>
      </c>
      <c r="C497" s="117" t="s">
        <v>896</v>
      </c>
      <c r="D497" s="117" t="s">
        <v>809</v>
      </c>
      <c r="E497" s="117" t="s">
        <v>0</v>
      </c>
      <c r="F497" s="117">
        <v>2698</v>
      </c>
      <c r="G497" s="117">
        <v>238</v>
      </c>
      <c r="H497" s="117">
        <v>238</v>
      </c>
      <c r="I497" s="117"/>
      <c r="J497" s="117"/>
      <c r="K497" s="117" t="s">
        <v>2037</v>
      </c>
      <c r="L497" s="117" t="s">
        <v>1435</v>
      </c>
      <c r="M497" s="117" t="s">
        <v>17</v>
      </c>
      <c r="N497" s="117" t="s">
        <v>18</v>
      </c>
      <c r="O497" s="117"/>
      <c r="P497" s="117"/>
      <c r="Q497" s="117"/>
      <c r="R497" s="117"/>
    </row>
    <row r="498" spans="1:18" ht="27" customHeight="1">
      <c r="A498" s="117">
        <v>493</v>
      </c>
      <c r="B498" s="117" t="s">
        <v>1426</v>
      </c>
      <c r="C498" s="117" t="s">
        <v>897</v>
      </c>
      <c r="D498" s="117" t="s">
        <v>898</v>
      </c>
      <c r="E498" s="117" t="s">
        <v>11</v>
      </c>
      <c r="F498" s="117">
        <v>6115</v>
      </c>
      <c r="G498" s="117">
        <v>1136</v>
      </c>
      <c r="H498" s="117">
        <v>1136</v>
      </c>
      <c r="I498" s="117"/>
      <c r="J498" s="117"/>
      <c r="K498" s="117" t="s">
        <v>2035</v>
      </c>
      <c r="L498" s="117" t="s">
        <v>1433</v>
      </c>
      <c r="M498" s="117" t="s">
        <v>17</v>
      </c>
      <c r="N498" s="117" t="s">
        <v>18</v>
      </c>
      <c r="O498" s="117"/>
      <c r="P498" s="117"/>
      <c r="Q498" s="117"/>
      <c r="R498" s="117"/>
    </row>
    <row r="499" spans="1:18" ht="27" customHeight="1">
      <c r="A499" s="117">
        <v>494</v>
      </c>
      <c r="B499" s="117" t="s">
        <v>1426</v>
      </c>
      <c r="C499" s="117" t="s">
        <v>899</v>
      </c>
      <c r="D499" s="117" t="s">
        <v>900</v>
      </c>
      <c r="E499" s="117" t="s">
        <v>11</v>
      </c>
      <c r="F499" s="117">
        <v>11407</v>
      </c>
      <c r="G499" s="117">
        <v>6185</v>
      </c>
      <c r="H499" s="117">
        <v>6185</v>
      </c>
      <c r="I499" s="117"/>
      <c r="J499" s="117"/>
      <c r="K499" s="117" t="s">
        <v>18</v>
      </c>
      <c r="L499" s="117"/>
      <c r="M499" s="117" t="s">
        <v>17</v>
      </c>
      <c r="N499" s="117" t="s">
        <v>18</v>
      </c>
      <c r="O499" s="117"/>
      <c r="P499" s="117"/>
      <c r="Q499" s="117"/>
      <c r="R499" s="117"/>
    </row>
    <row r="500" spans="1:18" ht="27" customHeight="1">
      <c r="A500" s="117">
        <v>495</v>
      </c>
      <c r="B500" s="117" t="s">
        <v>1426</v>
      </c>
      <c r="C500" s="117" t="s">
        <v>901</v>
      </c>
      <c r="D500" s="117" t="s">
        <v>901</v>
      </c>
      <c r="E500" s="117" t="s">
        <v>11</v>
      </c>
      <c r="F500" s="117">
        <v>208</v>
      </c>
      <c r="G500" s="117">
        <v>208</v>
      </c>
      <c r="H500" s="117">
        <v>208</v>
      </c>
      <c r="I500" s="117"/>
      <c r="J500" s="117"/>
      <c r="K500" s="117" t="s">
        <v>205</v>
      </c>
      <c r="L500" s="117"/>
      <c r="M500" s="117" t="s">
        <v>17</v>
      </c>
      <c r="N500" s="117" t="s">
        <v>205</v>
      </c>
      <c r="O500" s="117"/>
      <c r="P500" s="117"/>
      <c r="Q500" s="117"/>
      <c r="R500" s="117"/>
    </row>
    <row r="501" spans="1:18" ht="27" customHeight="1">
      <c r="A501" s="117">
        <v>496</v>
      </c>
      <c r="B501" s="117" t="s">
        <v>1426</v>
      </c>
      <c r="C501" s="117" t="s">
        <v>902</v>
      </c>
      <c r="D501" s="117" t="s">
        <v>903</v>
      </c>
      <c r="E501" s="117" t="s">
        <v>11</v>
      </c>
      <c r="F501" s="117">
        <v>441</v>
      </c>
      <c r="G501" s="117">
        <v>123</v>
      </c>
      <c r="H501" s="117">
        <v>123</v>
      </c>
      <c r="I501" s="117"/>
      <c r="J501" s="117"/>
      <c r="K501" s="117" t="s">
        <v>18</v>
      </c>
      <c r="L501" s="117"/>
      <c r="M501" s="117" t="s">
        <v>17</v>
      </c>
      <c r="N501" s="117" t="s">
        <v>18</v>
      </c>
      <c r="O501" s="117"/>
      <c r="P501" s="117"/>
      <c r="Q501" s="117"/>
      <c r="R501" s="117"/>
    </row>
    <row r="502" spans="1:18" ht="27" customHeight="1">
      <c r="A502" s="117">
        <v>497</v>
      </c>
      <c r="B502" s="117" t="s">
        <v>1426</v>
      </c>
      <c r="C502" s="117" t="s">
        <v>902</v>
      </c>
      <c r="D502" s="117" t="s">
        <v>904</v>
      </c>
      <c r="E502" s="117" t="s">
        <v>11</v>
      </c>
      <c r="F502" s="117">
        <v>441</v>
      </c>
      <c r="G502" s="117">
        <v>28</v>
      </c>
      <c r="H502" s="117">
        <v>28</v>
      </c>
      <c r="I502" s="117"/>
      <c r="J502" s="117"/>
      <c r="K502" s="117" t="s">
        <v>18</v>
      </c>
      <c r="L502" s="117"/>
      <c r="M502" s="117" t="s">
        <v>17</v>
      </c>
      <c r="N502" s="117" t="s">
        <v>18</v>
      </c>
      <c r="O502" s="117"/>
      <c r="P502" s="117"/>
      <c r="Q502" s="117"/>
      <c r="R502" s="117"/>
    </row>
    <row r="503" spans="1:18" ht="27" customHeight="1">
      <c r="A503" s="117">
        <v>498</v>
      </c>
      <c r="B503" s="117" t="s">
        <v>1426</v>
      </c>
      <c r="C503" s="117" t="s">
        <v>322</v>
      </c>
      <c r="D503" s="117" t="s">
        <v>808</v>
      </c>
      <c r="E503" s="117" t="s">
        <v>6</v>
      </c>
      <c r="F503" s="117">
        <v>2348</v>
      </c>
      <c r="G503" s="117">
        <v>286</v>
      </c>
      <c r="H503" s="117">
        <v>286</v>
      </c>
      <c r="I503" s="117"/>
      <c r="J503" s="117"/>
      <c r="K503" s="117" t="s">
        <v>18</v>
      </c>
      <c r="L503" s="117"/>
      <c r="M503" s="117" t="s">
        <v>17</v>
      </c>
      <c r="N503" s="117" t="s">
        <v>18</v>
      </c>
      <c r="O503" s="117"/>
      <c r="P503" s="117"/>
      <c r="Q503" s="117"/>
      <c r="R503" s="117"/>
    </row>
    <row r="504" spans="1:18" ht="27" customHeight="1">
      <c r="A504" s="117">
        <v>499</v>
      </c>
      <c r="B504" s="117" t="s">
        <v>1426</v>
      </c>
      <c r="C504" s="117" t="s">
        <v>319</v>
      </c>
      <c r="D504" s="117" t="s">
        <v>319</v>
      </c>
      <c r="E504" s="117" t="s">
        <v>6</v>
      </c>
      <c r="F504" s="117">
        <v>7</v>
      </c>
      <c r="G504" s="117">
        <v>7</v>
      </c>
      <c r="H504" s="117">
        <v>7</v>
      </c>
      <c r="I504" s="117"/>
      <c r="J504" s="117"/>
      <c r="K504" s="117" t="s">
        <v>205</v>
      </c>
      <c r="L504" s="117"/>
      <c r="M504" s="117" t="s">
        <v>17</v>
      </c>
      <c r="N504" s="117" t="s">
        <v>205</v>
      </c>
      <c r="O504" s="117"/>
      <c r="P504" s="117"/>
      <c r="Q504" s="117"/>
      <c r="R504" s="117"/>
    </row>
    <row r="505" spans="1:18" ht="27" customHeight="1">
      <c r="A505" s="117">
        <v>500</v>
      </c>
      <c r="B505" s="117" t="s">
        <v>1426</v>
      </c>
      <c r="C505" s="117" t="s">
        <v>753</v>
      </c>
      <c r="D505" s="117" t="s">
        <v>753</v>
      </c>
      <c r="E505" s="117" t="s">
        <v>0</v>
      </c>
      <c r="F505" s="117">
        <v>110</v>
      </c>
      <c r="G505" s="117">
        <v>110</v>
      </c>
      <c r="H505" s="117">
        <v>110</v>
      </c>
      <c r="I505" s="117"/>
      <c r="J505" s="117"/>
      <c r="K505" s="117" t="s">
        <v>205</v>
      </c>
      <c r="L505" s="117"/>
      <c r="M505" s="117" t="s">
        <v>17</v>
      </c>
      <c r="N505" s="117" t="s">
        <v>205</v>
      </c>
      <c r="O505" s="117"/>
      <c r="P505" s="117"/>
      <c r="Q505" s="117"/>
      <c r="R505" s="117"/>
    </row>
    <row r="506" spans="1:18" ht="27" customHeight="1">
      <c r="A506" s="117">
        <v>501</v>
      </c>
      <c r="B506" s="117" t="s">
        <v>1426</v>
      </c>
      <c r="C506" s="117" t="s">
        <v>1391</v>
      </c>
      <c r="D506" s="117" t="s">
        <v>1391</v>
      </c>
      <c r="E506" s="117" t="s">
        <v>0</v>
      </c>
      <c r="F506" s="117">
        <v>141</v>
      </c>
      <c r="G506" s="117">
        <v>141</v>
      </c>
      <c r="H506" s="117">
        <v>141</v>
      </c>
      <c r="I506" s="117"/>
      <c r="J506" s="117"/>
      <c r="K506" s="117" t="s">
        <v>18</v>
      </c>
      <c r="L506" s="117"/>
      <c r="M506" s="117" t="s">
        <v>17</v>
      </c>
      <c r="N506" s="117" t="s">
        <v>18</v>
      </c>
      <c r="O506" s="117"/>
      <c r="P506" s="117"/>
      <c r="Q506" s="117"/>
      <c r="R506" s="117"/>
    </row>
    <row r="507" spans="1:18" ht="27" customHeight="1">
      <c r="A507" s="117">
        <v>502</v>
      </c>
      <c r="B507" s="117" t="s">
        <v>1426</v>
      </c>
      <c r="C507" s="117" t="s">
        <v>805</v>
      </c>
      <c r="D507" s="117" t="s">
        <v>1392</v>
      </c>
      <c r="E507" s="117" t="s">
        <v>2</v>
      </c>
      <c r="F507" s="117">
        <v>980</v>
      </c>
      <c r="G507" s="117">
        <v>595</v>
      </c>
      <c r="H507" s="117">
        <v>595</v>
      </c>
      <c r="I507" s="117"/>
      <c r="J507" s="117"/>
      <c r="K507" s="117" t="s">
        <v>563</v>
      </c>
      <c r="L507" s="117" t="s">
        <v>1436</v>
      </c>
      <c r="M507" s="117" t="s">
        <v>17</v>
      </c>
      <c r="N507" s="117" t="s">
        <v>1269</v>
      </c>
      <c r="O507" s="117"/>
      <c r="P507" s="117"/>
      <c r="Q507" s="117"/>
      <c r="R507" s="117"/>
    </row>
    <row r="508" spans="1:18" ht="27" customHeight="1">
      <c r="A508" s="117">
        <v>503</v>
      </c>
      <c r="B508" s="117" t="s">
        <v>1426</v>
      </c>
      <c r="C508" s="117" t="s">
        <v>1393</v>
      </c>
      <c r="D508" s="117" t="s">
        <v>1393</v>
      </c>
      <c r="E508" s="117" t="s">
        <v>2</v>
      </c>
      <c r="F508" s="117">
        <v>43</v>
      </c>
      <c r="G508" s="117">
        <v>43</v>
      </c>
      <c r="H508" s="117">
        <v>43</v>
      </c>
      <c r="I508" s="117"/>
      <c r="J508" s="117"/>
      <c r="K508" s="117" t="s">
        <v>563</v>
      </c>
      <c r="L508" s="117" t="s">
        <v>1436</v>
      </c>
      <c r="M508" s="117" t="s">
        <v>17</v>
      </c>
      <c r="N508" s="117" t="s">
        <v>1269</v>
      </c>
      <c r="O508" s="117"/>
      <c r="P508" s="117"/>
      <c r="Q508" s="117"/>
      <c r="R508" s="117"/>
    </row>
    <row r="509" spans="1:18" ht="27" customHeight="1">
      <c r="A509" s="117">
        <v>504</v>
      </c>
      <c r="B509" s="117" t="s">
        <v>1426</v>
      </c>
      <c r="C509" s="117" t="s">
        <v>1394</v>
      </c>
      <c r="D509" s="117" t="s">
        <v>1394</v>
      </c>
      <c r="E509" s="117" t="s">
        <v>0</v>
      </c>
      <c r="F509" s="117">
        <v>201</v>
      </c>
      <c r="G509" s="117">
        <v>201</v>
      </c>
      <c r="H509" s="117">
        <v>201</v>
      </c>
      <c r="I509" s="117"/>
      <c r="J509" s="117"/>
      <c r="K509" s="117" t="s">
        <v>205</v>
      </c>
      <c r="L509" s="117"/>
      <c r="M509" s="117" t="s">
        <v>17</v>
      </c>
      <c r="N509" s="117" t="s">
        <v>205</v>
      </c>
      <c r="O509" s="117"/>
      <c r="P509" s="117"/>
      <c r="Q509" s="117"/>
      <c r="R509" s="117"/>
    </row>
    <row r="510" spans="1:18" ht="27" customHeight="1">
      <c r="A510" s="117">
        <v>505</v>
      </c>
      <c r="B510" s="117" t="s">
        <v>1426</v>
      </c>
      <c r="C510" s="117" t="s">
        <v>857</v>
      </c>
      <c r="D510" s="117" t="s">
        <v>857</v>
      </c>
      <c r="E510" s="117" t="s">
        <v>0</v>
      </c>
      <c r="F510" s="117">
        <v>283</v>
      </c>
      <c r="G510" s="117">
        <v>258</v>
      </c>
      <c r="H510" s="117">
        <v>278</v>
      </c>
      <c r="I510" s="117"/>
      <c r="J510" s="117"/>
      <c r="K510" s="117" t="s">
        <v>205</v>
      </c>
      <c r="L510" s="117"/>
      <c r="M510" s="117" t="s">
        <v>17</v>
      </c>
      <c r="N510" s="117" t="s">
        <v>205</v>
      </c>
      <c r="O510" s="117"/>
      <c r="P510" s="117"/>
      <c r="Q510" s="117"/>
      <c r="R510" s="117"/>
    </row>
    <row r="511" spans="1:18" ht="27" customHeight="1">
      <c r="A511" s="117">
        <v>506</v>
      </c>
      <c r="B511" s="117" t="s">
        <v>1426</v>
      </c>
      <c r="C511" s="117" t="s">
        <v>1395</v>
      </c>
      <c r="D511" s="117" t="s">
        <v>854</v>
      </c>
      <c r="E511" s="117" t="s">
        <v>0</v>
      </c>
      <c r="F511" s="117">
        <v>2586</v>
      </c>
      <c r="G511" s="117">
        <v>1961</v>
      </c>
      <c r="H511" s="117">
        <v>1961</v>
      </c>
      <c r="I511" s="117"/>
      <c r="J511" s="117"/>
      <c r="K511" s="117" t="s">
        <v>18</v>
      </c>
      <c r="L511" s="117"/>
      <c r="M511" s="117" t="s">
        <v>17</v>
      </c>
      <c r="N511" s="117" t="s">
        <v>18</v>
      </c>
      <c r="O511" s="117"/>
      <c r="P511" s="117"/>
      <c r="Q511" s="117"/>
      <c r="R511" s="117"/>
    </row>
    <row r="512" spans="1:18" ht="27" customHeight="1">
      <c r="A512" s="117">
        <v>507</v>
      </c>
      <c r="B512" s="117" t="s">
        <v>1426</v>
      </c>
      <c r="C512" s="117" t="s">
        <v>905</v>
      </c>
      <c r="D512" s="117" t="s">
        <v>845</v>
      </c>
      <c r="E512" s="117" t="s">
        <v>0</v>
      </c>
      <c r="F512" s="117">
        <v>4396</v>
      </c>
      <c r="G512" s="117">
        <v>1616</v>
      </c>
      <c r="H512" s="117">
        <v>1616</v>
      </c>
      <c r="I512" s="117"/>
      <c r="J512" s="117"/>
      <c r="K512" s="117" t="s">
        <v>18</v>
      </c>
      <c r="L512" s="117"/>
      <c r="M512" s="117" t="s">
        <v>17</v>
      </c>
      <c r="N512" s="117" t="s">
        <v>18</v>
      </c>
      <c r="O512" s="117"/>
      <c r="P512" s="117"/>
      <c r="Q512" s="117"/>
      <c r="R512" s="117"/>
    </row>
    <row r="513" spans="1:18" ht="27" customHeight="1">
      <c r="A513" s="117">
        <v>508</v>
      </c>
      <c r="B513" s="117" t="s">
        <v>1426</v>
      </c>
      <c r="C513" s="117" t="s">
        <v>906</v>
      </c>
      <c r="D513" s="117" t="s">
        <v>907</v>
      </c>
      <c r="E513" s="117" t="s">
        <v>0</v>
      </c>
      <c r="F513" s="117">
        <v>179</v>
      </c>
      <c r="G513" s="117">
        <v>114</v>
      </c>
      <c r="H513" s="117">
        <v>114</v>
      </c>
      <c r="I513" s="117"/>
      <c r="J513" s="117"/>
      <c r="K513" s="117" t="s">
        <v>205</v>
      </c>
      <c r="L513" s="117"/>
      <c r="M513" s="117" t="s">
        <v>17</v>
      </c>
      <c r="N513" s="117" t="s">
        <v>205</v>
      </c>
      <c r="O513" s="117"/>
      <c r="P513" s="117"/>
      <c r="Q513" s="117"/>
      <c r="R513" s="117"/>
    </row>
    <row r="514" spans="1:18" ht="27" customHeight="1">
      <c r="A514" s="117">
        <v>509</v>
      </c>
      <c r="B514" s="117" t="s">
        <v>1426</v>
      </c>
      <c r="C514" s="117" t="s">
        <v>790</v>
      </c>
      <c r="D514" s="117" t="s">
        <v>790</v>
      </c>
      <c r="E514" s="117" t="s">
        <v>0</v>
      </c>
      <c r="F514" s="117">
        <v>49</v>
      </c>
      <c r="G514" s="117">
        <v>49</v>
      </c>
      <c r="H514" s="117">
        <v>49</v>
      </c>
      <c r="I514" s="117"/>
      <c r="J514" s="117"/>
      <c r="K514" s="117" t="s">
        <v>205</v>
      </c>
      <c r="L514" s="117"/>
      <c r="M514" s="117" t="s">
        <v>17</v>
      </c>
      <c r="N514" s="117" t="s">
        <v>205</v>
      </c>
      <c r="O514" s="117"/>
      <c r="P514" s="117"/>
      <c r="Q514" s="117"/>
      <c r="R514" s="117"/>
    </row>
    <row r="515" spans="1:18" ht="27" customHeight="1">
      <c r="A515" s="117">
        <v>510</v>
      </c>
      <c r="B515" s="117" t="s">
        <v>1426</v>
      </c>
      <c r="C515" s="117" t="s">
        <v>789</v>
      </c>
      <c r="D515" s="117" t="s">
        <v>908</v>
      </c>
      <c r="E515" s="117" t="s">
        <v>0</v>
      </c>
      <c r="F515" s="117">
        <v>1296</v>
      </c>
      <c r="G515" s="117">
        <v>1194</v>
      </c>
      <c r="H515" s="117">
        <v>1194</v>
      </c>
      <c r="I515" s="117"/>
      <c r="J515" s="117"/>
      <c r="K515" s="117" t="s">
        <v>18</v>
      </c>
      <c r="L515" s="117"/>
      <c r="M515" s="117" t="s">
        <v>17</v>
      </c>
      <c r="N515" s="117" t="s">
        <v>18</v>
      </c>
      <c r="O515" s="117"/>
      <c r="P515" s="117"/>
      <c r="Q515" s="117"/>
      <c r="R515" s="117"/>
    </row>
    <row r="516" spans="1:18" ht="27" customHeight="1">
      <c r="A516" s="117">
        <v>511</v>
      </c>
      <c r="B516" s="117" t="s">
        <v>1426</v>
      </c>
      <c r="C516" s="117" t="s">
        <v>1384</v>
      </c>
      <c r="D516" s="117" t="s">
        <v>1385</v>
      </c>
      <c r="E516" s="117" t="s">
        <v>0</v>
      </c>
      <c r="F516" s="117">
        <v>1784</v>
      </c>
      <c r="G516" s="117">
        <v>1750</v>
      </c>
      <c r="H516" s="117">
        <v>1750</v>
      </c>
      <c r="I516" s="117"/>
      <c r="J516" s="117"/>
      <c r="K516" s="117" t="s">
        <v>18</v>
      </c>
      <c r="L516" s="117"/>
      <c r="M516" s="117" t="s">
        <v>17</v>
      </c>
      <c r="N516" s="117" t="s">
        <v>18</v>
      </c>
      <c r="O516" s="117"/>
      <c r="P516" s="117"/>
      <c r="Q516" s="117"/>
      <c r="R516" s="117"/>
    </row>
    <row r="517" spans="1:18" ht="27" customHeight="1">
      <c r="A517" s="117">
        <v>512</v>
      </c>
      <c r="B517" s="117" t="s">
        <v>1426</v>
      </c>
      <c r="C517" s="117" t="s">
        <v>787</v>
      </c>
      <c r="D517" s="117" t="s">
        <v>1386</v>
      </c>
      <c r="E517" s="117" t="s">
        <v>2</v>
      </c>
      <c r="F517" s="117">
        <v>1320</v>
      </c>
      <c r="G517" s="117">
        <v>750</v>
      </c>
      <c r="H517" s="117">
        <v>750</v>
      </c>
      <c r="I517" s="117"/>
      <c r="J517" s="117"/>
      <c r="K517" s="117" t="s">
        <v>563</v>
      </c>
      <c r="L517" s="117" t="s">
        <v>564</v>
      </c>
      <c r="M517" s="117" t="s">
        <v>17</v>
      </c>
      <c r="N517" s="117" t="s">
        <v>1269</v>
      </c>
      <c r="O517" s="117"/>
      <c r="P517" s="117"/>
      <c r="Q517" s="117"/>
      <c r="R517" s="117"/>
    </row>
    <row r="518" spans="1:18" ht="27" customHeight="1">
      <c r="A518" s="117">
        <v>513</v>
      </c>
      <c r="B518" s="117" t="s">
        <v>1426</v>
      </c>
      <c r="C518" s="117" t="s">
        <v>787</v>
      </c>
      <c r="D518" s="117" t="s">
        <v>1387</v>
      </c>
      <c r="E518" s="117" t="s">
        <v>2</v>
      </c>
      <c r="F518" s="117">
        <v>1320</v>
      </c>
      <c r="G518" s="117">
        <v>23</v>
      </c>
      <c r="H518" s="117">
        <v>23</v>
      </c>
      <c r="I518" s="117"/>
      <c r="J518" s="117"/>
      <c r="K518" s="117" t="s">
        <v>563</v>
      </c>
      <c r="L518" s="117" t="s">
        <v>564</v>
      </c>
      <c r="M518" s="117" t="s">
        <v>17</v>
      </c>
      <c r="N518" s="117" t="s">
        <v>1269</v>
      </c>
      <c r="O518" s="117"/>
      <c r="P518" s="117"/>
      <c r="Q518" s="117"/>
      <c r="R518" s="117"/>
    </row>
    <row r="519" spans="1:18" ht="27" customHeight="1">
      <c r="A519" s="117">
        <v>514</v>
      </c>
      <c r="B519" s="117" t="s">
        <v>1426</v>
      </c>
      <c r="C519" s="117" t="s">
        <v>1388</v>
      </c>
      <c r="D519" s="117" t="s">
        <v>1388</v>
      </c>
      <c r="E519" s="117" t="s">
        <v>0</v>
      </c>
      <c r="F519" s="117">
        <v>152</v>
      </c>
      <c r="G519" s="117">
        <v>152</v>
      </c>
      <c r="H519" s="117">
        <v>152</v>
      </c>
      <c r="I519" s="117"/>
      <c r="J519" s="117"/>
      <c r="K519" s="117" t="s">
        <v>2038</v>
      </c>
      <c r="L519" s="117" t="s">
        <v>1437</v>
      </c>
      <c r="M519" s="117" t="s">
        <v>17</v>
      </c>
      <c r="N519" s="117" t="s">
        <v>18</v>
      </c>
      <c r="O519" s="117"/>
      <c r="P519" s="117"/>
      <c r="Q519" s="117"/>
      <c r="R519" s="117"/>
    </row>
    <row r="520" spans="1:18" ht="27" customHeight="1">
      <c r="A520" s="117">
        <v>515</v>
      </c>
      <c r="B520" s="117" t="s">
        <v>1426</v>
      </c>
      <c r="C520" s="117" t="s">
        <v>1389</v>
      </c>
      <c r="D520" s="117" t="s">
        <v>1389</v>
      </c>
      <c r="E520" s="117" t="s">
        <v>0</v>
      </c>
      <c r="F520" s="117">
        <v>38</v>
      </c>
      <c r="G520" s="117">
        <v>38</v>
      </c>
      <c r="H520" s="117">
        <v>38</v>
      </c>
      <c r="I520" s="117"/>
      <c r="J520" s="117"/>
      <c r="K520" s="117" t="s">
        <v>2038</v>
      </c>
      <c r="L520" s="117" t="s">
        <v>1437</v>
      </c>
      <c r="M520" s="117" t="s">
        <v>17</v>
      </c>
      <c r="N520" s="117" t="s">
        <v>18</v>
      </c>
      <c r="O520" s="117"/>
      <c r="P520" s="117"/>
      <c r="Q520" s="117"/>
      <c r="R520" s="117"/>
    </row>
    <row r="521" spans="1:18" ht="27" customHeight="1">
      <c r="A521" s="117">
        <v>516</v>
      </c>
      <c r="B521" s="117" t="s">
        <v>1426</v>
      </c>
      <c r="C521" s="117" t="s">
        <v>56</v>
      </c>
      <c r="D521" s="117" t="s">
        <v>1390</v>
      </c>
      <c r="E521" s="117" t="s">
        <v>16</v>
      </c>
      <c r="F521" s="117">
        <v>9947</v>
      </c>
      <c r="G521" s="117">
        <v>789</v>
      </c>
      <c r="H521" s="117">
        <v>444</v>
      </c>
      <c r="I521" s="117"/>
      <c r="J521" s="117"/>
      <c r="K521" s="117" t="s">
        <v>17</v>
      </c>
      <c r="L521" s="117" t="s">
        <v>72</v>
      </c>
      <c r="M521" s="117" t="s">
        <v>17</v>
      </c>
      <c r="N521" s="117" t="s">
        <v>72</v>
      </c>
      <c r="O521" s="117"/>
      <c r="P521" s="117"/>
      <c r="Q521" s="117"/>
      <c r="R521" s="117"/>
    </row>
    <row r="522" spans="1:18" ht="27" customHeight="1">
      <c r="A522" s="117">
        <v>517</v>
      </c>
      <c r="B522" s="117" t="s">
        <v>1426</v>
      </c>
      <c r="C522" s="117" t="s">
        <v>1362</v>
      </c>
      <c r="D522" s="117" t="s">
        <v>1362</v>
      </c>
      <c r="E522" s="117" t="s">
        <v>3</v>
      </c>
      <c r="F522" s="117">
        <v>171</v>
      </c>
      <c r="G522" s="117">
        <v>171</v>
      </c>
      <c r="H522" s="117">
        <v>171</v>
      </c>
      <c r="I522" s="117"/>
      <c r="J522" s="117"/>
      <c r="K522" s="117" t="s">
        <v>205</v>
      </c>
      <c r="L522" s="117"/>
      <c r="M522" s="117" t="s">
        <v>17</v>
      </c>
      <c r="N522" s="117" t="s">
        <v>205</v>
      </c>
      <c r="O522" s="117"/>
      <c r="P522" s="117"/>
      <c r="Q522" s="117"/>
      <c r="R522" s="117"/>
    </row>
    <row r="523" spans="1:18" ht="27" customHeight="1">
      <c r="A523" s="117">
        <v>518</v>
      </c>
      <c r="B523" s="117" t="s">
        <v>1426</v>
      </c>
      <c r="C523" s="117" t="s">
        <v>1363</v>
      </c>
      <c r="D523" s="117" t="s">
        <v>1363</v>
      </c>
      <c r="E523" s="117" t="s">
        <v>2</v>
      </c>
      <c r="F523" s="117">
        <v>6</v>
      </c>
      <c r="G523" s="117">
        <v>6</v>
      </c>
      <c r="H523" s="117">
        <v>6</v>
      </c>
      <c r="I523" s="117"/>
      <c r="J523" s="117"/>
      <c r="K523" s="117" t="s">
        <v>563</v>
      </c>
      <c r="L523" s="117" t="s">
        <v>564</v>
      </c>
      <c r="M523" s="117" t="s">
        <v>17</v>
      </c>
      <c r="N523" s="117" t="s">
        <v>72</v>
      </c>
      <c r="O523" s="117"/>
      <c r="P523" s="117"/>
      <c r="Q523" s="117"/>
      <c r="R523" s="117"/>
    </row>
    <row r="524" spans="1:18" ht="27" customHeight="1">
      <c r="A524" s="117">
        <v>519</v>
      </c>
      <c r="B524" s="117" t="s">
        <v>1426</v>
      </c>
      <c r="C524" s="117" t="s">
        <v>1364</v>
      </c>
      <c r="D524" s="117" t="s">
        <v>1364</v>
      </c>
      <c r="E524" s="117" t="s">
        <v>1347</v>
      </c>
      <c r="F524" s="117">
        <v>354</v>
      </c>
      <c r="G524" s="117">
        <v>6</v>
      </c>
      <c r="H524" s="117"/>
      <c r="I524" s="117"/>
      <c r="J524" s="117"/>
      <c r="K524" s="117" t="s">
        <v>2039</v>
      </c>
      <c r="L524" s="117" t="s">
        <v>1365</v>
      </c>
      <c r="M524" s="117" t="s">
        <v>2039</v>
      </c>
      <c r="N524" s="117" t="s">
        <v>1365</v>
      </c>
      <c r="O524" s="117" t="s">
        <v>2177</v>
      </c>
      <c r="P524" s="117" t="s">
        <v>1365</v>
      </c>
      <c r="Q524" s="117" t="s">
        <v>1366</v>
      </c>
      <c r="R524" s="117" t="s">
        <v>1245</v>
      </c>
    </row>
    <row r="525" spans="1:18" ht="27" customHeight="1">
      <c r="A525" s="117">
        <v>520</v>
      </c>
      <c r="B525" s="117" t="s">
        <v>1426</v>
      </c>
      <c r="C525" s="117" t="s">
        <v>1367</v>
      </c>
      <c r="D525" s="117" t="s">
        <v>1367</v>
      </c>
      <c r="E525" s="117" t="s">
        <v>1348</v>
      </c>
      <c r="F525" s="117">
        <v>145</v>
      </c>
      <c r="G525" s="117">
        <v>1</v>
      </c>
      <c r="H525" s="117"/>
      <c r="I525" s="117"/>
      <c r="J525" s="117"/>
      <c r="K525" s="117" t="s">
        <v>205</v>
      </c>
      <c r="L525" s="117"/>
      <c r="M525" s="117" t="s">
        <v>17</v>
      </c>
      <c r="N525" s="117" t="s">
        <v>205</v>
      </c>
      <c r="O525" s="117"/>
      <c r="P525" s="117"/>
      <c r="Q525" s="117"/>
      <c r="R525" s="117" t="s">
        <v>1245</v>
      </c>
    </row>
    <row r="526" spans="1:18" ht="27" customHeight="1">
      <c r="A526" s="117">
        <v>521</v>
      </c>
      <c r="B526" s="117" t="s">
        <v>1426</v>
      </c>
      <c r="C526" s="117" t="s">
        <v>1368</v>
      </c>
      <c r="D526" s="117" t="s">
        <v>1368</v>
      </c>
      <c r="E526" s="117" t="s">
        <v>2</v>
      </c>
      <c r="F526" s="117">
        <v>27</v>
      </c>
      <c r="G526" s="117">
        <v>27</v>
      </c>
      <c r="H526" s="117">
        <v>27</v>
      </c>
      <c r="I526" s="117"/>
      <c r="J526" s="117"/>
      <c r="K526" s="117" t="s">
        <v>563</v>
      </c>
      <c r="L526" s="117" t="s">
        <v>564</v>
      </c>
      <c r="M526" s="117" t="s">
        <v>17</v>
      </c>
      <c r="N526" s="117" t="s">
        <v>72</v>
      </c>
      <c r="O526" s="117"/>
      <c r="P526" s="117"/>
      <c r="Q526" s="117"/>
      <c r="R526" s="117"/>
    </row>
    <row r="527" spans="1:18" ht="27" customHeight="1">
      <c r="A527" s="117">
        <v>522</v>
      </c>
      <c r="B527" s="117" t="s">
        <v>1426</v>
      </c>
      <c r="C527" s="117" t="s">
        <v>1369</v>
      </c>
      <c r="D527" s="117" t="s">
        <v>1369</v>
      </c>
      <c r="E527" s="117" t="s">
        <v>0</v>
      </c>
      <c r="F527" s="117">
        <v>502</v>
      </c>
      <c r="G527" s="117">
        <v>502</v>
      </c>
      <c r="H527" s="117">
        <v>502</v>
      </c>
      <c r="I527" s="117"/>
      <c r="J527" s="117"/>
      <c r="K527" s="117" t="s">
        <v>18</v>
      </c>
      <c r="L527" s="117"/>
      <c r="M527" s="117" t="s">
        <v>17</v>
      </c>
      <c r="N527" s="117" t="s">
        <v>18</v>
      </c>
      <c r="O527" s="117"/>
      <c r="P527" s="117"/>
      <c r="Q527" s="117"/>
      <c r="R527" s="117"/>
    </row>
    <row r="528" spans="1:18" ht="27" customHeight="1">
      <c r="A528" s="117">
        <v>523</v>
      </c>
      <c r="B528" s="117" t="s">
        <v>1426</v>
      </c>
      <c r="C528" s="117" t="s">
        <v>1370</v>
      </c>
      <c r="D528" s="117" t="s">
        <v>1370</v>
      </c>
      <c r="E528" s="117" t="s">
        <v>2</v>
      </c>
      <c r="F528" s="117">
        <v>63</v>
      </c>
      <c r="G528" s="117">
        <v>63</v>
      </c>
      <c r="H528" s="117">
        <v>63</v>
      </c>
      <c r="I528" s="117"/>
      <c r="J528" s="117"/>
      <c r="K528" s="117" t="s">
        <v>563</v>
      </c>
      <c r="L528" s="117" t="s">
        <v>564</v>
      </c>
      <c r="M528" s="117" t="s">
        <v>17</v>
      </c>
      <c r="N528" s="117" t="s">
        <v>72</v>
      </c>
      <c r="O528" s="117"/>
      <c r="P528" s="117"/>
      <c r="Q528" s="117"/>
      <c r="R528" s="117"/>
    </row>
    <row r="529" spans="1:18" ht="27" customHeight="1">
      <c r="A529" s="117">
        <v>524</v>
      </c>
      <c r="B529" s="117" t="s">
        <v>1426</v>
      </c>
      <c r="C529" s="117" t="s">
        <v>1371</v>
      </c>
      <c r="D529" s="117" t="s">
        <v>1371</v>
      </c>
      <c r="E529" s="117" t="s">
        <v>1348</v>
      </c>
      <c r="F529" s="117">
        <v>53</v>
      </c>
      <c r="G529" s="117">
        <v>1</v>
      </c>
      <c r="H529" s="117"/>
      <c r="I529" s="117"/>
      <c r="J529" s="117"/>
      <c r="K529" s="117" t="s">
        <v>205</v>
      </c>
      <c r="L529" s="117"/>
      <c r="M529" s="117" t="s">
        <v>17</v>
      </c>
      <c r="N529" s="117" t="s">
        <v>205</v>
      </c>
      <c r="O529" s="117"/>
      <c r="P529" s="117"/>
      <c r="Q529" s="117"/>
      <c r="R529" s="117" t="s">
        <v>1245</v>
      </c>
    </row>
    <row r="530" spans="1:18" ht="27" customHeight="1">
      <c r="A530" s="117">
        <v>525</v>
      </c>
      <c r="B530" s="117" t="s">
        <v>1426</v>
      </c>
      <c r="C530" s="117" t="s">
        <v>1372</v>
      </c>
      <c r="D530" s="117" t="s">
        <v>1373</v>
      </c>
      <c r="E530" s="117" t="s">
        <v>6</v>
      </c>
      <c r="F530" s="117">
        <v>461</v>
      </c>
      <c r="G530" s="117">
        <v>66</v>
      </c>
      <c r="H530" s="117">
        <v>66</v>
      </c>
      <c r="I530" s="117"/>
      <c r="J530" s="117"/>
      <c r="K530" s="117" t="s">
        <v>18</v>
      </c>
      <c r="L530" s="117"/>
      <c r="M530" s="117" t="s">
        <v>17</v>
      </c>
      <c r="N530" s="117" t="s">
        <v>18</v>
      </c>
      <c r="O530" s="117"/>
      <c r="P530" s="117"/>
      <c r="Q530" s="117"/>
      <c r="R530" s="117"/>
    </row>
    <row r="531" spans="1:18" ht="27" customHeight="1">
      <c r="A531" s="117">
        <v>526</v>
      </c>
      <c r="B531" s="117" t="s">
        <v>1426</v>
      </c>
      <c r="C531" s="117" t="s">
        <v>1374</v>
      </c>
      <c r="D531" s="117" t="s">
        <v>1375</v>
      </c>
      <c r="E531" s="117" t="s">
        <v>2</v>
      </c>
      <c r="F531" s="117">
        <v>327</v>
      </c>
      <c r="G531" s="117">
        <v>294</v>
      </c>
      <c r="H531" s="117">
        <v>294</v>
      </c>
      <c r="I531" s="117"/>
      <c r="J531" s="117"/>
      <c r="K531" s="117" t="s">
        <v>563</v>
      </c>
      <c r="L531" s="117" t="s">
        <v>564</v>
      </c>
      <c r="M531" s="117" t="s">
        <v>17</v>
      </c>
      <c r="N531" s="117" t="s">
        <v>72</v>
      </c>
      <c r="O531" s="117"/>
      <c r="P531" s="117"/>
      <c r="Q531" s="117"/>
      <c r="R531" s="117"/>
    </row>
    <row r="532" spans="1:18" ht="27" customHeight="1">
      <c r="A532" s="117">
        <v>527</v>
      </c>
      <c r="B532" s="117" t="s">
        <v>1426</v>
      </c>
      <c r="C532" s="117" t="s">
        <v>1376</v>
      </c>
      <c r="D532" s="117" t="s">
        <v>1376</v>
      </c>
      <c r="E532" s="117" t="s">
        <v>6</v>
      </c>
      <c r="F532" s="117">
        <v>108</v>
      </c>
      <c r="G532" s="117">
        <v>108</v>
      </c>
      <c r="H532" s="117">
        <v>108</v>
      </c>
      <c r="I532" s="117"/>
      <c r="J532" s="117"/>
      <c r="K532" s="117" t="s">
        <v>18</v>
      </c>
      <c r="L532" s="117"/>
      <c r="M532" s="117" t="s">
        <v>17</v>
      </c>
      <c r="N532" s="117" t="s">
        <v>18</v>
      </c>
      <c r="O532" s="117"/>
      <c r="P532" s="117"/>
      <c r="Q532" s="117"/>
      <c r="R532" s="117"/>
    </row>
    <row r="533" spans="1:18" ht="27" customHeight="1">
      <c r="A533" s="117">
        <v>528</v>
      </c>
      <c r="B533" s="117" t="s">
        <v>1426</v>
      </c>
      <c r="C533" s="117" t="s">
        <v>1377</v>
      </c>
      <c r="D533" s="117" t="s">
        <v>1378</v>
      </c>
      <c r="E533" s="117" t="s">
        <v>2</v>
      </c>
      <c r="F533" s="117">
        <v>147</v>
      </c>
      <c r="G533" s="117">
        <v>84</v>
      </c>
      <c r="H533" s="117">
        <v>84</v>
      </c>
      <c r="I533" s="117"/>
      <c r="J533" s="117"/>
      <c r="K533" s="117" t="s">
        <v>563</v>
      </c>
      <c r="L533" s="117" t="s">
        <v>1272</v>
      </c>
      <c r="M533" s="117" t="s">
        <v>17</v>
      </c>
      <c r="N533" s="117" t="s">
        <v>72</v>
      </c>
      <c r="O533" s="117"/>
      <c r="P533" s="117"/>
      <c r="Q533" s="117"/>
      <c r="R533" s="117"/>
    </row>
    <row r="534" spans="1:18" ht="27" customHeight="1">
      <c r="A534" s="117">
        <v>529</v>
      </c>
      <c r="B534" s="117" t="s">
        <v>1426</v>
      </c>
      <c r="C534" s="117" t="s">
        <v>1379</v>
      </c>
      <c r="D534" s="117" t="s">
        <v>1379</v>
      </c>
      <c r="E534" s="117" t="s">
        <v>0</v>
      </c>
      <c r="F534" s="117">
        <v>2935</v>
      </c>
      <c r="G534" s="117">
        <v>2935</v>
      </c>
      <c r="H534" s="117">
        <v>2935</v>
      </c>
      <c r="I534" s="117"/>
      <c r="J534" s="117"/>
      <c r="K534" s="117" t="s">
        <v>2040</v>
      </c>
      <c r="L534" s="117" t="s">
        <v>1438</v>
      </c>
      <c r="M534" s="117" t="s">
        <v>17</v>
      </c>
      <c r="N534" s="117" t="s">
        <v>18</v>
      </c>
      <c r="O534" s="117"/>
      <c r="P534" s="117"/>
      <c r="Q534" s="117"/>
      <c r="R534" s="117"/>
    </row>
    <row r="535" spans="1:18" ht="27" customHeight="1">
      <c r="A535" s="117">
        <v>530</v>
      </c>
      <c r="B535" s="117" t="s">
        <v>1426</v>
      </c>
      <c r="C535" s="117" t="s">
        <v>1380</v>
      </c>
      <c r="D535" s="117" t="s">
        <v>1381</v>
      </c>
      <c r="E535" s="117" t="s">
        <v>2</v>
      </c>
      <c r="F535" s="117">
        <v>639</v>
      </c>
      <c r="G535" s="117">
        <v>4</v>
      </c>
      <c r="H535" s="117">
        <v>4</v>
      </c>
      <c r="I535" s="117"/>
      <c r="J535" s="117"/>
      <c r="K535" s="117" t="s">
        <v>2041</v>
      </c>
      <c r="L535" s="117" t="s">
        <v>564</v>
      </c>
      <c r="M535" s="117" t="s">
        <v>17</v>
      </c>
      <c r="N535" s="117" t="s">
        <v>72</v>
      </c>
      <c r="O535" s="117"/>
      <c r="P535" s="117"/>
      <c r="Q535" s="117"/>
      <c r="R535" s="117"/>
    </row>
    <row r="536" spans="1:18" ht="27" customHeight="1">
      <c r="A536" s="117">
        <v>531</v>
      </c>
      <c r="B536" s="117" t="s">
        <v>1426</v>
      </c>
      <c r="C536" s="117" t="s">
        <v>1382</v>
      </c>
      <c r="D536" s="117" t="s">
        <v>1383</v>
      </c>
      <c r="E536" s="117" t="s">
        <v>6</v>
      </c>
      <c r="F536" s="117">
        <v>149</v>
      </c>
      <c r="G536" s="117">
        <v>11</v>
      </c>
      <c r="H536" s="117">
        <v>11</v>
      </c>
      <c r="I536" s="117"/>
      <c r="J536" s="117"/>
      <c r="K536" s="117" t="s">
        <v>2034</v>
      </c>
      <c r="L536" s="117" t="s">
        <v>1439</v>
      </c>
      <c r="M536" s="117" t="s">
        <v>17</v>
      </c>
      <c r="N536" s="117" t="s">
        <v>18</v>
      </c>
      <c r="O536" s="117"/>
      <c r="P536" s="117"/>
      <c r="Q536" s="117"/>
      <c r="R536" s="117"/>
    </row>
    <row r="537" spans="1:18" ht="27" customHeight="1">
      <c r="A537" s="117">
        <v>532</v>
      </c>
      <c r="B537" s="117" t="s">
        <v>1426</v>
      </c>
      <c r="C537" s="117" t="s">
        <v>909</v>
      </c>
      <c r="D537" s="117" t="s">
        <v>910</v>
      </c>
      <c r="E537" s="117" t="s">
        <v>0</v>
      </c>
      <c r="F537" s="117">
        <v>349</v>
      </c>
      <c r="G537" s="117">
        <v>151</v>
      </c>
      <c r="H537" s="117">
        <v>151</v>
      </c>
      <c r="I537" s="117"/>
      <c r="J537" s="117"/>
      <c r="K537" s="117" t="s">
        <v>18</v>
      </c>
      <c r="L537" s="117"/>
      <c r="M537" s="117" t="s">
        <v>17</v>
      </c>
      <c r="N537" s="117" t="s">
        <v>18</v>
      </c>
      <c r="O537" s="117"/>
      <c r="P537" s="117"/>
      <c r="Q537" s="117"/>
      <c r="R537" s="117"/>
    </row>
    <row r="538" spans="1:18" ht="27" customHeight="1">
      <c r="A538" s="117">
        <v>533</v>
      </c>
      <c r="B538" s="117" t="s">
        <v>1426</v>
      </c>
      <c r="C538" s="117" t="s">
        <v>911</v>
      </c>
      <c r="D538" s="117" t="s">
        <v>53</v>
      </c>
      <c r="E538" s="117" t="s">
        <v>3</v>
      </c>
      <c r="F538" s="117">
        <v>897</v>
      </c>
      <c r="G538" s="117">
        <v>763</v>
      </c>
      <c r="H538" s="117">
        <v>763</v>
      </c>
      <c r="I538" s="117"/>
      <c r="J538" s="117"/>
      <c r="K538" s="117" t="s">
        <v>205</v>
      </c>
      <c r="L538" s="117"/>
      <c r="M538" s="117" t="s">
        <v>17</v>
      </c>
      <c r="N538" s="117" t="s">
        <v>205</v>
      </c>
      <c r="O538" s="117"/>
      <c r="P538" s="117"/>
      <c r="Q538" s="117"/>
      <c r="R538" s="117"/>
    </row>
    <row r="539" spans="1:18" ht="27" customHeight="1">
      <c r="A539" s="117">
        <v>534</v>
      </c>
      <c r="B539" s="117" t="s">
        <v>1426</v>
      </c>
      <c r="C539" s="117" t="s">
        <v>54</v>
      </c>
      <c r="D539" s="117" t="s">
        <v>54</v>
      </c>
      <c r="E539" s="117" t="s">
        <v>6</v>
      </c>
      <c r="F539" s="117">
        <v>62</v>
      </c>
      <c r="G539" s="117">
        <v>62</v>
      </c>
      <c r="H539" s="117">
        <v>62</v>
      </c>
      <c r="I539" s="117"/>
      <c r="J539" s="117"/>
      <c r="K539" s="117" t="s">
        <v>2042</v>
      </c>
      <c r="L539" s="117" t="s">
        <v>1440</v>
      </c>
      <c r="M539" s="117" t="s">
        <v>17</v>
      </c>
      <c r="N539" s="117" t="s">
        <v>18</v>
      </c>
      <c r="O539" s="117"/>
      <c r="P539" s="117"/>
      <c r="Q539" s="117"/>
      <c r="R539" s="117"/>
    </row>
    <row r="540" spans="1:18" ht="27" customHeight="1">
      <c r="A540" s="117">
        <v>535</v>
      </c>
      <c r="B540" s="117" t="s">
        <v>1426</v>
      </c>
      <c r="C540" s="117" t="s">
        <v>912</v>
      </c>
      <c r="D540" s="117" t="s">
        <v>913</v>
      </c>
      <c r="E540" s="117" t="s">
        <v>23</v>
      </c>
      <c r="F540" s="117">
        <v>394</v>
      </c>
      <c r="G540" s="117">
        <v>13</v>
      </c>
      <c r="H540" s="117">
        <v>13</v>
      </c>
      <c r="I540" s="117"/>
      <c r="J540" s="117"/>
      <c r="K540" s="117" t="s">
        <v>18</v>
      </c>
      <c r="L540" s="117"/>
      <c r="M540" s="117" t="s">
        <v>17</v>
      </c>
      <c r="N540" s="117" t="s">
        <v>18</v>
      </c>
      <c r="O540" s="117"/>
      <c r="P540" s="117"/>
      <c r="Q540" s="117"/>
      <c r="R540" s="117"/>
    </row>
    <row r="541" spans="1:18" ht="27" customHeight="1">
      <c r="A541" s="117">
        <v>536</v>
      </c>
      <c r="B541" s="117" t="s">
        <v>1426</v>
      </c>
      <c r="C541" s="117" t="s">
        <v>914</v>
      </c>
      <c r="D541" s="117" t="s">
        <v>915</v>
      </c>
      <c r="E541" s="117" t="s">
        <v>11</v>
      </c>
      <c r="F541" s="117">
        <v>5785</v>
      </c>
      <c r="G541" s="117">
        <v>236</v>
      </c>
      <c r="H541" s="117">
        <v>236</v>
      </c>
      <c r="I541" s="117"/>
      <c r="J541" s="117"/>
      <c r="K541" s="117" t="s">
        <v>2042</v>
      </c>
      <c r="L541" s="117" t="s">
        <v>1440</v>
      </c>
      <c r="M541" s="117" t="s">
        <v>17</v>
      </c>
      <c r="N541" s="117" t="s">
        <v>18</v>
      </c>
      <c r="O541" s="117"/>
      <c r="P541" s="117"/>
      <c r="Q541" s="117"/>
      <c r="R541" s="117"/>
    </row>
    <row r="542" spans="1:18" ht="27" customHeight="1">
      <c r="A542" s="117">
        <v>537</v>
      </c>
      <c r="B542" s="117" t="s">
        <v>1426</v>
      </c>
      <c r="C542" s="117" t="s">
        <v>916</v>
      </c>
      <c r="D542" s="117" t="s">
        <v>917</v>
      </c>
      <c r="E542" s="117" t="s">
        <v>0</v>
      </c>
      <c r="F542" s="117">
        <v>1021</v>
      </c>
      <c r="G542" s="117">
        <v>257</v>
      </c>
      <c r="H542" s="117">
        <v>257</v>
      </c>
      <c r="I542" s="117"/>
      <c r="J542" s="117"/>
      <c r="K542" s="117" t="s">
        <v>18</v>
      </c>
      <c r="L542" s="117"/>
      <c r="M542" s="117" t="s">
        <v>17</v>
      </c>
      <c r="N542" s="117" t="s">
        <v>18</v>
      </c>
      <c r="O542" s="117"/>
      <c r="P542" s="117"/>
      <c r="Q542" s="117"/>
      <c r="R542" s="117"/>
    </row>
    <row r="543" spans="1:18" ht="27" customHeight="1">
      <c r="A543" s="117">
        <v>538</v>
      </c>
      <c r="B543" s="117" t="s">
        <v>1426</v>
      </c>
      <c r="C543" s="117" t="s">
        <v>918</v>
      </c>
      <c r="D543" s="117" t="s">
        <v>918</v>
      </c>
      <c r="E543" s="117" t="s">
        <v>23</v>
      </c>
      <c r="F543" s="117">
        <v>176</v>
      </c>
      <c r="G543" s="117">
        <v>176</v>
      </c>
      <c r="H543" s="117">
        <v>176</v>
      </c>
      <c r="I543" s="117"/>
      <c r="J543" s="117"/>
      <c r="K543" s="117" t="s">
        <v>18</v>
      </c>
      <c r="L543" s="117"/>
      <c r="M543" s="117" t="s">
        <v>17</v>
      </c>
      <c r="N543" s="117" t="s">
        <v>18</v>
      </c>
      <c r="O543" s="117"/>
      <c r="P543" s="117"/>
      <c r="Q543" s="117"/>
      <c r="R543" s="117"/>
    </row>
    <row r="544" spans="1:18" ht="27" customHeight="1">
      <c r="A544" s="117">
        <v>539</v>
      </c>
      <c r="B544" s="117" t="s">
        <v>1426</v>
      </c>
      <c r="C544" s="117" t="s">
        <v>919</v>
      </c>
      <c r="D544" s="117" t="s">
        <v>919</v>
      </c>
      <c r="E544" s="117" t="s">
        <v>3</v>
      </c>
      <c r="F544" s="117">
        <v>44</v>
      </c>
      <c r="G544" s="117">
        <v>44</v>
      </c>
      <c r="H544" s="117">
        <v>44</v>
      </c>
      <c r="I544" s="117"/>
      <c r="J544" s="117"/>
      <c r="K544" s="117" t="s">
        <v>205</v>
      </c>
      <c r="L544" s="117"/>
      <c r="M544" s="117" t="s">
        <v>17</v>
      </c>
      <c r="N544" s="117" t="s">
        <v>205</v>
      </c>
      <c r="O544" s="117"/>
      <c r="P544" s="117"/>
      <c r="Q544" s="117"/>
      <c r="R544" s="117"/>
    </row>
    <row r="545" spans="1:18" ht="27" customHeight="1">
      <c r="A545" s="117">
        <v>540</v>
      </c>
      <c r="B545" s="117" t="s">
        <v>1426</v>
      </c>
      <c r="C545" s="117" t="s">
        <v>65</v>
      </c>
      <c r="D545" s="117" t="s">
        <v>65</v>
      </c>
      <c r="E545" s="117" t="s">
        <v>0</v>
      </c>
      <c r="F545" s="117">
        <v>813</v>
      </c>
      <c r="G545" s="117">
        <v>813</v>
      </c>
      <c r="H545" s="117">
        <v>813</v>
      </c>
      <c r="I545" s="117"/>
      <c r="J545" s="117"/>
      <c r="K545" s="117" t="s">
        <v>18</v>
      </c>
      <c r="L545" s="117"/>
      <c r="M545" s="117" t="s">
        <v>17</v>
      </c>
      <c r="N545" s="117" t="s">
        <v>18</v>
      </c>
      <c r="O545" s="117"/>
      <c r="P545" s="117"/>
      <c r="Q545" s="117"/>
      <c r="R545" s="117"/>
    </row>
    <row r="546" spans="1:18" ht="27" customHeight="1">
      <c r="A546" s="117">
        <v>541</v>
      </c>
      <c r="B546" s="117" t="s">
        <v>1426</v>
      </c>
      <c r="C546" s="117" t="s">
        <v>920</v>
      </c>
      <c r="D546" s="117" t="s">
        <v>920</v>
      </c>
      <c r="E546" s="117" t="s">
        <v>3</v>
      </c>
      <c r="F546" s="117">
        <v>62</v>
      </c>
      <c r="G546" s="117">
        <v>62</v>
      </c>
      <c r="H546" s="117">
        <v>62</v>
      </c>
      <c r="I546" s="117"/>
      <c r="J546" s="117"/>
      <c r="K546" s="117" t="s">
        <v>2043</v>
      </c>
      <c r="L546" s="117"/>
      <c r="M546" s="117" t="s">
        <v>17</v>
      </c>
      <c r="N546" s="117" t="s">
        <v>18</v>
      </c>
      <c r="O546" s="117"/>
      <c r="P546" s="117"/>
      <c r="Q546" s="117"/>
      <c r="R546" s="117"/>
    </row>
    <row r="547" spans="1:18" ht="27" customHeight="1">
      <c r="A547" s="117">
        <v>542</v>
      </c>
      <c r="B547" s="117" t="s">
        <v>1426</v>
      </c>
      <c r="C547" s="117" t="s">
        <v>64</v>
      </c>
      <c r="D547" s="117" t="s">
        <v>921</v>
      </c>
      <c r="E547" s="117" t="s">
        <v>0</v>
      </c>
      <c r="F547" s="117">
        <v>1267</v>
      </c>
      <c r="G547" s="117">
        <v>564</v>
      </c>
      <c r="H547" s="117">
        <v>564</v>
      </c>
      <c r="I547" s="117"/>
      <c r="J547" s="117"/>
      <c r="K547" s="117" t="s">
        <v>2044</v>
      </c>
      <c r="L547" s="117" t="s">
        <v>1441</v>
      </c>
      <c r="M547" s="117" t="s">
        <v>17</v>
      </c>
      <c r="N547" s="117" t="s">
        <v>18</v>
      </c>
      <c r="O547" s="117"/>
      <c r="P547" s="117"/>
      <c r="Q547" s="117"/>
      <c r="R547" s="117"/>
    </row>
    <row r="548" spans="1:18" ht="27" customHeight="1">
      <c r="A548" s="117">
        <v>543</v>
      </c>
      <c r="B548" s="117" t="s">
        <v>1426</v>
      </c>
      <c r="C548" s="117" t="s">
        <v>923</v>
      </c>
      <c r="D548" s="117" t="s">
        <v>924</v>
      </c>
      <c r="E548" s="117" t="s">
        <v>0</v>
      </c>
      <c r="F548" s="117">
        <v>1155</v>
      </c>
      <c r="G548" s="117">
        <v>677</v>
      </c>
      <c r="H548" s="117">
        <v>677</v>
      </c>
      <c r="I548" s="117"/>
      <c r="J548" s="117"/>
      <c r="K548" s="117" t="s">
        <v>2045</v>
      </c>
      <c r="L548" s="117" t="s">
        <v>1442</v>
      </c>
      <c r="M548" s="117" t="s">
        <v>17</v>
      </c>
      <c r="N548" s="117" t="s">
        <v>18</v>
      </c>
      <c r="O548" s="117"/>
      <c r="P548" s="117"/>
      <c r="Q548" s="117"/>
      <c r="R548" s="117"/>
    </row>
    <row r="549" spans="1:18" ht="27" customHeight="1">
      <c r="A549" s="117">
        <v>544</v>
      </c>
      <c r="B549" s="117" t="s">
        <v>1426</v>
      </c>
      <c r="C549" s="117" t="s">
        <v>20</v>
      </c>
      <c r="D549" s="117" t="s">
        <v>925</v>
      </c>
      <c r="E549" s="117" t="s">
        <v>0</v>
      </c>
      <c r="F549" s="117">
        <v>1795</v>
      </c>
      <c r="G549" s="117">
        <v>881</v>
      </c>
      <c r="H549" s="117">
        <v>881</v>
      </c>
      <c r="I549" s="117"/>
      <c r="J549" s="117"/>
      <c r="K549" s="117" t="s">
        <v>2046</v>
      </c>
      <c r="L549" s="117" t="s">
        <v>1443</v>
      </c>
      <c r="M549" s="117" t="s">
        <v>17</v>
      </c>
      <c r="N549" s="117" t="s">
        <v>18</v>
      </c>
      <c r="O549" s="117"/>
      <c r="P549" s="117"/>
      <c r="Q549" s="117"/>
      <c r="R549" s="117"/>
    </row>
    <row r="550" spans="1:18" ht="27" customHeight="1">
      <c r="A550" s="117">
        <v>545</v>
      </c>
      <c r="B550" s="117" t="s">
        <v>1426</v>
      </c>
      <c r="C550" s="117" t="s">
        <v>926</v>
      </c>
      <c r="D550" s="117" t="s">
        <v>66</v>
      </c>
      <c r="E550" s="117" t="s">
        <v>0</v>
      </c>
      <c r="F550" s="117">
        <v>1323</v>
      </c>
      <c r="G550" s="117">
        <v>56</v>
      </c>
      <c r="H550" s="117">
        <v>56</v>
      </c>
      <c r="I550" s="117"/>
      <c r="J550" s="117"/>
      <c r="K550" s="117" t="s">
        <v>2047</v>
      </c>
      <c r="L550" s="117" t="s">
        <v>1444</v>
      </c>
      <c r="M550" s="117" t="s">
        <v>17</v>
      </c>
      <c r="N550" s="117" t="s">
        <v>18</v>
      </c>
      <c r="O550" s="117"/>
      <c r="P550" s="117"/>
      <c r="Q550" s="117"/>
      <c r="R550" s="117"/>
    </row>
    <row r="551" spans="1:18" ht="27" customHeight="1">
      <c r="A551" s="117">
        <v>546</v>
      </c>
      <c r="B551" s="117" t="s">
        <v>1426</v>
      </c>
      <c r="C551" s="117" t="s">
        <v>927</v>
      </c>
      <c r="D551" s="117" t="s">
        <v>928</v>
      </c>
      <c r="E551" s="117" t="s">
        <v>0</v>
      </c>
      <c r="F551" s="117">
        <v>2565</v>
      </c>
      <c r="G551" s="117">
        <v>423</v>
      </c>
      <c r="H551" s="117">
        <v>423</v>
      </c>
      <c r="I551" s="117"/>
      <c r="J551" s="117"/>
      <c r="K551" s="117" t="s">
        <v>2048</v>
      </c>
      <c r="L551" s="117" t="s">
        <v>1445</v>
      </c>
      <c r="M551" s="117" t="s">
        <v>17</v>
      </c>
      <c r="N551" s="117" t="s">
        <v>18</v>
      </c>
      <c r="O551" s="117"/>
      <c r="P551" s="117"/>
      <c r="Q551" s="117"/>
      <c r="R551" s="117"/>
    </row>
    <row r="552" spans="1:18" ht="27" customHeight="1">
      <c r="A552" s="117">
        <v>547</v>
      </c>
      <c r="B552" s="117" t="s">
        <v>1426</v>
      </c>
      <c r="C552" s="117" t="s">
        <v>929</v>
      </c>
      <c r="D552" s="117" t="s">
        <v>929</v>
      </c>
      <c r="E552" s="117" t="s">
        <v>3</v>
      </c>
      <c r="F552" s="117">
        <v>210</v>
      </c>
      <c r="G552" s="117">
        <v>210</v>
      </c>
      <c r="H552" s="117">
        <v>210</v>
      </c>
      <c r="I552" s="117"/>
      <c r="J552" s="117"/>
      <c r="K552" s="117" t="s">
        <v>205</v>
      </c>
      <c r="L552" s="117"/>
      <c r="M552" s="117" t="s">
        <v>17</v>
      </c>
      <c r="N552" s="117" t="s">
        <v>205</v>
      </c>
      <c r="O552" s="117"/>
      <c r="P552" s="117"/>
      <c r="Q552" s="117"/>
      <c r="R552" s="117"/>
    </row>
    <row r="553" spans="1:18" ht="27" customHeight="1">
      <c r="A553" s="117">
        <v>548</v>
      </c>
      <c r="B553" s="117" t="s">
        <v>1426</v>
      </c>
      <c r="C553" s="117" t="s">
        <v>19</v>
      </c>
      <c r="D553" s="117" t="s">
        <v>930</v>
      </c>
      <c r="E553" s="117" t="s">
        <v>0</v>
      </c>
      <c r="F553" s="117">
        <v>2106</v>
      </c>
      <c r="G553" s="117">
        <v>470</v>
      </c>
      <c r="H553" s="117">
        <v>470</v>
      </c>
      <c r="I553" s="117"/>
      <c r="J553" s="117"/>
      <c r="K553" s="117" t="s">
        <v>2049</v>
      </c>
      <c r="L553" s="117" t="s">
        <v>1446</v>
      </c>
      <c r="M553" s="117" t="s">
        <v>17</v>
      </c>
      <c r="N553" s="117" t="s">
        <v>18</v>
      </c>
      <c r="O553" s="117"/>
      <c r="P553" s="117"/>
      <c r="Q553" s="117"/>
      <c r="R553" s="117"/>
    </row>
    <row r="554" spans="1:18" ht="27" customHeight="1">
      <c r="A554" s="117">
        <v>549</v>
      </c>
      <c r="B554" s="117" t="s">
        <v>1426</v>
      </c>
      <c r="C554" s="117" t="s">
        <v>22</v>
      </c>
      <c r="D554" s="117" t="s">
        <v>931</v>
      </c>
      <c r="E554" s="117" t="s">
        <v>3</v>
      </c>
      <c r="F554" s="117">
        <v>99</v>
      </c>
      <c r="G554" s="117">
        <v>34</v>
      </c>
      <c r="H554" s="117">
        <v>34</v>
      </c>
      <c r="I554" s="117"/>
      <c r="J554" s="117"/>
      <c r="K554" s="117" t="s">
        <v>2049</v>
      </c>
      <c r="L554" s="117" t="s">
        <v>1446</v>
      </c>
      <c r="M554" s="117" t="s">
        <v>17</v>
      </c>
      <c r="N554" s="117" t="s">
        <v>18</v>
      </c>
      <c r="O554" s="117"/>
      <c r="P554" s="117"/>
      <c r="Q554" s="117"/>
      <c r="R554" s="117"/>
    </row>
    <row r="555" spans="1:18" ht="27" customHeight="1">
      <c r="A555" s="117">
        <v>550</v>
      </c>
      <c r="B555" s="117" t="s">
        <v>1426</v>
      </c>
      <c r="C555" s="117" t="s">
        <v>932</v>
      </c>
      <c r="D555" s="117" t="s">
        <v>933</v>
      </c>
      <c r="E555" s="117" t="s">
        <v>3</v>
      </c>
      <c r="F555" s="117">
        <v>830</v>
      </c>
      <c r="G555" s="117">
        <v>185</v>
      </c>
      <c r="H555" s="117">
        <v>185</v>
      </c>
      <c r="I555" s="117"/>
      <c r="J555" s="117"/>
      <c r="K555" s="117" t="s">
        <v>205</v>
      </c>
      <c r="L555" s="117"/>
      <c r="M555" s="117" t="s">
        <v>17</v>
      </c>
      <c r="N555" s="117" t="s">
        <v>205</v>
      </c>
      <c r="O555" s="117"/>
      <c r="P555" s="117"/>
      <c r="Q555" s="117"/>
      <c r="R555" s="117"/>
    </row>
    <row r="556" spans="1:18" ht="27" customHeight="1">
      <c r="A556" s="117">
        <v>551</v>
      </c>
      <c r="B556" s="117" t="s">
        <v>1426</v>
      </c>
      <c r="C556" s="117" t="s">
        <v>934</v>
      </c>
      <c r="D556" s="117" t="s">
        <v>935</v>
      </c>
      <c r="E556" s="117" t="s">
        <v>0</v>
      </c>
      <c r="F556" s="117">
        <v>1686</v>
      </c>
      <c r="G556" s="117">
        <v>546</v>
      </c>
      <c r="H556" s="117">
        <v>546</v>
      </c>
      <c r="I556" s="117"/>
      <c r="J556" s="117"/>
      <c r="K556" s="117" t="s">
        <v>2034</v>
      </c>
      <c r="L556" s="117" t="s">
        <v>1439</v>
      </c>
      <c r="M556" s="117" t="s">
        <v>17</v>
      </c>
      <c r="N556" s="117" t="s">
        <v>18</v>
      </c>
      <c r="O556" s="117"/>
      <c r="P556" s="117"/>
      <c r="Q556" s="117"/>
      <c r="R556" s="117"/>
    </row>
    <row r="557" spans="1:18" ht="27" customHeight="1">
      <c r="A557" s="117">
        <v>552</v>
      </c>
      <c r="B557" s="117" t="s">
        <v>1426</v>
      </c>
      <c r="C557" s="117" t="s">
        <v>637</v>
      </c>
      <c r="D557" s="117" t="s">
        <v>637</v>
      </c>
      <c r="E557" s="117" t="s">
        <v>16</v>
      </c>
      <c r="F557" s="117">
        <v>8375</v>
      </c>
      <c r="G557" s="117">
        <v>40</v>
      </c>
      <c r="H557" s="117">
        <v>40</v>
      </c>
      <c r="I557" s="117"/>
      <c r="J557" s="117"/>
      <c r="K557" s="117" t="s">
        <v>17</v>
      </c>
      <c r="L557" s="117" t="s">
        <v>72</v>
      </c>
      <c r="M557" s="117" t="s">
        <v>17</v>
      </c>
      <c r="N557" s="117" t="s">
        <v>72</v>
      </c>
      <c r="O557" s="117"/>
      <c r="P557" s="117"/>
      <c r="Q557" s="117"/>
      <c r="R557" s="117"/>
    </row>
    <row r="558" spans="1:18" ht="27" customHeight="1">
      <c r="A558" s="117">
        <v>553</v>
      </c>
      <c r="B558" s="117" t="s">
        <v>1426</v>
      </c>
      <c r="C558" s="117" t="s">
        <v>936</v>
      </c>
      <c r="D558" s="117" t="s">
        <v>1306</v>
      </c>
      <c r="E558" s="117" t="s">
        <v>3</v>
      </c>
      <c r="F558" s="117">
        <v>197</v>
      </c>
      <c r="G558" s="117">
        <v>3</v>
      </c>
      <c r="H558" s="117">
        <v>21</v>
      </c>
      <c r="I558" s="117"/>
      <c r="J558" s="117"/>
      <c r="K558" s="117" t="s">
        <v>17</v>
      </c>
      <c r="L558" s="117" t="s">
        <v>72</v>
      </c>
      <c r="M558" s="117" t="s">
        <v>17</v>
      </c>
      <c r="N558" s="117" t="s">
        <v>72</v>
      </c>
      <c r="O558" s="117"/>
      <c r="P558" s="117"/>
      <c r="Q558" s="117"/>
      <c r="R558" s="117"/>
    </row>
    <row r="559" spans="1:18" ht="27" customHeight="1">
      <c r="A559" s="117">
        <v>554</v>
      </c>
      <c r="B559" s="117" t="s">
        <v>1426</v>
      </c>
      <c r="C559" s="117" t="s">
        <v>937</v>
      </c>
      <c r="D559" s="117" t="s">
        <v>938</v>
      </c>
      <c r="E559" s="117" t="s">
        <v>0</v>
      </c>
      <c r="F559" s="117">
        <v>27</v>
      </c>
      <c r="G559" s="117">
        <v>8</v>
      </c>
      <c r="H559" s="117">
        <v>8</v>
      </c>
      <c r="I559" s="117"/>
      <c r="J559" s="117"/>
      <c r="K559" s="117" t="s">
        <v>18</v>
      </c>
      <c r="L559" s="117"/>
      <c r="M559" s="117" t="s">
        <v>17</v>
      </c>
      <c r="N559" s="117" t="s">
        <v>18</v>
      </c>
      <c r="O559" s="117"/>
      <c r="P559" s="117"/>
      <c r="Q559" s="117"/>
      <c r="R559" s="117"/>
    </row>
    <row r="560" spans="1:18" ht="27" customHeight="1">
      <c r="A560" s="117">
        <v>555</v>
      </c>
      <c r="B560" s="117" t="s">
        <v>1426</v>
      </c>
      <c r="C560" s="117" t="s">
        <v>52</v>
      </c>
      <c r="D560" s="117" t="s">
        <v>49</v>
      </c>
      <c r="E560" s="117" t="s">
        <v>23</v>
      </c>
      <c r="F560" s="117">
        <v>1816</v>
      </c>
      <c r="G560" s="117">
        <v>3</v>
      </c>
      <c r="H560" s="117">
        <v>3</v>
      </c>
      <c r="I560" s="117"/>
      <c r="J560" s="117"/>
      <c r="K560" s="117" t="s">
        <v>18</v>
      </c>
      <c r="L560" s="117"/>
      <c r="M560" s="117" t="s">
        <v>17</v>
      </c>
      <c r="N560" s="117" t="s">
        <v>18</v>
      </c>
      <c r="O560" s="117"/>
      <c r="P560" s="117"/>
      <c r="Q560" s="117"/>
      <c r="R560" s="117"/>
    </row>
    <row r="561" spans="1:18" ht="27" customHeight="1">
      <c r="A561" s="117">
        <v>556</v>
      </c>
      <c r="B561" s="117" t="s">
        <v>1426</v>
      </c>
      <c r="C561" s="117" t="s">
        <v>52</v>
      </c>
      <c r="D561" s="117" t="s">
        <v>48</v>
      </c>
      <c r="E561" s="117" t="s">
        <v>23</v>
      </c>
      <c r="F561" s="117">
        <v>1716</v>
      </c>
      <c r="G561" s="117">
        <v>37</v>
      </c>
      <c r="H561" s="117">
        <v>37</v>
      </c>
      <c r="I561" s="117"/>
      <c r="J561" s="117"/>
      <c r="K561" s="117" t="s">
        <v>18</v>
      </c>
      <c r="L561" s="117"/>
      <c r="M561" s="117" t="s">
        <v>17</v>
      </c>
      <c r="N561" s="117" t="s">
        <v>18</v>
      </c>
      <c r="O561" s="117"/>
      <c r="P561" s="117"/>
      <c r="Q561" s="117"/>
      <c r="R561" s="117"/>
    </row>
    <row r="562" spans="1:18" ht="27" customHeight="1">
      <c r="A562" s="117">
        <v>557</v>
      </c>
      <c r="B562" s="117" t="s">
        <v>1426</v>
      </c>
      <c r="C562" s="117" t="s">
        <v>939</v>
      </c>
      <c r="D562" s="117" t="s">
        <v>940</v>
      </c>
      <c r="E562" s="117" t="s">
        <v>0</v>
      </c>
      <c r="F562" s="117">
        <v>644</v>
      </c>
      <c r="G562" s="117">
        <v>1</v>
      </c>
      <c r="H562" s="117">
        <v>1</v>
      </c>
      <c r="I562" s="117"/>
      <c r="J562" s="117"/>
      <c r="K562" s="117" t="s">
        <v>2050</v>
      </c>
      <c r="L562" s="117" t="s">
        <v>1449</v>
      </c>
      <c r="M562" s="117" t="s">
        <v>17</v>
      </c>
      <c r="N562" s="117" t="s">
        <v>18</v>
      </c>
      <c r="O562" s="117"/>
      <c r="P562" s="117"/>
      <c r="Q562" s="117"/>
      <c r="R562" s="117"/>
    </row>
    <row r="563" spans="1:18" ht="27" customHeight="1">
      <c r="A563" s="117">
        <v>558</v>
      </c>
      <c r="B563" s="117" t="s">
        <v>1426</v>
      </c>
      <c r="C563" s="117" t="s">
        <v>941</v>
      </c>
      <c r="D563" s="117" t="s">
        <v>1316</v>
      </c>
      <c r="E563" s="117" t="s">
        <v>3</v>
      </c>
      <c r="F563" s="117">
        <v>662</v>
      </c>
      <c r="G563" s="117">
        <v>536</v>
      </c>
      <c r="H563" s="117">
        <v>476</v>
      </c>
      <c r="I563" s="117"/>
      <c r="J563" s="117"/>
      <c r="K563" s="117" t="s">
        <v>18</v>
      </c>
      <c r="L563" s="117"/>
      <c r="M563" s="117" t="s">
        <v>17</v>
      </c>
      <c r="N563" s="117" t="s">
        <v>18</v>
      </c>
      <c r="O563" s="117"/>
      <c r="P563" s="117"/>
      <c r="Q563" s="117"/>
      <c r="R563" s="117"/>
    </row>
    <row r="564" spans="1:18" ht="27" customHeight="1">
      <c r="A564" s="117">
        <v>559</v>
      </c>
      <c r="B564" s="117" t="s">
        <v>1426</v>
      </c>
      <c r="C564" s="117" t="s">
        <v>942</v>
      </c>
      <c r="D564" s="117" t="s">
        <v>1317</v>
      </c>
      <c r="E564" s="117" t="s">
        <v>0</v>
      </c>
      <c r="F564" s="117">
        <v>295</v>
      </c>
      <c r="G564" s="117">
        <v>163</v>
      </c>
      <c r="H564" s="117">
        <v>153</v>
      </c>
      <c r="I564" s="117"/>
      <c r="J564" s="117"/>
      <c r="K564" s="117" t="s">
        <v>205</v>
      </c>
      <c r="L564" s="117"/>
      <c r="M564" s="117" t="s">
        <v>17</v>
      </c>
      <c r="N564" s="117" t="s">
        <v>205</v>
      </c>
      <c r="O564" s="117"/>
      <c r="P564" s="117"/>
      <c r="Q564" s="117"/>
      <c r="R564" s="117"/>
    </row>
    <row r="565" spans="1:18" ht="27" customHeight="1">
      <c r="A565" s="117">
        <v>560</v>
      </c>
      <c r="B565" s="117" t="s">
        <v>1426</v>
      </c>
      <c r="C565" s="117" t="s">
        <v>943</v>
      </c>
      <c r="D565" s="117" t="s">
        <v>1318</v>
      </c>
      <c r="E565" s="117" t="s">
        <v>3</v>
      </c>
      <c r="F565" s="117">
        <v>309</v>
      </c>
      <c r="G565" s="117">
        <v>233</v>
      </c>
      <c r="H565" s="117">
        <v>212</v>
      </c>
      <c r="I565" s="117"/>
      <c r="J565" s="117"/>
      <c r="K565" s="117" t="s">
        <v>18</v>
      </c>
      <c r="L565" s="117"/>
      <c r="M565" s="117" t="s">
        <v>17</v>
      </c>
      <c r="N565" s="117" t="s">
        <v>18</v>
      </c>
      <c r="O565" s="117"/>
      <c r="P565" s="117"/>
      <c r="Q565" s="117"/>
      <c r="R565" s="117" t="s">
        <v>1337</v>
      </c>
    </row>
    <row r="566" spans="1:18" ht="27" customHeight="1">
      <c r="A566" s="117">
        <v>561</v>
      </c>
      <c r="B566" s="117" t="s">
        <v>1426</v>
      </c>
      <c r="C566" s="117" t="s">
        <v>944</v>
      </c>
      <c r="D566" s="117" t="s">
        <v>945</v>
      </c>
      <c r="E566" s="117" t="s">
        <v>3</v>
      </c>
      <c r="F566" s="117">
        <v>6259</v>
      </c>
      <c r="G566" s="117">
        <v>2551</v>
      </c>
      <c r="H566" s="117">
        <v>2551</v>
      </c>
      <c r="I566" s="117"/>
      <c r="J566" s="117"/>
      <c r="K566" s="117" t="s">
        <v>205</v>
      </c>
      <c r="L566" s="117"/>
      <c r="M566" s="117" t="s">
        <v>17</v>
      </c>
      <c r="N566" s="117" t="s">
        <v>205</v>
      </c>
      <c r="O566" s="117"/>
      <c r="P566" s="117"/>
      <c r="Q566" s="117"/>
      <c r="R566" s="117"/>
    </row>
    <row r="567" spans="1:18" ht="27" customHeight="1">
      <c r="A567" s="117">
        <v>562</v>
      </c>
      <c r="B567" s="117" t="s">
        <v>1426</v>
      </c>
      <c r="C567" s="117" t="s">
        <v>5</v>
      </c>
      <c r="D567" s="117" t="s">
        <v>7</v>
      </c>
      <c r="E567" s="117" t="s">
        <v>3</v>
      </c>
      <c r="F567" s="117">
        <v>688</v>
      </c>
      <c r="G567" s="117">
        <v>580</v>
      </c>
      <c r="H567" s="117">
        <v>580</v>
      </c>
      <c r="I567" s="117"/>
      <c r="J567" s="117"/>
      <c r="K567" s="117" t="s">
        <v>205</v>
      </c>
      <c r="L567" s="117"/>
      <c r="M567" s="117" t="s">
        <v>17</v>
      </c>
      <c r="N567" s="117" t="s">
        <v>205</v>
      </c>
      <c r="O567" s="117"/>
      <c r="P567" s="117"/>
      <c r="Q567" s="117"/>
      <c r="R567" s="117"/>
    </row>
    <row r="568" spans="1:18" ht="27" customHeight="1">
      <c r="A568" s="117">
        <v>563</v>
      </c>
      <c r="B568" s="117" t="s">
        <v>1426</v>
      </c>
      <c r="C568" s="117" t="s">
        <v>69</v>
      </c>
      <c r="D568" s="117" t="s">
        <v>61</v>
      </c>
      <c r="E568" s="117" t="s">
        <v>3</v>
      </c>
      <c r="F568" s="117">
        <v>1539</v>
      </c>
      <c r="G568" s="117">
        <v>719</v>
      </c>
      <c r="H568" s="117">
        <v>719</v>
      </c>
      <c r="I568" s="117"/>
      <c r="J568" s="117"/>
      <c r="K568" s="117" t="s">
        <v>205</v>
      </c>
      <c r="L568" s="117"/>
      <c r="M568" s="117" t="s">
        <v>17</v>
      </c>
      <c r="N568" s="117" t="s">
        <v>205</v>
      </c>
      <c r="O568" s="117"/>
      <c r="P568" s="117"/>
      <c r="Q568" s="117"/>
      <c r="R568" s="117"/>
    </row>
    <row r="569" spans="1:18" ht="27" customHeight="1">
      <c r="A569" s="117">
        <v>564</v>
      </c>
      <c r="B569" s="117" t="s">
        <v>1426</v>
      </c>
      <c r="C569" s="117" t="s">
        <v>47</v>
      </c>
      <c r="D569" s="117" t="s">
        <v>47</v>
      </c>
      <c r="E569" s="117" t="s">
        <v>0</v>
      </c>
      <c r="F569" s="117">
        <v>47</v>
      </c>
      <c r="G569" s="117">
        <v>0</v>
      </c>
      <c r="H569" s="117">
        <v>47</v>
      </c>
      <c r="I569" s="117"/>
      <c r="J569" s="117"/>
      <c r="K569" s="117" t="s">
        <v>205</v>
      </c>
      <c r="L569" s="117"/>
      <c r="M569" s="117" t="s">
        <v>17</v>
      </c>
      <c r="N569" s="117" t="s">
        <v>205</v>
      </c>
      <c r="O569" s="117"/>
      <c r="P569" s="117"/>
      <c r="Q569" s="117"/>
      <c r="R569" s="117"/>
    </row>
    <row r="570" spans="1:18" ht="27" customHeight="1">
      <c r="A570" s="117">
        <v>565</v>
      </c>
      <c r="B570" s="117" t="s">
        <v>1426</v>
      </c>
      <c r="C570" s="117" t="s">
        <v>9</v>
      </c>
      <c r="D570" s="117" t="s">
        <v>10</v>
      </c>
      <c r="E570" s="117" t="s">
        <v>0</v>
      </c>
      <c r="F570" s="117">
        <v>45</v>
      </c>
      <c r="G570" s="117">
        <v>26</v>
      </c>
      <c r="H570" s="117">
        <v>26</v>
      </c>
      <c r="I570" s="117"/>
      <c r="J570" s="117"/>
      <c r="K570" s="117" t="s">
        <v>205</v>
      </c>
      <c r="L570" s="117"/>
      <c r="M570" s="117" t="s">
        <v>17</v>
      </c>
      <c r="N570" s="117" t="s">
        <v>205</v>
      </c>
      <c r="O570" s="117"/>
      <c r="P570" s="117"/>
      <c r="Q570" s="117"/>
      <c r="R570" s="117"/>
    </row>
    <row r="571" spans="1:18" ht="27" customHeight="1">
      <c r="A571" s="117">
        <v>566</v>
      </c>
      <c r="B571" s="117" t="s">
        <v>1426</v>
      </c>
      <c r="C571" s="117" t="s">
        <v>946</v>
      </c>
      <c r="D571" s="117" t="s">
        <v>8</v>
      </c>
      <c r="E571" s="117" t="s">
        <v>0</v>
      </c>
      <c r="F571" s="117">
        <v>1374</v>
      </c>
      <c r="G571" s="117">
        <v>11</v>
      </c>
      <c r="H571" s="117">
        <v>11</v>
      </c>
      <c r="I571" s="117"/>
      <c r="J571" s="117"/>
      <c r="K571" s="117" t="s">
        <v>1981</v>
      </c>
      <c r="L571" s="117" t="s">
        <v>1453</v>
      </c>
      <c r="M571" s="117" t="s">
        <v>17</v>
      </c>
      <c r="N571" s="117" t="s">
        <v>18</v>
      </c>
      <c r="O571" s="117"/>
      <c r="P571" s="117"/>
      <c r="Q571" s="117"/>
      <c r="R571" s="117"/>
    </row>
    <row r="572" spans="1:18" ht="27" customHeight="1">
      <c r="A572" s="117">
        <v>567</v>
      </c>
      <c r="B572" s="117" t="s">
        <v>1426</v>
      </c>
      <c r="C572" s="117" t="s">
        <v>947</v>
      </c>
      <c r="D572" s="117" t="s">
        <v>948</v>
      </c>
      <c r="E572" s="117" t="s">
        <v>0</v>
      </c>
      <c r="F572" s="117">
        <v>2175</v>
      </c>
      <c r="G572" s="117">
        <v>177</v>
      </c>
      <c r="H572" s="117">
        <v>177</v>
      </c>
      <c r="I572" s="117"/>
      <c r="J572" s="117"/>
      <c r="K572" s="117" t="s">
        <v>2051</v>
      </c>
      <c r="L572" s="117" t="s">
        <v>1455</v>
      </c>
      <c r="M572" s="117" t="s">
        <v>17</v>
      </c>
      <c r="N572" s="117" t="s">
        <v>18</v>
      </c>
      <c r="O572" s="117"/>
      <c r="P572" s="117"/>
      <c r="Q572" s="117"/>
      <c r="R572" s="117"/>
    </row>
    <row r="573" spans="1:18" ht="27" customHeight="1">
      <c r="A573" s="117">
        <v>568</v>
      </c>
      <c r="B573" s="117" t="s">
        <v>1426</v>
      </c>
      <c r="C573" s="117" t="s">
        <v>949</v>
      </c>
      <c r="D573" s="117" t="s">
        <v>950</v>
      </c>
      <c r="E573" s="117" t="s">
        <v>2</v>
      </c>
      <c r="F573" s="117">
        <v>7998</v>
      </c>
      <c r="G573" s="117">
        <v>1756</v>
      </c>
      <c r="H573" s="117">
        <v>1756</v>
      </c>
      <c r="I573" s="117"/>
      <c r="J573" s="117"/>
      <c r="K573" s="117" t="s">
        <v>17</v>
      </c>
      <c r="L573" s="117" t="s">
        <v>78</v>
      </c>
      <c r="M573" s="117" t="s">
        <v>17</v>
      </c>
      <c r="N573" s="117" t="s">
        <v>78</v>
      </c>
      <c r="O573" s="117"/>
      <c r="P573" s="117"/>
      <c r="Q573" s="117"/>
      <c r="R573" s="117"/>
    </row>
    <row r="574" spans="1:18" ht="27" customHeight="1">
      <c r="A574" s="117">
        <v>569</v>
      </c>
      <c r="B574" s="117" t="s">
        <v>1426</v>
      </c>
      <c r="C574" s="117" t="s">
        <v>951</v>
      </c>
      <c r="D574" s="117" t="s">
        <v>951</v>
      </c>
      <c r="E574" s="117" t="s">
        <v>2</v>
      </c>
      <c r="F574" s="117">
        <v>7998</v>
      </c>
      <c r="G574" s="117">
        <v>108</v>
      </c>
      <c r="H574" s="117">
        <v>108</v>
      </c>
      <c r="I574" s="117"/>
      <c r="J574" s="117"/>
      <c r="K574" s="117" t="s">
        <v>17</v>
      </c>
      <c r="L574" s="117" t="s">
        <v>78</v>
      </c>
      <c r="M574" s="117" t="s">
        <v>17</v>
      </c>
      <c r="N574" s="117" t="s">
        <v>78</v>
      </c>
      <c r="O574" s="117"/>
      <c r="P574" s="117"/>
      <c r="Q574" s="117"/>
      <c r="R574" s="117"/>
    </row>
    <row r="575" spans="1:18" ht="27" customHeight="1">
      <c r="A575" s="117">
        <v>570</v>
      </c>
      <c r="B575" s="117" t="s">
        <v>1426</v>
      </c>
      <c r="C575" s="117" t="s">
        <v>952</v>
      </c>
      <c r="D575" s="117" t="s">
        <v>952</v>
      </c>
      <c r="E575" s="117" t="s">
        <v>0</v>
      </c>
      <c r="F575" s="117">
        <v>205</v>
      </c>
      <c r="G575" s="117">
        <v>205</v>
      </c>
      <c r="H575" s="117">
        <v>205</v>
      </c>
      <c r="I575" s="117"/>
      <c r="J575" s="117"/>
      <c r="K575" s="117" t="s">
        <v>205</v>
      </c>
      <c r="L575" s="117"/>
      <c r="M575" s="117" t="s">
        <v>17</v>
      </c>
      <c r="N575" s="117" t="s">
        <v>205</v>
      </c>
      <c r="O575" s="117"/>
      <c r="P575" s="117"/>
      <c r="Q575" s="117"/>
      <c r="R575" s="117"/>
    </row>
    <row r="576" spans="1:18" ht="27" customHeight="1">
      <c r="A576" s="117">
        <v>571</v>
      </c>
      <c r="B576" s="117" t="s">
        <v>1426</v>
      </c>
      <c r="C576" s="117" t="s">
        <v>953</v>
      </c>
      <c r="D576" s="117" t="s">
        <v>954</v>
      </c>
      <c r="E576" s="117" t="s">
        <v>0</v>
      </c>
      <c r="F576" s="117">
        <v>3160</v>
      </c>
      <c r="G576" s="117">
        <v>867</v>
      </c>
      <c r="H576" s="117">
        <v>867</v>
      </c>
      <c r="I576" s="117"/>
      <c r="J576" s="117"/>
      <c r="K576" s="117" t="s">
        <v>2052</v>
      </c>
      <c r="L576" s="117" t="s">
        <v>1456</v>
      </c>
      <c r="M576" s="117" t="s">
        <v>17</v>
      </c>
      <c r="N576" s="117" t="s">
        <v>18</v>
      </c>
      <c r="O576" s="117"/>
      <c r="P576" s="117"/>
      <c r="Q576" s="117"/>
      <c r="R576" s="117"/>
    </row>
    <row r="577" spans="1:18" ht="27" customHeight="1">
      <c r="A577" s="117">
        <v>572</v>
      </c>
      <c r="B577" s="117" t="s">
        <v>1426</v>
      </c>
      <c r="C577" s="117" t="s">
        <v>953</v>
      </c>
      <c r="D577" s="117" t="s">
        <v>955</v>
      </c>
      <c r="E577" s="117" t="s">
        <v>0</v>
      </c>
      <c r="F577" s="117">
        <v>2293</v>
      </c>
      <c r="G577" s="117">
        <v>417</v>
      </c>
      <c r="H577" s="117">
        <v>417</v>
      </c>
      <c r="I577" s="117"/>
      <c r="J577" s="117"/>
      <c r="K577" s="117" t="s">
        <v>2052</v>
      </c>
      <c r="L577" s="117" t="s">
        <v>1457</v>
      </c>
      <c r="M577" s="117" t="s">
        <v>17</v>
      </c>
      <c r="N577" s="117" t="s">
        <v>18</v>
      </c>
      <c r="O577" s="117"/>
      <c r="P577" s="117"/>
      <c r="Q577" s="117"/>
      <c r="R577" s="117"/>
    </row>
    <row r="578" spans="1:18" ht="27" customHeight="1">
      <c r="A578" s="117">
        <v>573</v>
      </c>
      <c r="B578" s="117" t="s">
        <v>1426</v>
      </c>
      <c r="C578" s="117" t="s">
        <v>751</v>
      </c>
      <c r="D578" s="117" t="s">
        <v>751</v>
      </c>
      <c r="E578" s="117" t="s">
        <v>0</v>
      </c>
      <c r="F578" s="117">
        <v>35</v>
      </c>
      <c r="G578" s="117">
        <v>35</v>
      </c>
      <c r="H578" s="117">
        <v>35</v>
      </c>
      <c r="I578" s="117"/>
      <c r="J578" s="117"/>
      <c r="K578" s="117" t="s">
        <v>205</v>
      </c>
      <c r="L578" s="117"/>
      <c r="M578" s="117" t="s">
        <v>17</v>
      </c>
      <c r="N578" s="117" t="s">
        <v>205</v>
      </c>
      <c r="O578" s="117"/>
      <c r="P578" s="117"/>
      <c r="Q578" s="117"/>
      <c r="R578" s="117"/>
    </row>
    <row r="579" spans="1:18" ht="27" customHeight="1">
      <c r="A579" s="117">
        <v>574</v>
      </c>
      <c r="B579" s="117" t="s">
        <v>1426</v>
      </c>
      <c r="C579" s="117" t="s">
        <v>750</v>
      </c>
      <c r="D579" s="117" t="s">
        <v>956</v>
      </c>
      <c r="E579" s="117" t="s">
        <v>0</v>
      </c>
      <c r="F579" s="117">
        <v>1601</v>
      </c>
      <c r="G579" s="117">
        <v>771</v>
      </c>
      <c r="H579" s="117">
        <v>771</v>
      </c>
      <c r="I579" s="117"/>
      <c r="J579" s="117"/>
      <c r="K579" s="117" t="s">
        <v>18</v>
      </c>
      <c r="L579" s="117"/>
      <c r="M579" s="117" t="s">
        <v>17</v>
      </c>
      <c r="N579" s="117" t="s">
        <v>18</v>
      </c>
      <c r="O579" s="117"/>
      <c r="P579" s="117"/>
      <c r="Q579" s="117"/>
      <c r="R579" s="117"/>
    </row>
    <row r="580" spans="1:18" ht="27" customHeight="1">
      <c r="A580" s="117">
        <v>575</v>
      </c>
      <c r="B580" s="117" t="s">
        <v>1426</v>
      </c>
      <c r="C580" s="117" t="s">
        <v>957</v>
      </c>
      <c r="D580" s="117" t="s">
        <v>957</v>
      </c>
      <c r="E580" s="117" t="s">
        <v>1347</v>
      </c>
      <c r="F580" s="117">
        <v>1265</v>
      </c>
      <c r="G580" s="117">
        <v>91</v>
      </c>
      <c r="H580" s="117"/>
      <c r="I580" s="117"/>
      <c r="J580" s="117"/>
      <c r="K580" s="117" t="s">
        <v>2034</v>
      </c>
      <c r="L580" s="117" t="s">
        <v>1458</v>
      </c>
      <c r="M580" s="117" t="s">
        <v>2034</v>
      </c>
      <c r="N580" s="117" t="s">
        <v>1458</v>
      </c>
      <c r="O580" s="117"/>
      <c r="P580" s="117"/>
      <c r="Q580" s="117"/>
      <c r="R580" s="117" t="s">
        <v>1245</v>
      </c>
    </row>
    <row r="581" spans="1:18" ht="27" customHeight="1">
      <c r="A581" s="117">
        <v>576</v>
      </c>
      <c r="B581" s="117" t="s">
        <v>1426</v>
      </c>
      <c r="C581" s="117" t="s">
        <v>958</v>
      </c>
      <c r="D581" s="117" t="s">
        <v>959</v>
      </c>
      <c r="E581" s="117" t="s">
        <v>0</v>
      </c>
      <c r="F581" s="117">
        <v>2142</v>
      </c>
      <c r="G581" s="117">
        <v>1707</v>
      </c>
      <c r="H581" s="117">
        <v>1707</v>
      </c>
      <c r="I581" s="117"/>
      <c r="J581" s="117"/>
      <c r="K581" s="117" t="s">
        <v>18</v>
      </c>
      <c r="L581" s="117"/>
      <c r="M581" s="117" t="s">
        <v>17</v>
      </c>
      <c r="N581" s="117" t="s">
        <v>18</v>
      </c>
      <c r="O581" s="117"/>
      <c r="P581" s="117"/>
      <c r="Q581" s="117"/>
      <c r="R581" s="117"/>
    </row>
    <row r="582" spans="1:18" ht="27" customHeight="1">
      <c r="A582" s="117">
        <v>577</v>
      </c>
      <c r="B582" s="117" t="s">
        <v>1426</v>
      </c>
      <c r="C582" s="117" t="s">
        <v>960</v>
      </c>
      <c r="D582" s="117" t="s">
        <v>961</v>
      </c>
      <c r="E582" s="117" t="s">
        <v>23</v>
      </c>
      <c r="F582" s="117">
        <v>560</v>
      </c>
      <c r="G582" s="117">
        <v>31</v>
      </c>
      <c r="H582" s="117">
        <v>31</v>
      </c>
      <c r="I582" s="117"/>
      <c r="J582" s="117"/>
      <c r="K582" s="117" t="s">
        <v>18</v>
      </c>
      <c r="L582" s="117"/>
      <c r="M582" s="117" t="s">
        <v>17</v>
      </c>
      <c r="N582" s="117" t="s">
        <v>18</v>
      </c>
      <c r="O582" s="117"/>
      <c r="P582" s="117"/>
      <c r="Q582" s="117"/>
      <c r="R582" s="117"/>
    </row>
    <row r="583" spans="1:18" ht="27" customHeight="1">
      <c r="A583" s="117">
        <v>578</v>
      </c>
      <c r="B583" s="117" t="s">
        <v>1426</v>
      </c>
      <c r="C583" s="117" t="s">
        <v>856</v>
      </c>
      <c r="D583" s="117" t="s">
        <v>962</v>
      </c>
      <c r="E583" s="117" t="s">
        <v>23</v>
      </c>
      <c r="F583" s="117">
        <v>100</v>
      </c>
      <c r="G583" s="117">
        <v>25</v>
      </c>
      <c r="H583" s="117">
        <v>25</v>
      </c>
      <c r="I583" s="117"/>
      <c r="J583" s="117"/>
      <c r="K583" s="117" t="s">
        <v>18</v>
      </c>
      <c r="L583" s="117"/>
      <c r="M583" s="117" t="s">
        <v>17</v>
      </c>
      <c r="N583" s="117" t="s">
        <v>18</v>
      </c>
      <c r="O583" s="117"/>
      <c r="P583" s="117"/>
      <c r="Q583" s="117"/>
      <c r="R583" s="117"/>
    </row>
    <row r="584" spans="1:18" ht="27" customHeight="1">
      <c r="A584" s="117">
        <v>579</v>
      </c>
      <c r="B584" s="117" t="s">
        <v>1426</v>
      </c>
      <c r="C584" s="117" t="s">
        <v>963</v>
      </c>
      <c r="D584" s="117" t="s">
        <v>963</v>
      </c>
      <c r="E584" s="117" t="s">
        <v>0</v>
      </c>
      <c r="F584" s="117">
        <v>1081</v>
      </c>
      <c r="G584" s="117">
        <v>1081</v>
      </c>
      <c r="H584" s="117">
        <v>1081</v>
      </c>
      <c r="I584" s="117"/>
      <c r="J584" s="117"/>
      <c r="K584" s="117" t="s">
        <v>18</v>
      </c>
      <c r="L584" s="117"/>
      <c r="M584" s="117" t="s">
        <v>17</v>
      </c>
      <c r="N584" s="117" t="s">
        <v>18</v>
      </c>
      <c r="O584" s="117"/>
      <c r="P584" s="117"/>
      <c r="Q584" s="117"/>
      <c r="R584" s="117"/>
    </row>
    <row r="585" spans="1:18" ht="27" customHeight="1">
      <c r="A585" s="117">
        <v>580</v>
      </c>
      <c r="B585" s="117" t="s">
        <v>1426</v>
      </c>
      <c r="C585" s="117" t="s">
        <v>964</v>
      </c>
      <c r="D585" s="117" t="s">
        <v>964</v>
      </c>
      <c r="E585" s="117" t="s">
        <v>0</v>
      </c>
      <c r="F585" s="117">
        <v>52</v>
      </c>
      <c r="G585" s="117">
        <v>52</v>
      </c>
      <c r="H585" s="117">
        <v>52</v>
      </c>
      <c r="I585" s="117"/>
      <c r="J585" s="117"/>
      <c r="K585" s="117" t="s">
        <v>18</v>
      </c>
      <c r="L585" s="117"/>
      <c r="M585" s="117" t="s">
        <v>17</v>
      </c>
      <c r="N585" s="117" t="s">
        <v>18</v>
      </c>
      <c r="O585" s="117"/>
      <c r="P585" s="117"/>
      <c r="Q585" s="117"/>
      <c r="R585" s="117"/>
    </row>
    <row r="586" spans="1:18" ht="27" customHeight="1">
      <c r="A586" s="117">
        <v>581</v>
      </c>
      <c r="B586" s="117" t="s">
        <v>1426</v>
      </c>
      <c r="C586" s="117" t="s">
        <v>965</v>
      </c>
      <c r="D586" s="117" t="s">
        <v>965</v>
      </c>
      <c r="E586" s="117" t="s">
        <v>0</v>
      </c>
      <c r="F586" s="117">
        <v>10</v>
      </c>
      <c r="G586" s="117">
        <v>10</v>
      </c>
      <c r="H586" s="117">
        <v>10</v>
      </c>
      <c r="I586" s="117"/>
      <c r="J586" s="117"/>
      <c r="K586" s="117" t="s">
        <v>205</v>
      </c>
      <c r="L586" s="117"/>
      <c r="M586" s="117" t="s">
        <v>17</v>
      </c>
      <c r="N586" s="117" t="s">
        <v>205</v>
      </c>
      <c r="O586" s="117"/>
      <c r="P586" s="117"/>
      <c r="Q586" s="117"/>
      <c r="R586" s="117"/>
    </row>
    <row r="587" spans="1:18" ht="27" customHeight="1">
      <c r="A587" s="117">
        <v>582</v>
      </c>
      <c r="B587" s="117" t="s">
        <v>1426</v>
      </c>
      <c r="C587" s="117" t="s">
        <v>966</v>
      </c>
      <c r="D587" s="117" t="s">
        <v>966</v>
      </c>
      <c r="E587" s="117" t="s">
        <v>6</v>
      </c>
      <c r="F587" s="117">
        <v>40</v>
      </c>
      <c r="G587" s="117">
        <v>40</v>
      </c>
      <c r="H587" s="117">
        <v>40</v>
      </c>
      <c r="I587" s="117"/>
      <c r="J587" s="117"/>
      <c r="K587" s="117" t="s">
        <v>205</v>
      </c>
      <c r="L587" s="117"/>
      <c r="M587" s="117" t="s">
        <v>17</v>
      </c>
      <c r="N587" s="117" t="s">
        <v>205</v>
      </c>
      <c r="O587" s="117"/>
      <c r="P587" s="117"/>
      <c r="Q587" s="117"/>
      <c r="R587" s="117"/>
    </row>
    <row r="588" spans="1:18" ht="27" customHeight="1">
      <c r="A588" s="117">
        <v>583</v>
      </c>
      <c r="B588" s="117" t="s">
        <v>1426</v>
      </c>
      <c r="C588" s="117" t="s">
        <v>967</v>
      </c>
      <c r="D588" s="117" t="s">
        <v>852</v>
      </c>
      <c r="E588" s="117" t="s">
        <v>0</v>
      </c>
      <c r="F588" s="117">
        <v>117</v>
      </c>
      <c r="G588" s="117">
        <v>93</v>
      </c>
      <c r="H588" s="117">
        <v>93</v>
      </c>
      <c r="I588" s="117"/>
      <c r="J588" s="117"/>
      <c r="K588" s="117" t="s">
        <v>2034</v>
      </c>
      <c r="L588" s="117" t="s">
        <v>1459</v>
      </c>
      <c r="M588" s="117" t="s">
        <v>17</v>
      </c>
      <c r="N588" s="117" t="s">
        <v>18</v>
      </c>
      <c r="O588" s="117"/>
      <c r="P588" s="117"/>
      <c r="Q588" s="117"/>
      <c r="R588" s="117"/>
    </row>
    <row r="589" spans="1:18" ht="27" customHeight="1">
      <c r="A589" s="117">
        <v>584</v>
      </c>
      <c r="B589" s="117" t="s">
        <v>1426</v>
      </c>
      <c r="C589" s="117" t="s">
        <v>968</v>
      </c>
      <c r="D589" s="117" t="s">
        <v>969</v>
      </c>
      <c r="E589" s="117" t="s">
        <v>6</v>
      </c>
      <c r="F589" s="117">
        <v>33</v>
      </c>
      <c r="G589" s="117">
        <v>23</v>
      </c>
      <c r="H589" s="117">
        <v>23</v>
      </c>
      <c r="I589" s="117"/>
      <c r="J589" s="117"/>
      <c r="K589" s="117" t="s">
        <v>18</v>
      </c>
      <c r="L589" s="117"/>
      <c r="M589" s="117" t="s">
        <v>17</v>
      </c>
      <c r="N589" s="117" t="s">
        <v>18</v>
      </c>
      <c r="O589" s="117"/>
      <c r="P589" s="117"/>
      <c r="Q589" s="117"/>
      <c r="R589" s="117"/>
    </row>
    <row r="590" spans="1:18" ht="27" customHeight="1">
      <c r="A590" s="117">
        <v>585</v>
      </c>
      <c r="B590" s="117" t="s">
        <v>1426</v>
      </c>
      <c r="C590" s="117" t="s">
        <v>850</v>
      </c>
      <c r="D590" s="117" t="s">
        <v>850</v>
      </c>
      <c r="E590" s="117" t="s">
        <v>0</v>
      </c>
      <c r="F590" s="117">
        <v>24</v>
      </c>
      <c r="G590" s="117">
        <v>24</v>
      </c>
      <c r="H590" s="117">
        <v>24</v>
      </c>
      <c r="I590" s="117"/>
      <c r="J590" s="117"/>
      <c r="K590" s="117" t="s">
        <v>205</v>
      </c>
      <c r="L590" s="117"/>
      <c r="M590" s="117" t="s">
        <v>17</v>
      </c>
      <c r="N590" s="117" t="s">
        <v>205</v>
      </c>
      <c r="O590" s="117"/>
      <c r="P590" s="117"/>
      <c r="Q590" s="117"/>
      <c r="R590" s="117"/>
    </row>
    <row r="591" spans="1:18" ht="27" customHeight="1">
      <c r="A591" s="117">
        <v>586</v>
      </c>
      <c r="B591" s="117" t="s">
        <v>1426</v>
      </c>
      <c r="C591" s="117" t="s">
        <v>848</v>
      </c>
      <c r="D591" s="117" t="s">
        <v>970</v>
      </c>
      <c r="E591" s="117" t="s">
        <v>6</v>
      </c>
      <c r="F591" s="117">
        <v>98</v>
      </c>
      <c r="G591" s="117">
        <v>15</v>
      </c>
      <c r="H591" s="117">
        <v>15</v>
      </c>
      <c r="I591" s="117"/>
      <c r="J591" s="117"/>
      <c r="K591" s="117" t="s">
        <v>18</v>
      </c>
      <c r="L591" s="117"/>
      <c r="M591" s="117" t="s">
        <v>17</v>
      </c>
      <c r="N591" s="117" t="s">
        <v>18</v>
      </c>
      <c r="O591" s="117"/>
      <c r="P591" s="117"/>
      <c r="Q591" s="117"/>
      <c r="R591" s="117"/>
    </row>
    <row r="592" spans="1:18" ht="27" customHeight="1">
      <c r="A592" s="117">
        <v>587</v>
      </c>
      <c r="B592" s="117" t="s">
        <v>1426</v>
      </c>
      <c r="C592" s="117" t="s">
        <v>748</v>
      </c>
      <c r="D592" s="117" t="s">
        <v>748</v>
      </c>
      <c r="E592" s="117" t="s">
        <v>6</v>
      </c>
      <c r="F592" s="117">
        <v>2</v>
      </c>
      <c r="G592" s="117">
        <v>2</v>
      </c>
      <c r="H592" s="117">
        <v>2</v>
      </c>
      <c r="I592" s="117"/>
      <c r="J592" s="117"/>
      <c r="K592" s="117" t="s">
        <v>18</v>
      </c>
      <c r="L592" s="117"/>
      <c r="M592" s="117" t="s">
        <v>17</v>
      </c>
      <c r="N592" s="117" t="s">
        <v>18</v>
      </c>
      <c r="O592" s="117"/>
      <c r="P592" s="117"/>
      <c r="Q592" s="117"/>
      <c r="R592" s="117"/>
    </row>
    <row r="593" spans="1:18" ht="27" customHeight="1">
      <c r="A593" s="117">
        <v>588</v>
      </c>
      <c r="B593" s="117" t="s">
        <v>1426</v>
      </c>
      <c r="C593" s="117" t="s">
        <v>781</v>
      </c>
      <c r="D593" s="117" t="s">
        <v>746</v>
      </c>
      <c r="E593" s="117" t="s">
        <v>6</v>
      </c>
      <c r="F593" s="117">
        <v>197</v>
      </c>
      <c r="G593" s="117">
        <v>57</v>
      </c>
      <c r="H593" s="117">
        <v>57</v>
      </c>
      <c r="I593" s="117"/>
      <c r="J593" s="117"/>
      <c r="K593" s="117" t="s">
        <v>18</v>
      </c>
      <c r="L593" s="117"/>
      <c r="M593" s="117" t="s">
        <v>17</v>
      </c>
      <c r="N593" s="117" t="s">
        <v>18</v>
      </c>
      <c r="O593" s="117"/>
      <c r="P593" s="117"/>
      <c r="Q593" s="117"/>
      <c r="R593" s="117"/>
    </row>
    <row r="594" spans="1:18" ht="27" customHeight="1">
      <c r="A594" s="117">
        <v>589</v>
      </c>
      <c r="B594" s="117" t="s">
        <v>1426</v>
      </c>
      <c r="C594" s="117" t="s">
        <v>849</v>
      </c>
      <c r="D594" s="117" t="s">
        <v>849</v>
      </c>
      <c r="E594" s="117" t="s">
        <v>0</v>
      </c>
      <c r="F594" s="117">
        <v>135</v>
      </c>
      <c r="G594" s="117">
        <v>135</v>
      </c>
      <c r="H594" s="117">
        <v>135</v>
      </c>
      <c r="I594" s="117"/>
      <c r="J594" s="117"/>
      <c r="K594" s="117" t="s">
        <v>205</v>
      </c>
      <c r="L594" s="117"/>
      <c r="M594" s="117" t="s">
        <v>17</v>
      </c>
      <c r="N594" s="117" t="s">
        <v>205</v>
      </c>
      <c r="O594" s="117"/>
      <c r="P594" s="117"/>
      <c r="Q594" s="117"/>
      <c r="R594" s="117"/>
    </row>
    <row r="595" spans="1:18" ht="27" customHeight="1">
      <c r="A595" s="117">
        <v>590</v>
      </c>
      <c r="B595" s="117" t="s">
        <v>1426</v>
      </c>
      <c r="C595" s="117" t="s">
        <v>971</v>
      </c>
      <c r="D595" s="117" t="s">
        <v>971</v>
      </c>
      <c r="E595" s="117" t="s">
        <v>0</v>
      </c>
      <c r="F595" s="117">
        <v>22</v>
      </c>
      <c r="G595" s="117">
        <v>22</v>
      </c>
      <c r="H595" s="117">
        <v>22</v>
      </c>
      <c r="I595" s="117"/>
      <c r="J595" s="117"/>
      <c r="K595" s="117" t="s">
        <v>205</v>
      </c>
      <c r="L595" s="117"/>
      <c r="M595" s="117" t="s">
        <v>17</v>
      </c>
      <c r="N595" s="117" t="s">
        <v>205</v>
      </c>
      <c r="O595" s="117"/>
      <c r="P595" s="117"/>
      <c r="Q595" s="117"/>
      <c r="R595" s="117"/>
    </row>
    <row r="596" spans="1:18" ht="27" customHeight="1">
      <c r="A596" s="117">
        <v>591</v>
      </c>
      <c r="B596" s="117" t="s">
        <v>1426</v>
      </c>
      <c r="C596" s="117" t="s">
        <v>972</v>
      </c>
      <c r="D596" s="117" t="s">
        <v>786</v>
      </c>
      <c r="E596" s="117" t="s">
        <v>0</v>
      </c>
      <c r="F596" s="117">
        <v>2213</v>
      </c>
      <c r="G596" s="117">
        <v>702</v>
      </c>
      <c r="H596" s="117">
        <v>702</v>
      </c>
      <c r="I596" s="117"/>
      <c r="J596" s="117"/>
      <c r="K596" s="117" t="s">
        <v>2053</v>
      </c>
      <c r="L596" s="117" t="s">
        <v>1460</v>
      </c>
      <c r="M596" s="117" t="s">
        <v>17</v>
      </c>
      <c r="N596" s="117" t="s">
        <v>18</v>
      </c>
      <c r="O596" s="117"/>
      <c r="P596" s="117"/>
      <c r="Q596" s="117"/>
      <c r="R596" s="117"/>
    </row>
    <row r="597" spans="1:18" ht="27" customHeight="1">
      <c r="A597" s="117">
        <v>592</v>
      </c>
      <c r="B597" s="117" t="s">
        <v>1426</v>
      </c>
      <c r="C597" s="117" t="s">
        <v>973</v>
      </c>
      <c r="D597" s="117" t="s">
        <v>973</v>
      </c>
      <c r="E597" s="117" t="s">
        <v>0</v>
      </c>
      <c r="F597" s="117">
        <v>2738</v>
      </c>
      <c r="G597" s="117">
        <v>2738</v>
      </c>
      <c r="H597" s="117">
        <v>2738</v>
      </c>
      <c r="I597" s="117"/>
      <c r="J597" s="117"/>
      <c r="K597" s="117" t="s">
        <v>2053</v>
      </c>
      <c r="L597" s="117" t="s">
        <v>1460</v>
      </c>
      <c r="M597" s="117" t="s">
        <v>17</v>
      </c>
      <c r="N597" s="117" t="s">
        <v>18</v>
      </c>
      <c r="O597" s="117"/>
      <c r="P597" s="117"/>
      <c r="Q597" s="117"/>
      <c r="R597" s="117"/>
    </row>
    <row r="598" spans="1:18" ht="27" customHeight="1">
      <c r="A598" s="117">
        <v>593</v>
      </c>
      <c r="B598" s="117" t="s">
        <v>1426</v>
      </c>
      <c r="C598" s="117" t="s">
        <v>1358</v>
      </c>
      <c r="D598" s="117" t="s">
        <v>1359</v>
      </c>
      <c r="E598" s="117" t="s">
        <v>2</v>
      </c>
      <c r="F598" s="117">
        <v>131</v>
      </c>
      <c r="G598" s="117">
        <v>60</v>
      </c>
      <c r="H598" s="117">
        <v>60</v>
      </c>
      <c r="I598" s="117"/>
      <c r="J598" s="117"/>
      <c r="K598" s="117" t="s">
        <v>563</v>
      </c>
      <c r="L598" s="117" t="s">
        <v>564</v>
      </c>
      <c r="M598" s="117" t="s">
        <v>17</v>
      </c>
      <c r="N598" s="117" t="s">
        <v>1269</v>
      </c>
      <c r="O598" s="117"/>
      <c r="P598" s="117"/>
      <c r="Q598" s="117"/>
      <c r="R598" s="117"/>
    </row>
    <row r="599" spans="1:18" ht="27" customHeight="1">
      <c r="A599" s="117">
        <v>594</v>
      </c>
      <c r="B599" s="117" t="s">
        <v>1426</v>
      </c>
      <c r="C599" s="117" t="s">
        <v>1360</v>
      </c>
      <c r="D599" s="117" t="s">
        <v>1361</v>
      </c>
      <c r="E599" s="117" t="s">
        <v>0</v>
      </c>
      <c r="F599" s="117">
        <v>2170</v>
      </c>
      <c r="G599" s="117">
        <v>27</v>
      </c>
      <c r="H599" s="117">
        <v>27</v>
      </c>
      <c r="I599" s="117"/>
      <c r="J599" s="117"/>
      <c r="K599" s="117" t="s">
        <v>18</v>
      </c>
      <c r="L599" s="117"/>
      <c r="M599" s="117" t="s">
        <v>17</v>
      </c>
      <c r="N599" s="117" t="s">
        <v>18</v>
      </c>
      <c r="O599" s="117"/>
      <c r="P599" s="117"/>
      <c r="Q599" s="117"/>
      <c r="R599" s="117"/>
    </row>
    <row r="600" spans="1:18" ht="27" customHeight="1">
      <c r="A600" s="117">
        <v>595</v>
      </c>
      <c r="B600" s="117" t="s">
        <v>1426</v>
      </c>
      <c r="C600" s="117" t="s">
        <v>785</v>
      </c>
      <c r="D600" s="117" t="s">
        <v>974</v>
      </c>
      <c r="E600" s="117" t="s">
        <v>0</v>
      </c>
      <c r="F600" s="117">
        <v>250</v>
      </c>
      <c r="G600" s="117">
        <v>46</v>
      </c>
      <c r="H600" s="117">
        <v>46</v>
      </c>
      <c r="I600" s="117"/>
      <c r="J600" s="117"/>
      <c r="K600" s="117" t="s">
        <v>18</v>
      </c>
      <c r="L600" s="117"/>
      <c r="M600" s="117" t="s">
        <v>17</v>
      </c>
      <c r="N600" s="117" t="s">
        <v>18</v>
      </c>
      <c r="O600" s="117"/>
      <c r="P600" s="117"/>
      <c r="Q600" s="117"/>
      <c r="R600" s="117"/>
    </row>
    <row r="601" spans="1:18" ht="27" customHeight="1">
      <c r="A601" s="117">
        <v>596</v>
      </c>
      <c r="B601" s="117" t="s">
        <v>1426</v>
      </c>
      <c r="C601" s="117" t="s">
        <v>785</v>
      </c>
      <c r="D601" s="117" t="s">
        <v>975</v>
      </c>
      <c r="E601" s="117" t="s">
        <v>0</v>
      </c>
      <c r="F601" s="117">
        <v>250</v>
      </c>
      <c r="G601" s="117">
        <v>76</v>
      </c>
      <c r="H601" s="117">
        <v>76</v>
      </c>
      <c r="I601" s="117"/>
      <c r="J601" s="117"/>
      <c r="K601" s="117" t="s">
        <v>18</v>
      </c>
      <c r="L601" s="117"/>
      <c r="M601" s="117" t="s">
        <v>17</v>
      </c>
      <c r="N601" s="117" t="s">
        <v>18</v>
      </c>
      <c r="O601" s="117"/>
      <c r="P601" s="117"/>
      <c r="Q601" s="117"/>
      <c r="R601" s="117"/>
    </row>
    <row r="602" spans="1:18" ht="27" customHeight="1">
      <c r="A602" s="117">
        <v>597</v>
      </c>
      <c r="B602" s="117" t="s">
        <v>1426</v>
      </c>
      <c r="C602" s="117" t="s">
        <v>28</v>
      </c>
      <c r="D602" s="117" t="s">
        <v>976</v>
      </c>
      <c r="E602" s="117" t="s">
        <v>6</v>
      </c>
      <c r="F602" s="117">
        <v>225</v>
      </c>
      <c r="G602" s="117">
        <v>53</v>
      </c>
      <c r="H602" s="117">
        <v>53</v>
      </c>
      <c r="I602" s="117"/>
      <c r="J602" s="117"/>
      <c r="K602" s="117" t="s">
        <v>18</v>
      </c>
      <c r="L602" s="117"/>
      <c r="M602" s="117" t="s">
        <v>17</v>
      </c>
      <c r="N602" s="117" t="s">
        <v>18</v>
      </c>
      <c r="O602" s="117"/>
      <c r="P602" s="117"/>
      <c r="Q602" s="117"/>
      <c r="R602" s="117"/>
    </row>
    <row r="603" spans="1:18" ht="27" customHeight="1">
      <c r="A603" s="117">
        <v>598</v>
      </c>
      <c r="B603" s="117" t="s">
        <v>1426</v>
      </c>
      <c r="C603" s="117" t="s">
        <v>29</v>
      </c>
      <c r="D603" s="117" t="s">
        <v>977</v>
      </c>
      <c r="E603" s="117" t="s">
        <v>3</v>
      </c>
      <c r="F603" s="117">
        <v>605</v>
      </c>
      <c r="G603" s="117">
        <v>323</v>
      </c>
      <c r="H603" s="117">
        <v>323</v>
      </c>
      <c r="I603" s="117"/>
      <c r="J603" s="117"/>
      <c r="K603" s="117" t="s">
        <v>205</v>
      </c>
      <c r="L603" s="117"/>
      <c r="M603" s="117" t="s">
        <v>17</v>
      </c>
      <c r="N603" s="117" t="s">
        <v>205</v>
      </c>
      <c r="O603" s="117"/>
      <c r="P603" s="117"/>
      <c r="Q603" s="117"/>
      <c r="R603" s="117"/>
    </row>
    <row r="604" spans="1:18" ht="27" customHeight="1">
      <c r="A604" s="117">
        <v>599</v>
      </c>
      <c r="B604" s="117" t="s">
        <v>1426</v>
      </c>
      <c r="C604" s="117" t="s">
        <v>24</v>
      </c>
      <c r="D604" s="117" t="s">
        <v>978</v>
      </c>
      <c r="E604" s="117" t="s">
        <v>6</v>
      </c>
      <c r="F604" s="117">
        <v>620</v>
      </c>
      <c r="G604" s="117">
        <v>299</v>
      </c>
      <c r="H604" s="117">
        <v>299</v>
      </c>
      <c r="I604" s="117"/>
      <c r="J604" s="117"/>
      <c r="K604" s="117" t="s">
        <v>18</v>
      </c>
      <c r="L604" s="117"/>
      <c r="M604" s="117" t="s">
        <v>17</v>
      </c>
      <c r="N604" s="117" t="s">
        <v>18</v>
      </c>
      <c r="O604" s="117"/>
      <c r="P604" s="117"/>
      <c r="Q604" s="117"/>
      <c r="R604" s="117"/>
    </row>
    <row r="605" spans="1:18" ht="27" customHeight="1">
      <c r="A605" s="117">
        <v>600</v>
      </c>
      <c r="B605" s="117" t="s">
        <v>1426</v>
      </c>
      <c r="C605" s="117" t="s">
        <v>25</v>
      </c>
      <c r="D605" s="117" t="s">
        <v>25</v>
      </c>
      <c r="E605" s="117" t="s">
        <v>3</v>
      </c>
      <c r="F605" s="117">
        <v>116</v>
      </c>
      <c r="G605" s="117">
        <v>116</v>
      </c>
      <c r="H605" s="117">
        <v>116</v>
      </c>
      <c r="I605" s="117"/>
      <c r="J605" s="117"/>
      <c r="K605" s="117" t="s">
        <v>2054</v>
      </c>
      <c r="L605" s="117" t="s">
        <v>1437</v>
      </c>
      <c r="M605" s="117" t="s">
        <v>17</v>
      </c>
      <c r="N605" s="117" t="s">
        <v>18</v>
      </c>
      <c r="O605" s="117"/>
      <c r="P605" s="117"/>
      <c r="Q605" s="117"/>
      <c r="R605" s="117"/>
    </row>
    <row r="606" spans="1:18" ht="27" customHeight="1">
      <c r="A606" s="117">
        <v>601</v>
      </c>
      <c r="B606" s="117" t="s">
        <v>1426</v>
      </c>
      <c r="C606" s="117" t="s">
        <v>979</v>
      </c>
      <c r="D606" s="117" t="s">
        <v>979</v>
      </c>
      <c r="E606" s="117" t="s">
        <v>3</v>
      </c>
      <c r="F606" s="117">
        <v>3</v>
      </c>
      <c r="G606" s="117">
        <v>3</v>
      </c>
      <c r="H606" s="117">
        <v>3</v>
      </c>
      <c r="I606" s="117"/>
      <c r="J606" s="117"/>
      <c r="K606" s="117" t="s">
        <v>2055</v>
      </c>
      <c r="L606" s="117" t="s">
        <v>1461</v>
      </c>
      <c r="M606" s="117" t="s">
        <v>17</v>
      </c>
      <c r="N606" s="117" t="s">
        <v>18</v>
      </c>
      <c r="O606" s="117"/>
      <c r="P606" s="117"/>
      <c r="Q606" s="117"/>
      <c r="R606" s="117"/>
    </row>
    <row r="607" spans="1:18" ht="27" customHeight="1">
      <c r="A607" s="117">
        <v>602</v>
      </c>
      <c r="B607" s="117" t="s">
        <v>1426</v>
      </c>
      <c r="C607" s="117" t="s">
        <v>26</v>
      </c>
      <c r="D607" s="117" t="s">
        <v>980</v>
      </c>
      <c r="E607" s="117" t="s">
        <v>11</v>
      </c>
      <c r="F607" s="117">
        <v>1056</v>
      </c>
      <c r="G607" s="117">
        <v>271</v>
      </c>
      <c r="H607" s="117">
        <v>271</v>
      </c>
      <c r="I607" s="117"/>
      <c r="J607" s="117"/>
      <c r="K607" s="117" t="s">
        <v>2034</v>
      </c>
      <c r="L607" s="117" t="s">
        <v>1265</v>
      </c>
      <c r="M607" s="117" t="s">
        <v>17</v>
      </c>
      <c r="N607" s="117" t="s">
        <v>18</v>
      </c>
      <c r="O607" s="117"/>
      <c r="P607" s="117"/>
      <c r="Q607" s="117"/>
      <c r="R607" s="117"/>
    </row>
    <row r="608" spans="1:18" ht="27" customHeight="1">
      <c r="A608" s="117">
        <v>603</v>
      </c>
      <c r="B608" s="117" t="s">
        <v>1426</v>
      </c>
      <c r="C608" s="117" t="s">
        <v>981</v>
      </c>
      <c r="D608" s="117" t="s">
        <v>981</v>
      </c>
      <c r="E608" s="117" t="s">
        <v>23</v>
      </c>
      <c r="F608" s="117">
        <v>317</v>
      </c>
      <c r="G608" s="117">
        <v>317</v>
      </c>
      <c r="H608" s="117">
        <v>317</v>
      </c>
      <c r="I608" s="117"/>
      <c r="J608" s="117"/>
      <c r="K608" s="117" t="s">
        <v>18</v>
      </c>
      <c r="L608" s="117"/>
      <c r="M608" s="117" t="s">
        <v>17</v>
      </c>
      <c r="N608" s="117" t="s">
        <v>18</v>
      </c>
      <c r="O608" s="117"/>
      <c r="P608" s="117"/>
      <c r="Q608" s="117"/>
      <c r="R608" s="117"/>
    </row>
    <row r="609" spans="1:18" ht="27" customHeight="1">
      <c r="A609" s="117">
        <v>604</v>
      </c>
      <c r="B609" s="117" t="s">
        <v>1426</v>
      </c>
      <c r="C609" s="117" t="s">
        <v>982</v>
      </c>
      <c r="D609" s="117" t="s">
        <v>982</v>
      </c>
      <c r="E609" s="117" t="s">
        <v>0</v>
      </c>
      <c r="F609" s="117">
        <v>1008</v>
      </c>
      <c r="G609" s="117">
        <v>1008</v>
      </c>
      <c r="H609" s="117">
        <v>1008</v>
      </c>
      <c r="I609" s="117"/>
      <c r="J609" s="117"/>
      <c r="K609" s="117" t="s">
        <v>18</v>
      </c>
      <c r="L609" s="117"/>
      <c r="M609" s="117" t="s">
        <v>17</v>
      </c>
      <c r="N609" s="117" t="s">
        <v>18</v>
      </c>
      <c r="O609" s="117"/>
      <c r="P609" s="117"/>
      <c r="Q609" s="117"/>
      <c r="R609" s="117"/>
    </row>
    <row r="610" spans="1:18" ht="27" customHeight="1">
      <c r="A610" s="117">
        <v>605</v>
      </c>
      <c r="B610" s="117" t="s">
        <v>1426</v>
      </c>
      <c r="C610" s="117" t="s">
        <v>984</v>
      </c>
      <c r="D610" s="117" t="s">
        <v>983</v>
      </c>
      <c r="E610" s="117" t="s">
        <v>0</v>
      </c>
      <c r="F610" s="117">
        <v>2435</v>
      </c>
      <c r="G610" s="117">
        <v>103</v>
      </c>
      <c r="H610" s="117">
        <v>103</v>
      </c>
      <c r="I610" s="117"/>
      <c r="J610" s="117"/>
      <c r="K610" s="117" t="s">
        <v>18</v>
      </c>
      <c r="L610" s="117"/>
      <c r="M610" s="117" t="s">
        <v>17</v>
      </c>
      <c r="N610" s="117" t="s">
        <v>18</v>
      </c>
      <c r="O610" s="117"/>
      <c r="P610" s="117"/>
      <c r="Q610" s="117"/>
      <c r="R610" s="117"/>
    </row>
    <row r="611" spans="1:18" ht="27" customHeight="1">
      <c r="A611" s="117">
        <v>606</v>
      </c>
      <c r="B611" s="117" t="s">
        <v>1426</v>
      </c>
      <c r="C611" s="117" t="s">
        <v>984</v>
      </c>
      <c r="D611" s="117" t="s">
        <v>985</v>
      </c>
      <c r="E611" s="117" t="s">
        <v>6</v>
      </c>
      <c r="F611" s="117">
        <v>1094</v>
      </c>
      <c r="G611" s="117">
        <v>460</v>
      </c>
      <c r="H611" s="117">
        <v>460</v>
      </c>
      <c r="I611" s="117"/>
      <c r="J611" s="117"/>
      <c r="K611" s="117" t="s">
        <v>18</v>
      </c>
      <c r="L611" s="117"/>
      <c r="M611" s="117" t="s">
        <v>17</v>
      </c>
      <c r="N611" s="117" t="s">
        <v>18</v>
      </c>
      <c r="O611" s="117"/>
      <c r="P611" s="117"/>
      <c r="Q611" s="117"/>
      <c r="R611" s="117"/>
    </row>
    <row r="612" spans="1:18" ht="27" customHeight="1">
      <c r="A612" s="117">
        <v>607</v>
      </c>
      <c r="B612" s="117" t="s">
        <v>1426</v>
      </c>
      <c r="C612" s="117" t="s">
        <v>984</v>
      </c>
      <c r="D612" s="117" t="s">
        <v>986</v>
      </c>
      <c r="E612" s="117" t="s">
        <v>6</v>
      </c>
      <c r="F612" s="117">
        <v>1094</v>
      </c>
      <c r="G612" s="117">
        <v>217</v>
      </c>
      <c r="H612" s="117">
        <v>217</v>
      </c>
      <c r="I612" s="117"/>
      <c r="J612" s="117"/>
      <c r="K612" s="117" t="s">
        <v>18</v>
      </c>
      <c r="L612" s="117"/>
      <c r="M612" s="117" t="s">
        <v>17</v>
      </c>
      <c r="N612" s="117" t="s">
        <v>18</v>
      </c>
      <c r="O612" s="117"/>
      <c r="P612" s="117"/>
      <c r="Q612" s="117"/>
      <c r="R612" s="117"/>
    </row>
    <row r="613" spans="1:18" ht="27" customHeight="1">
      <c r="A613" s="117">
        <v>608</v>
      </c>
      <c r="B613" s="117" t="s">
        <v>1426</v>
      </c>
      <c r="C613" s="117" t="s">
        <v>987</v>
      </c>
      <c r="D613" s="117" t="s">
        <v>988</v>
      </c>
      <c r="E613" s="117" t="s">
        <v>0</v>
      </c>
      <c r="F613" s="117">
        <v>1238</v>
      </c>
      <c r="G613" s="117">
        <v>1197</v>
      </c>
      <c r="H613" s="117">
        <v>1197</v>
      </c>
      <c r="I613" s="117"/>
      <c r="J613" s="117"/>
      <c r="K613" s="117" t="s">
        <v>18</v>
      </c>
      <c r="L613" s="117"/>
      <c r="M613" s="117" t="s">
        <v>17</v>
      </c>
      <c r="N613" s="117" t="s">
        <v>18</v>
      </c>
      <c r="O613" s="117"/>
      <c r="P613" s="117"/>
      <c r="Q613" s="117"/>
      <c r="R613" s="117"/>
    </row>
    <row r="614" spans="1:18" ht="27" customHeight="1">
      <c r="A614" s="117">
        <v>609</v>
      </c>
      <c r="B614" s="117" t="s">
        <v>1426</v>
      </c>
      <c r="C614" s="117" t="s">
        <v>989</v>
      </c>
      <c r="D614" s="117" t="s">
        <v>989</v>
      </c>
      <c r="E614" s="117" t="s">
        <v>6</v>
      </c>
      <c r="F614" s="117">
        <v>516</v>
      </c>
      <c r="G614" s="117">
        <v>516</v>
      </c>
      <c r="H614" s="117">
        <v>516</v>
      </c>
      <c r="I614" s="117"/>
      <c r="J614" s="117"/>
      <c r="K614" s="117" t="s">
        <v>18</v>
      </c>
      <c r="L614" s="117"/>
      <c r="M614" s="117" t="s">
        <v>17</v>
      </c>
      <c r="N614" s="117" t="s">
        <v>18</v>
      </c>
      <c r="O614" s="117"/>
      <c r="P614" s="117"/>
      <c r="Q614" s="117"/>
      <c r="R614" s="117"/>
    </row>
    <row r="615" spans="1:18" ht="27" customHeight="1">
      <c r="A615" s="117">
        <v>610</v>
      </c>
      <c r="B615" s="117" t="s">
        <v>1426</v>
      </c>
      <c r="C615" s="117" t="s">
        <v>990</v>
      </c>
      <c r="D615" s="117" t="s">
        <v>991</v>
      </c>
      <c r="E615" s="117" t="s">
        <v>6</v>
      </c>
      <c r="F615" s="117">
        <v>446</v>
      </c>
      <c r="G615" s="117">
        <v>18</v>
      </c>
      <c r="H615" s="117">
        <v>18</v>
      </c>
      <c r="I615" s="117"/>
      <c r="J615" s="117"/>
      <c r="K615" s="117" t="s">
        <v>18</v>
      </c>
      <c r="L615" s="117"/>
      <c r="M615" s="117" t="s">
        <v>17</v>
      </c>
      <c r="N615" s="117" t="s">
        <v>18</v>
      </c>
      <c r="O615" s="117"/>
      <c r="P615" s="117"/>
      <c r="Q615" s="117"/>
      <c r="R615" s="117"/>
    </row>
    <row r="616" spans="1:18" ht="27" customHeight="1">
      <c r="A616" s="117">
        <v>611</v>
      </c>
      <c r="B616" s="117" t="s">
        <v>1426</v>
      </c>
      <c r="C616" s="117" t="s">
        <v>992</v>
      </c>
      <c r="D616" s="117" t="s">
        <v>993</v>
      </c>
      <c r="E616" s="117" t="s">
        <v>11</v>
      </c>
      <c r="F616" s="117">
        <v>8573</v>
      </c>
      <c r="G616" s="117">
        <v>1660</v>
      </c>
      <c r="H616" s="117">
        <v>1660</v>
      </c>
      <c r="I616" s="117"/>
      <c r="J616" s="117"/>
      <c r="K616" s="117" t="s">
        <v>2056</v>
      </c>
      <c r="L616" s="117" t="s">
        <v>1438</v>
      </c>
      <c r="M616" s="117" t="s">
        <v>17</v>
      </c>
      <c r="N616" s="117" t="s">
        <v>18</v>
      </c>
      <c r="O616" s="117"/>
      <c r="P616" s="117"/>
      <c r="Q616" s="117"/>
      <c r="R616" s="117"/>
    </row>
    <row r="617" spans="1:18" ht="27" customHeight="1">
      <c r="A617" s="117">
        <v>612</v>
      </c>
      <c r="B617" s="117" t="s">
        <v>1426</v>
      </c>
      <c r="C617" s="117" t="s">
        <v>994</v>
      </c>
      <c r="D617" s="117" t="s">
        <v>995</v>
      </c>
      <c r="E617" s="117" t="s">
        <v>11</v>
      </c>
      <c r="F617" s="117">
        <v>8231</v>
      </c>
      <c r="G617" s="117">
        <v>409</v>
      </c>
      <c r="H617" s="117">
        <v>409</v>
      </c>
      <c r="I617" s="117"/>
      <c r="J617" s="117"/>
      <c r="K617" s="117" t="s">
        <v>2057</v>
      </c>
      <c r="L617" s="117" t="s">
        <v>1462</v>
      </c>
      <c r="M617" s="117" t="s">
        <v>17</v>
      </c>
      <c r="N617" s="117" t="s">
        <v>18</v>
      </c>
      <c r="O617" s="117"/>
      <c r="P617" s="117"/>
      <c r="Q617" s="117"/>
      <c r="R617" s="117"/>
    </row>
    <row r="618" spans="1:18" ht="27" customHeight="1">
      <c r="A618" s="117">
        <v>613</v>
      </c>
      <c r="B618" s="117" t="s">
        <v>1426</v>
      </c>
      <c r="C618" s="117" t="s">
        <v>996</v>
      </c>
      <c r="D618" s="117" t="s">
        <v>997</v>
      </c>
      <c r="E618" s="117" t="s">
        <v>0</v>
      </c>
      <c r="F618" s="117">
        <v>1626</v>
      </c>
      <c r="G618" s="117">
        <v>368</v>
      </c>
      <c r="H618" s="117">
        <v>368</v>
      </c>
      <c r="I618" s="117"/>
      <c r="J618" s="117"/>
      <c r="K618" s="117" t="s">
        <v>2040</v>
      </c>
      <c r="L618" s="117" t="s">
        <v>1438</v>
      </c>
      <c r="M618" s="117" t="s">
        <v>17</v>
      </c>
      <c r="N618" s="117" t="s">
        <v>18</v>
      </c>
      <c r="O618" s="117"/>
      <c r="P618" s="117"/>
      <c r="Q618" s="117"/>
      <c r="R618" s="117"/>
    </row>
    <row r="619" spans="1:18" ht="27" customHeight="1">
      <c r="A619" s="117">
        <v>614</v>
      </c>
      <c r="B619" s="117" t="s">
        <v>1426</v>
      </c>
      <c r="C619" s="117" t="s">
        <v>998</v>
      </c>
      <c r="D619" s="117" t="s">
        <v>998</v>
      </c>
      <c r="E619" s="117" t="s">
        <v>23</v>
      </c>
      <c r="F619" s="117">
        <v>457</v>
      </c>
      <c r="G619" s="117">
        <v>457</v>
      </c>
      <c r="H619" s="117">
        <v>457</v>
      </c>
      <c r="I619" s="117"/>
      <c r="J619" s="117"/>
      <c r="K619" s="117" t="s">
        <v>18</v>
      </c>
      <c r="L619" s="117"/>
      <c r="M619" s="117" t="s">
        <v>17</v>
      </c>
      <c r="N619" s="117" t="s">
        <v>18</v>
      </c>
      <c r="O619" s="117"/>
      <c r="P619" s="117"/>
      <c r="Q619" s="117"/>
      <c r="R619" s="117"/>
    </row>
    <row r="620" spans="1:18" ht="27" customHeight="1">
      <c r="A620" s="117">
        <v>615</v>
      </c>
      <c r="B620" s="117" t="s">
        <v>1426</v>
      </c>
      <c r="C620" s="117" t="s">
        <v>999</v>
      </c>
      <c r="D620" s="117" t="s">
        <v>1000</v>
      </c>
      <c r="E620" s="117" t="s">
        <v>0</v>
      </c>
      <c r="F620" s="117">
        <v>3997</v>
      </c>
      <c r="G620" s="117">
        <v>925</v>
      </c>
      <c r="H620" s="117">
        <v>925</v>
      </c>
      <c r="I620" s="117"/>
      <c r="J620" s="117"/>
      <c r="K620" s="117" t="s">
        <v>2040</v>
      </c>
      <c r="L620" s="117" t="s">
        <v>1438</v>
      </c>
      <c r="M620" s="117" t="s">
        <v>17</v>
      </c>
      <c r="N620" s="117" t="s">
        <v>18</v>
      </c>
      <c r="O620" s="117"/>
      <c r="P620" s="117"/>
      <c r="Q620" s="117"/>
      <c r="R620" s="117"/>
    </row>
    <row r="621" spans="1:18" ht="27" customHeight="1">
      <c r="A621" s="117">
        <v>616</v>
      </c>
      <c r="B621" s="117" t="s">
        <v>1426</v>
      </c>
      <c r="C621" s="117" t="s">
        <v>1001</v>
      </c>
      <c r="D621" s="117" t="s">
        <v>1001</v>
      </c>
      <c r="E621" s="117" t="s">
        <v>6</v>
      </c>
      <c r="F621" s="117">
        <v>423</v>
      </c>
      <c r="G621" s="117">
        <v>423</v>
      </c>
      <c r="H621" s="117">
        <v>423</v>
      </c>
      <c r="I621" s="117"/>
      <c r="J621" s="117"/>
      <c r="K621" s="117" t="s">
        <v>18</v>
      </c>
      <c r="L621" s="117"/>
      <c r="M621" s="117" t="s">
        <v>17</v>
      </c>
      <c r="N621" s="117" t="s">
        <v>18</v>
      </c>
      <c r="O621" s="117"/>
      <c r="P621" s="117"/>
      <c r="Q621" s="117"/>
      <c r="R621" s="117"/>
    </row>
    <row r="622" spans="1:18" ht="27" customHeight="1">
      <c r="A622" s="117">
        <v>617</v>
      </c>
      <c r="B622" s="117" t="s">
        <v>1426</v>
      </c>
      <c r="C622" s="117" t="s">
        <v>1002</v>
      </c>
      <c r="D622" s="117" t="s">
        <v>1003</v>
      </c>
      <c r="E622" s="117" t="s">
        <v>11</v>
      </c>
      <c r="F622" s="117">
        <v>8331</v>
      </c>
      <c r="G622" s="117">
        <v>4382</v>
      </c>
      <c r="H622" s="117">
        <v>4382</v>
      </c>
      <c r="I622" s="117"/>
      <c r="J622" s="117"/>
      <c r="K622" s="117" t="s">
        <v>2034</v>
      </c>
      <c r="L622" s="117" t="s">
        <v>1463</v>
      </c>
      <c r="M622" s="117" t="s">
        <v>17</v>
      </c>
      <c r="N622" s="117" t="s">
        <v>18</v>
      </c>
      <c r="O622" s="117"/>
      <c r="P622" s="117"/>
      <c r="Q622" s="117"/>
      <c r="R622" s="117"/>
    </row>
    <row r="623" spans="1:18" ht="27" customHeight="1">
      <c r="A623" s="117">
        <v>618</v>
      </c>
      <c r="B623" s="117" t="s">
        <v>1426</v>
      </c>
      <c r="C623" s="117" t="s">
        <v>1002</v>
      </c>
      <c r="D623" s="117" t="s">
        <v>1004</v>
      </c>
      <c r="E623" s="117" t="s">
        <v>6</v>
      </c>
      <c r="F623" s="117">
        <v>8331</v>
      </c>
      <c r="G623" s="117">
        <v>3283</v>
      </c>
      <c r="H623" s="117">
        <v>3283</v>
      </c>
      <c r="I623" s="117"/>
      <c r="J623" s="117"/>
      <c r="K623" s="117" t="s">
        <v>2034</v>
      </c>
      <c r="L623" s="117" t="s">
        <v>1463</v>
      </c>
      <c r="M623" s="117" t="s">
        <v>17</v>
      </c>
      <c r="N623" s="117" t="s">
        <v>18</v>
      </c>
      <c r="O623" s="117"/>
      <c r="P623" s="117"/>
      <c r="Q623" s="117"/>
      <c r="R623" s="117"/>
    </row>
    <row r="624" spans="1:18" ht="27" customHeight="1">
      <c r="A624" s="117">
        <v>619</v>
      </c>
      <c r="B624" s="117" t="s">
        <v>1426</v>
      </c>
      <c r="C624" s="117" t="s">
        <v>1005</v>
      </c>
      <c r="D624" s="117" t="s">
        <v>1006</v>
      </c>
      <c r="E624" s="117" t="s">
        <v>23</v>
      </c>
      <c r="F624" s="117">
        <v>813</v>
      </c>
      <c r="G624" s="117">
        <v>661</v>
      </c>
      <c r="H624" s="117">
        <v>661</v>
      </c>
      <c r="I624" s="117"/>
      <c r="J624" s="117"/>
      <c r="K624" s="117" t="s">
        <v>18</v>
      </c>
      <c r="L624" s="117"/>
      <c r="M624" s="117" t="s">
        <v>17</v>
      </c>
      <c r="N624" s="117" t="s">
        <v>18</v>
      </c>
      <c r="O624" s="117"/>
      <c r="P624" s="117"/>
      <c r="Q624" s="117"/>
      <c r="R624" s="117"/>
    </row>
    <row r="625" spans="1:18" ht="27" customHeight="1">
      <c r="A625" s="117">
        <v>620</v>
      </c>
      <c r="B625" s="117" t="s">
        <v>1426</v>
      </c>
      <c r="C625" s="117" t="s">
        <v>1007</v>
      </c>
      <c r="D625" s="117" t="s">
        <v>1008</v>
      </c>
      <c r="E625" s="117" t="s">
        <v>11</v>
      </c>
      <c r="F625" s="117">
        <v>818</v>
      </c>
      <c r="G625" s="117">
        <v>498</v>
      </c>
      <c r="H625" s="117">
        <v>498</v>
      </c>
      <c r="I625" s="117"/>
      <c r="J625" s="117"/>
      <c r="K625" s="117" t="s">
        <v>18</v>
      </c>
      <c r="L625" s="117"/>
      <c r="M625" s="117" t="s">
        <v>17</v>
      </c>
      <c r="N625" s="117" t="s">
        <v>18</v>
      </c>
      <c r="O625" s="117"/>
      <c r="P625" s="117"/>
      <c r="Q625" s="117"/>
      <c r="R625" s="117"/>
    </row>
    <row r="626" spans="1:18" ht="27" customHeight="1">
      <c r="A626" s="117">
        <v>621</v>
      </c>
      <c r="B626" s="117" t="s">
        <v>1426</v>
      </c>
      <c r="C626" s="117" t="s">
        <v>1009</v>
      </c>
      <c r="D626" s="117" t="s">
        <v>1010</v>
      </c>
      <c r="E626" s="117" t="s">
        <v>6</v>
      </c>
      <c r="F626" s="117">
        <v>779</v>
      </c>
      <c r="G626" s="117">
        <v>717</v>
      </c>
      <c r="H626" s="117">
        <v>717</v>
      </c>
      <c r="I626" s="117"/>
      <c r="J626" s="117"/>
      <c r="K626" s="117" t="s">
        <v>18</v>
      </c>
      <c r="L626" s="117"/>
      <c r="M626" s="117" t="s">
        <v>17</v>
      </c>
      <c r="N626" s="117" t="s">
        <v>18</v>
      </c>
      <c r="O626" s="117"/>
      <c r="P626" s="117"/>
      <c r="Q626" s="117"/>
      <c r="R626" s="117"/>
    </row>
    <row r="627" spans="1:18" ht="27" customHeight="1">
      <c r="A627" s="117">
        <v>622</v>
      </c>
      <c r="B627" s="117" t="s">
        <v>1426</v>
      </c>
      <c r="C627" s="117" t="s">
        <v>1011</v>
      </c>
      <c r="D627" s="117" t="s">
        <v>1011</v>
      </c>
      <c r="E627" s="117" t="s">
        <v>23</v>
      </c>
      <c r="F627" s="117">
        <v>387</v>
      </c>
      <c r="G627" s="117">
        <v>387</v>
      </c>
      <c r="H627" s="117">
        <v>387</v>
      </c>
      <c r="I627" s="117"/>
      <c r="J627" s="117"/>
      <c r="K627" s="117" t="s">
        <v>18</v>
      </c>
      <c r="L627" s="117"/>
      <c r="M627" s="117" t="s">
        <v>17</v>
      </c>
      <c r="N627" s="117" t="s">
        <v>18</v>
      </c>
      <c r="O627" s="117"/>
      <c r="P627" s="117"/>
      <c r="Q627" s="117"/>
      <c r="R627" s="117"/>
    </row>
    <row r="628" spans="1:18" ht="27" customHeight="1">
      <c r="A628" s="117">
        <v>623</v>
      </c>
      <c r="B628" s="117" t="s">
        <v>1426</v>
      </c>
      <c r="C628" s="117" t="s">
        <v>1012</v>
      </c>
      <c r="D628" s="117" t="s">
        <v>1013</v>
      </c>
      <c r="E628" s="117" t="s">
        <v>0</v>
      </c>
      <c r="F628" s="117">
        <v>4159</v>
      </c>
      <c r="G628" s="117">
        <v>3017</v>
      </c>
      <c r="H628" s="117">
        <v>3017</v>
      </c>
      <c r="I628" s="117"/>
      <c r="J628" s="117"/>
      <c r="K628" s="117" t="s">
        <v>18</v>
      </c>
      <c r="L628" s="117"/>
      <c r="M628" s="117" t="s">
        <v>17</v>
      </c>
      <c r="N628" s="117" t="s">
        <v>18</v>
      </c>
      <c r="O628" s="117"/>
      <c r="P628" s="117"/>
      <c r="Q628" s="117"/>
      <c r="R628" s="117"/>
    </row>
    <row r="629" spans="1:18" ht="27" customHeight="1">
      <c r="A629" s="117">
        <v>624</v>
      </c>
      <c r="B629" s="117" t="s">
        <v>1426</v>
      </c>
      <c r="C629" s="117" t="s">
        <v>1014</v>
      </c>
      <c r="D629" s="117" t="s">
        <v>1015</v>
      </c>
      <c r="E629" s="117" t="s">
        <v>6</v>
      </c>
      <c r="F629" s="117">
        <v>169</v>
      </c>
      <c r="G629" s="117">
        <v>91</v>
      </c>
      <c r="H629" s="117">
        <v>91</v>
      </c>
      <c r="I629" s="117"/>
      <c r="J629" s="117"/>
      <c r="K629" s="117" t="s">
        <v>18</v>
      </c>
      <c r="L629" s="117"/>
      <c r="M629" s="117" t="s">
        <v>17</v>
      </c>
      <c r="N629" s="117" t="s">
        <v>18</v>
      </c>
      <c r="O629" s="117"/>
      <c r="P629" s="117"/>
      <c r="Q629" s="117"/>
      <c r="R629" s="117"/>
    </row>
    <row r="630" spans="1:18" ht="27" customHeight="1">
      <c r="A630" s="117">
        <v>625</v>
      </c>
      <c r="B630" s="117" t="s">
        <v>1426</v>
      </c>
      <c r="C630" s="117" t="s">
        <v>1016</v>
      </c>
      <c r="D630" s="117" t="s">
        <v>1016</v>
      </c>
      <c r="E630" s="117" t="s">
        <v>23</v>
      </c>
      <c r="F630" s="117">
        <v>109</v>
      </c>
      <c r="G630" s="117">
        <v>109</v>
      </c>
      <c r="H630" s="117">
        <v>109</v>
      </c>
      <c r="I630" s="117"/>
      <c r="J630" s="117"/>
      <c r="K630" s="117" t="s">
        <v>18</v>
      </c>
      <c r="L630" s="117"/>
      <c r="M630" s="117" t="s">
        <v>17</v>
      </c>
      <c r="N630" s="117" t="s">
        <v>18</v>
      </c>
      <c r="O630" s="117"/>
      <c r="P630" s="117"/>
      <c r="Q630" s="117"/>
      <c r="R630" s="117"/>
    </row>
    <row r="631" spans="1:18" ht="27" customHeight="1">
      <c r="A631" s="117">
        <v>626</v>
      </c>
      <c r="B631" s="117" t="s">
        <v>1426</v>
      </c>
      <c r="C631" s="117" t="s">
        <v>1017</v>
      </c>
      <c r="D631" s="117" t="s">
        <v>1018</v>
      </c>
      <c r="E631" s="117" t="s">
        <v>6</v>
      </c>
      <c r="F631" s="117">
        <v>1792</v>
      </c>
      <c r="G631" s="117">
        <v>448</v>
      </c>
      <c r="H631" s="117">
        <v>448</v>
      </c>
      <c r="I631" s="117"/>
      <c r="J631" s="117"/>
      <c r="K631" s="117" t="s">
        <v>1992</v>
      </c>
      <c r="L631" s="117" t="s">
        <v>1464</v>
      </c>
      <c r="M631" s="117" t="s">
        <v>17</v>
      </c>
      <c r="N631" s="117" t="s">
        <v>18</v>
      </c>
      <c r="O631" s="117"/>
      <c r="P631" s="117"/>
      <c r="Q631" s="117"/>
      <c r="R631" s="117"/>
    </row>
    <row r="632" spans="1:18" ht="27" customHeight="1">
      <c r="A632" s="117">
        <v>627</v>
      </c>
      <c r="B632" s="117" t="s">
        <v>1426</v>
      </c>
      <c r="C632" s="117" t="s">
        <v>1019</v>
      </c>
      <c r="D632" s="117" t="s">
        <v>1020</v>
      </c>
      <c r="E632" s="117" t="s">
        <v>6</v>
      </c>
      <c r="F632" s="117">
        <v>1722</v>
      </c>
      <c r="G632" s="117">
        <v>871</v>
      </c>
      <c r="H632" s="117">
        <v>871</v>
      </c>
      <c r="I632" s="117"/>
      <c r="J632" s="117"/>
      <c r="K632" s="117" t="s">
        <v>2058</v>
      </c>
      <c r="L632" s="117" t="s">
        <v>1465</v>
      </c>
      <c r="M632" s="117" t="s">
        <v>17</v>
      </c>
      <c r="N632" s="117" t="s">
        <v>18</v>
      </c>
      <c r="O632" s="117"/>
      <c r="P632" s="117"/>
      <c r="Q632" s="117"/>
      <c r="R632" s="117"/>
    </row>
    <row r="633" spans="1:18" ht="27" customHeight="1">
      <c r="A633" s="117">
        <v>628</v>
      </c>
      <c r="B633" s="117" t="s">
        <v>1426</v>
      </c>
      <c r="C633" s="117" t="s">
        <v>1021</v>
      </c>
      <c r="D633" s="117" t="s">
        <v>1022</v>
      </c>
      <c r="E633" s="117" t="s">
        <v>23</v>
      </c>
      <c r="F633" s="117">
        <v>708</v>
      </c>
      <c r="G633" s="117">
        <v>95</v>
      </c>
      <c r="H633" s="117">
        <v>95</v>
      </c>
      <c r="I633" s="117"/>
      <c r="J633" s="117"/>
      <c r="K633" s="117" t="s">
        <v>2034</v>
      </c>
      <c r="L633" s="117" t="s">
        <v>1439</v>
      </c>
      <c r="M633" s="117" t="s">
        <v>17</v>
      </c>
      <c r="N633" s="117" t="s">
        <v>18</v>
      </c>
      <c r="O633" s="117"/>
      <c r="P633" s="117"/>
      <c r="Q633" s="117"/>
      <c r="R633" s="117"/>
    </row>
    <row r="634" spans="1:18" ht="27" customHeight="1">
      <c r="A634" s="117">
        <v>629</v>
      </c>
      <c r="B634" s="117" t="s">
        <v>1426</v>
      </c>
      <c r="C634" s="117" t="s">
        <v>1023</v>
      </c>
      <c r="D634" s="117" t="s">
        <v>1024</v>
      </c>
      <c r="E634" s="117" t="s">
        <v>6</v>
      </c>
      <c r="F634" s="117">
        <v>1206</v>
      </c>
      <c r="G634" s="117">
        <v>370</v>
      </c>
      <c r="H634" s="117">
        <v>370</v>
      </c>
      <c r="I634" s="117"/>
      <c r="J634" s="117"/>
      <c r="K634" s="117" t="s">
        <v>2034</v>
      </c>
      <c r="L634" s="117" t="s">
        <v>1439</v>
      </c>
      <c r="M634" s="117" t="s">
        <v>17</v>
      </c>
      <c r="N634" s="117" t="s">
        <v>18</v>
      </c>
      <c r="O634" s="117"/>
      <c r="P634" s="117"/>
      <c r="Q634" s="117"/>
      <c r="R634" s="117"/>
    </row>
    <row r="635" spans="1:18" ht="27" customHeight="1">
      <c r="A635" s="117">
        <v>630</v>
      </c>
      <c r="B635" s="117" t="s">
        <v>1426</v>
      </c>
      <c r="C635" s="117" t="s">
        <v>1023</v>
      </c>
      <c r="D635" s="117" t="s">
        <v>1025</v>
      </c>
      <c r="E635" s="117" t="s">
        <v>6</v>
      </c>
      <c r="F635" s="117">
        <v>1206</v>
      </c>
      <c r="G635" s="117">
        <v>154</v>
      </c>
      <c r="H635" s="117">
        <v>154</v>
      </c>
      <c r="I635" s="117"/>
      <c r="J635" s="117"/>
      <c r="K635" s="117" t="s">
        <v>2034</v>
      </c>
      <c r="L635" s="117" t="s">
        <v>1439</v>
      </c>
      <c r="M635" s="117" t="s">
        <v>17</v>
      </c>
      <c r="N635" s="117" t="s">
        <v>18</v>
      </c>
      <c r="O635" s="117"/>
      <c r="P635" s="117"/>
      <c r="Q635" s="117"/>
      <c r="R635" s="117"/>
    </row>
    <row r="636" spans="1:18" ht="27" customHeight="1">
      <c r="A636" s="117">
        <v>631</v>
      </c>
      <c r="B636" s="117" t="s">
        <v>1426</v>
      </c>
      <c r="C636" s="117" t="s">
        <v>1026</v>
      </c>
      <c r="D636" s="117" t="s">
        <v>1027</v>
      </c>
      <c r="E636" s="117" t="s">
        <v>0</v>
      </c>
      <c r="F636" s="117">
        <v>295</v>
      </c>
      <c r="G636" s="117">
        <v>17</v>
      </c>
      <c r="H636" s="117">
        <v>17</v>
      </c>
      <c r="I636" s="117"/>
      <c r="J636" s="117"/>
      <c r="K636" s="117" t="s">
        <v>18</v>
      </c>
      <c r="L636" s="117"/>
      <c r="M636" s="117" t="s">
        <v>17</v>
      </c>
      <c r="N636" s="117" t="s">
        <v>18</v>
      </c>
      <c r="O636" s="117"/>
      <c r="P636" s="117"/>
      <c r="Q636" s="117"/>
      <c r="R636" s="117"/>
    </row>
    <row r="637" spans="1:18" ht="27" customHeight="1">
      <c r="A637" s="117">
        <v>632</v>
      </c>
      <c r="B637" s="117" t="s">
        <v>1426</v>
      </c>
      <c r="C637" s="117" t="s">
        <v>1028</v>
      </c>
      <c r="D637" s="117" t="s">
        <v>1029</v>
      </c>
      <c r="E637" s="117" t="s">
        <v>6</v>
      </c>
      <c r="F637" s="117">
        <v>1769</v>
      </c>
      <c r="G637" s="117">
        <v>792</v>
      </c>
      <c r="H637" s="117">
        <v>792</v>
      </c>
      <c r="I637" s="117"/>
      <c r="J637" s="117"/>
      <c r="K637" s="117" t="s">
        <v>2059</v>
      </c>
      <c r="L637" s="117" t="s">
        <v>1466</v>
      </c>
      <c r="M637" s="117" t="s">
        <v>17</v>
      </c>
      <c r="N637" s="117" t="s">
        <v>18</v>
      </c>
      <c r="O637" s="117"/>
      <c r="P637" s="117"/>
      <c r="Q637" s="117"/>
      <c r="R637" s="117"/>
    </row>
    <row r="638" spans="1:18" ht="27" customHeight="1">
      <c r="A638" s="117">
        <v>633</v>
      </c>
      <c r="B638" s="117" t="s">
        <v>1426</v>
      </c>
      <c r="C638" s="117" t="s">
        <v>1030</v>
      </c>
      <c r="D638" s="117" t="s">
        <v>1031</v>
      </c>
      <c r="E638" s="117" t="s">
        <v>23</v>
      </c>
      <c r="F638" s="117">
        <v>512</v>
      </c>
      <c r="G638" s="117">
        <v>427</v>
      </c>
      <c r="H638" s="117">
        <v>427</v>
      </c>
      <c r="I638" s="117"/>
      <c r="J638" s="117"/>
      <c r="K638" s="117" t="s">
        <v>2059</v>
      </c>
      <c r="L638" s="117" t="s">
        <v>1466</v>
      </c>
      <c r="M638" s="117" t="s">
        <v>17</v>
      </c>
      <c r="N638" s="117" t="s">
        <v>18</v>
      </c>
      <c r="O638" s="117"/>
      <c r="P638" s="117"/>
      <c r="Q638" s="117"/>
      <c r="R638" s="117"/>
    </row>
    <row r="639" spans="1:18" ht="27" customHeight="1">
      <c r="A639" s="117">
        <v>634</v>
      </c>
      <c r="B639" s="117" t="s">
        <v>1426</v>
      </c>
      <c r="C639" s="117" t="s">
        <v>1032</v>
      </c>
      <c r="D639" s="117" t="s">
        <v>1032</v>
      </c>
      <c r="E639" s="117" t="s">
        <v>23</v>
      </c>
      <c r="F639" s="117">
        <v>59</v>
      </c>
      <c r="G639" s="117">
        <v>59</v>
      </c>
      <c r="H639" s="117">
        <v>59</v>
      </c>
      <c r="I639" s="117"/>
      <c r="J639" s="117"/>
      <c r="K639" s="117" t="s">
        <v>2059</v>
      </c>
      <c r="L639" s="117" t="s">
        <v>1466</v>
      </c>
      <c r="M639" s="117" t="s">
        <v>17</v>
      </c>
      <c r="N639" s="117" t="s">
        <v>18</v>
      </c>
      <c r="O639" s="117"/>
      <c r="P639" s="117"/>
      <c r="Q639" s="117"/>
      <c r="R639" s="117"/>
    </row>
    <row r="640" spans="1:18" ht="27" customHeight="1">
      <c r="A640" s="117">
        <v>635</v>
      </c>
      <c r="B640" s="117" t="s">
        <v>1426</v>
      </c>
      <c r="C640" s="117" t="s">
        <v>1033</v>
      </c>
      <c r="D640" s="117" t="s">
        <v>1034</v>
      </c>
      <c r="E640" s="117" t="s">
        <v>6</v>
      </c>
      <c r="F640" s="117">
        <v>1209</v>
      </c>
      <c r="G640" s="117">
        <v>1066</v>
      </c>
      <c r="H640" s="117">
        <v>1066</v>
      </c>
      <c r="I640" s="117"/>
      <c r="J640" s="117"/>
      <c r="K640" s="117" t="s">
        <v>2059</v>
      </c>
      <c r="L640" s="117" t="s">
        <v>1466</v>
      </c>
      <c r="M640" s="117" t="s">
        <v>17</v>
      </c>
      <c r="N640" s="117" t="s">
        <v>18</v>
      </c>
      <c r="O640" s="117"/>
      <c r="P640" s="117"/>
      <c r="Q640" s="117"/>
      <c r="R640" s="117"/>
    </row>
    <row r="641" spans="1:18" ht="27" customHeight="1">
      <c r="A641" s="117">
        <v>636</v>
      </c>
      <c r="B641" s="117" t="s">
        <v>1426</v>
      </c>
      <c r="C641" s="117" t="s">
        <v>1035</v>
      </c>
      <c r="D641" s="117" t="s">
        <v>1035</v>
      </c>
      <c r="E641" s="117" t="s">
        <v>11</v>
      </c>
      <c r="F641" s="117">
        <v>236</v>
      </c>
      <c r="G641" s="117">
        <v>236</v>
      </c>
      <c r="H641" s="117">
        <v>236</v>
      </c>
      <c r="I641" s="117"/>
      <c r="J641" s="117"/>
      <c r="K641" s="117" t="s">
        <v>2059</v>
      </c>
      <c r="L641" s="117" t="s">
        <v>1466</v>
      </c>
      <c r="M641" s="117" t="s">
        <v>17</v>
      </c>
      <c r="N641" s="117" t="s">
        <v>18</v>
      </c>
      <c r="O641" s="117"/>
      <c r="P641" s="117"/>
      <c r="Q641" s="117"/>
      <c r="R641" s="117"/>
    </row>
    <row r="642" spans="1:18" ht="27" customHeight="1">
      <c r="A642" s="117">
        <v>637</v>
      </c>
      <c r="B642" s="117" t="s">
        <v>1426</v>
      </c>
      <c r="C642" s="117" t="s">
        <v>1036</v>
      </c>
      <c r="D642" s="117" t="s">
        <v>1037</v>
      </c>
      <c r="E642" s="117" t="s">
        <v>23</v>
      </c>
      <c r="F642" s="117">
        <v>258</v>
      </c>
      <c r="G642" s="117">
        <v>83</v>
      </c>
      <c r="H642" s="117">
        <v>83</v>
      </c>
      <c r="I642" s="117"/>
      <c r="J642" s="117"/>
      <c r="K642" s="117" t="s">
        <v>18</v>
      </c>
      <c r="L642" s="117"/>
      <c r="M642" s="117" t="s">
        <v>17</v>
      </c>
      <c r="N642" s="117" t="s">
        <v>18</v>
      </c>
      <c r="O642" s="117"/>
      <c r="P642" s="117"/>
      <c r="Q642" s="117"/>
      <c r="R642" s="117"/>
    </row>
    <row r="643" spans="1:18" ht="27" customHeight="1">
      <c r="A643" s="117">
        <v>638</v>
      </c>
      <c r="B643" s="117" t="s">
        <v>1426</v>
      </c>
      <c r="C643" s="117" t="s">
        <v>1038</v>
      </c>
      <c r="D643" s="117" t="s">
        <v>1039</v>
      </c>
      <c r="E643" s="117" t="s">
        <v>6</v>
      </c>
      <c r="F643" s="117">
        <v>3440</v>
      </c>
      <c r="G643" s="117">
        <v>3196</v>
      </c>
      <c r="H643" s="117">
        <v>3196</v>
      </c>
      <c r="I643" s="117"/>
      <c r="J643" s="117"/>
      <c r="K643" s="117" t="s">
        <v>2059</v>
      </c>
      <c r="L643" s="117" t="s">
        <v>1466</v>
      </c>
      <c r="M643" s="117" t="s">
        <v>17</v>
      </c>
      <c r="N643" s="117" t="s">
        <v>18</v>
      </c>
      <c r="O643" s="117"/>
      <c r="P643" s="117"/>
      <c r="Q643" s="117"/>
      <c r="R643" s="117"/>
    </row>
    <row r="644" spans="1:18" ht="27" customHeight="1">
      <c r="A644" s="117">
        <v>639</v>
      </c>
      <c r="B644" s="117" t="s">
        <v>1426</v>
      </c>
      <c r="C644" s="117" t="s">
        <v>1357</v>
      </c>
      <c r="D644" s="117" t="s">
        <v>1357</v>
      </c>
      <c r="E644" s="117" t="s">
        <v>2</v>
      </c>
      <c r="F644" s="117">
        <v>18</v>
      </c>
      <c r="G644" s="117">
        <v>18</v>
      </c>
      <c r="H644" s="117">
        <v>18</v>
      </c>
      <c r="I644" s="117"/>
      <c r="J644" s="117"/>
      <c r="K644" s="117" t="s">
        <v>563</v>
      </c>
      <c r="L644" s="117" t="s">
        <v>564</v>
      </c>
      <c r="M644" s="117" t="s">
        <v>17</v>
      </c>
      <c r="N644" s="117" t="s">
        <v>1269</v>
      </c>
      <c r="O644" s="117"/>
      <c r="P644" s="117"/>
      <c r="Q644" s="117"/>
      <c r="R644" s="117"/>
    </row>
    <row r="645" spans="1:18" ht="27" customHeight="1">
      <c r="A645" s="117">
        <v>640</v>
      </c>
      <c r="B645" s="117" t="s">
        <v>1426</v>
      </c>
      <c r="C645" s="117" t="s">
        <v>1040</v>
      </c>
      <c r="D645" s="117" t="s">
        <v>21</v>
      </c>
      <c r="E645" s="117" t="s">
        <v>0</v>
      </c>
      <c r="F645" s="117">
        <v>2202</v>
      </c>
      <c r="G645" s="117">
        <v>1420</v>
      </c>
      <c r="H645" s="117">
        <v>1420</v>
      </c>
      <c r="I645" s="117"/>
      <c r="J645" s="117"/>
      <c r="K645" s="117" t="s">
        <v>18</v>
      </c>
      <c r="L645" s="117"/>
      <c r="M645" s="117" t="s">
        <v>17</v>
      </c>
      <c r="N645" s="117" t="s">
        <v>18</v>
      </c>
      <c r="O645" s="117"/>
      <c r="P645" s="117"/>
      <c r="Q645" s="117"/>
      <c r="R645" s="117"/>
    </row>
    <row r="646" spans="1:18" ht="27" customHeight="1">
      <c r="A646" s="117">
        <v>641</v>
      </c>
      <c r="B646" s="117" t="s">
        <v>1426</v>
      </c>
      <c r="C646" s="117" t="s">
        <v>1041</v>
      </c>
      <c r="D646" s="117" t="s">
        <v>1041</v>
      </c>
      <c r="E646" s="117" t="s">
        <v>6</v>
      </c>
      <c r="F646" s="117">
        <v>1170</v>
      </c>
      <c r="G646" s="117">
        <v>1170</v>
      </c>
      <c r="H646" s="117">
        <v>1170</v>
      </c>
      <c r="I646" s="117"/>
      <c r="J646" s="117"/>
      <c r="K646" s="117" t="s">
        <v>2060</v>
      </c>
      <c r="L646" s="117" t="s">
        <v>1467</v>
      </c>
      <c r="M646" s="117" t="s">
        <v>17</v>
      </c>
      <c r="N646" s="117" t="s">
        <v>18</v>
      </c>
      <c r="O646" s="117"/>
      <c r="P646" s="117"/>
      <c r="Q646" s="117"/>
      <c r="R646" s="117"/>
    </row>
    <row r="647" spans="1:18" ht="27" customHeight="1">
      <c r="A647" s="117">
        <v>642</v>
      </c>
      <c r="B647" s="117" t="s">
        <v>1426</v>
      </c>
      <c r="C647" s="117" t="s">
        <v>1042</v>
      </c>
      <c r="D647" s="117" t="s">
        <v>1043</v>
      </c>
      <c r="E647" s="117" t="s">
        <v>6</v>
      </c>
      <c r="F647" s="117">
        <v>2846</v>
      </c>
      <c r="G647" s="117">
        <v>2007</v>
      </c>
      <c r="H647" s="117">
        <v>2007</v>
      </c>
      <c r="I647" s="117"/>
      <c r="J647" s="117"/>
      <c r="K647" s="117" t="s">
        <v>18</v>
      </c>
      <c r="L647" s="117"/>
      <c r="M647" s="117" t="s">
        <v>17</v>
      </c>
      <c r="N647" s="117" t="s">
        <v>18</v>
      </c>
      <c r="O647" s="117"/>
      <c r="P647" s="117"/>
      <c r="Q647" s="117"/>
      <c r="R647" s="117"/>
    </row>
    <row r="648" spans="1:18" ht="27" customHeight="1">
      <c r="A648" s="117">
        <v>643</v>
      </c>
      <c r="B648" s="117" t="s">
        <v>1426</v>
      </c>
      <c r="C648" s="117" t="s">
        <v>1044</v>
      </c>
      <c r="D648" s="117" t="s">
        <v>1045</v>
      </c>
      <c r="E648" s="117" t="s">
        <v>0</v>
      </c>
      <c r="F648" s="117">
        <v>1488</v>
      </c>
      <c r="G648" s="117">
        <v>274</v>
      </c>
      <c r="H648" s="117">
        <v>274</v>
      </c>
      <c r="I648" s="117"/>
      <c r="J648" s="117"/>
      <c r="K648" s="117" t="s">
        <v>18</v>
      </c>
      <c r="L648" s="117"/>
      <c r="M648" s="117" t="s">
        <v>17</v>
      </c>
      <c r="N648" s="117" t="s">
        <v>18</v>
      </c>
      <c r="O648" s="117"/>
      <c r="P648" s="117"/>
      <c r="Q648" s="117"/>
      <c r="R648" s="117"/>
    </row>
    <row r="649" spans="1:18" ht="27" customHeight="1">
      <c r="A649" s="117">
        <v>644</v>
      </c>
      <c r="B649" s="117" t="s">
        <v>1426</v>
      </c>
      <c r="C649" s="117" t="s">
        <v>1046</v>
      </c>
      <c r="D649" s="117" t="s">
        <v>1047</v>
      </c>
      <c r="E649" s="117" t="s">
        <v>6</v>
      </c>
      <c r="F649" s="117">
        <v>1217</v>
      </c>
      <c r="G649" s="117">
        <v>593</v>
      </c>
      <c r="H649" s="117">
        <v>593</v>
      </c>
      <c r="I649" s="117"/>
      <c r="J649" s="117"/>
      <c r="K649" s="117" t="s">
        <v>2061</v>
      </c>
      <c r="L649" s="117" t="s">
        <v>1468</v>
      </c>
      <c r="M649" s="117" t="s">
        <v>17</v>
      </c>
      <c r="N649" s="117" t="s">
        <v>18</v>
      </c>
      <c r="O649" s="117"/>
      <c r="P649" s="117"/>
      <c r="Q649" s="117"/>
      <c r="R649" s="117"/>
    </row>
    <row r="650" spans="1:18" ht="27" customHeight="1">
      <c r="A650" s="117">
        <v>645</v>
      </c>
      <c r="B650" s="117" t="s">
        <v>1426</v>
      </c>
      <c r="C650" s="117" t="s">
        <v>1048</v>
      </c>
      <c r="D650" s="117" t="s">
        <v>1048</v>
      </c>
      <c r="E650" s="117" t="s">
        <v>6</v>
      </c>
      <c r="F650" s="117">
        <v>211</v>
      </c>
      <c r="G650" s="117">
        <v>211</v>
      </c>
      <c r="H650" s="117">
        <v>211</v>
      </c>
      <c r="I650" s="117"/>
      <c r="J650" s="117"/>
      <c r="K650" s="117" t="s">
        <v>2061</v>
      </c>
      <c r="L650" s="117" t="s">
        <v>1469</v>
      </c>
      <c r="M650" s="117" t="s">
        <v>17</v>
      </c>
      <c r="N650" s="117" t="s">
        <v>18</v>
      </c>
      <c r="O650" s="117"/>
      <c r="P650" s="117"/>
      <c r="Q650" s="117"/>
      <c r="R650" s="117"/>
    </row>
    <row r="651" spans="1:18" ht="27" customHeight="1">
      <c r="A651" s="117">
        <v>646</v>
      </c>
      <c r="B651" s="117" t="s">
        <v>1426</v>
      </c>
      <c r="C651" s="117" t="s">
        <v>1049</v>
      </c>
      <c r="D651" s="117" t="s">
        <v>1049</v>
      </c>
      <c r="E651" s="117" t="s">
        <v>6</v>
      </c>
      <c r="F651" s="117">
        <v>80</v>
      </c>
      <c r="G651" s="117">
        <v>80</v>
      </c>
      <c r="H651" s="117">
        <v>80</v>
      </c>
      <c r="I651" s="117"/>
      <c r="J651" s="117"/>
      <c r="K651" s="117" t="s">
        <v>2061</v>
      </c>
      <c r="L651" s="117" t="s">
        <v>1469</v>
      </c>
      <c r="M651" s="117" t="s">
        <v>17</v>
      </c>
      <c r="N651" s="117" t="s">
        <v>18</v>
      </c>
      <c r="O651" s="117"/>
      <c r="P651" s="117"/>
      <c r="Q651" s="117"/>
      <c r="R651" s="117"/>
    </row>
    <row r="652" spans="1:18" ht="27" customHeight="1">
      <c r="A652" s="117">
        <v>647</v>
      </c>
      <c r="B652" s="117" t="s">
        <v>1426</v>
      </c>
      <c r="C652" s="117" t="s">
        <v>1050</v>
      </c>
      <c r="D652" s="117" t="s">
        <v>1050</v>
      </c>
      <c r="E652" s="117" t="s">
        <v>23</v>
      </c>
      <c r="F652" s="117">
        <v>330</v>
      </c>
      <c r="G652" s="117">
        <v>330</v>
      </c>
      <c r="H652" s="117">
        <v>330</v>
      </c>
      <c r="I652" s="117"/>
      <c r="J652" s="117"/>
      <c r="K652" s="117" t="s">
        <v>2061</v>
      </c>
      <c r="L652" s="117" t="s">
        <v>1469</v>
      </c>
      <c r="M652" s="117" t="s">
        <v>17</v>
      </c>
      <c r="N652" s="117" t="s">
        <v>18</v>
      </c>
      <c r="O652" s="117"/>
      <c r="P652" s="117"/>
      <c r="Q652" s="117"/>
      <c r="R652" s="117"/>
    </row>
    <row r="653" spans="1:18" ht="27" customHeight="1">
      <c r="A653" s="117">
        <v>648</v>
      </c>
      <c r="B653" s="117" t="s">
        <v>1426</v>
      </c>
      <c r="C653" s="117" t="s">
        <v>1051</v>
      </c>
      <c r="D653" s="117" t="s">
        <v>1052</v>
      </c>
      <c r="E653" s="117" t="s">
        <v>23</v>
      </c>
      <c r="F653" s="117">
        <v>611</v>
      </c>
      <c r="G653" s="117">
        <v>30</v>
      </c>
      <c r="H653" s="117">
        <v>30</v>
      </c>
      <c r="I653" s="117"/>
      <c r="J653" s="117"/>
      <c r="K653" s="117" t="s">
        <v>18</v>
      </c>
      <c r="L653" s="117"/>
      <c r="M653" s="117" t="s">
        <v>17</v>
      </c>
      <c r="N653" s="117" t="s">
        <v>18</v>
      </c>
      <c r="O653" s="117"/>
      <c r="P653" s="117"/>
      <c r="Q653" s="117"/>
      <c r="R653" s="117"/>
    </row>
    <row r="654" spans="1:18" ht="27" customHeight="1">
      <c r="A654" s="117">
        <v>649</v>
      </c>
      <c r="B654" s="117" t="s">
        <v>1426</v>
      </c>
      <c r="C654" s="117" t="s">
        <v>1051</v>
      </c>
      <c r="D654" s="117" t="s">
        <v>1053</v>
      </c>
      <c r="E654" s="117" t="s">
        <v>23</v>
      </c>
      <c r="F654" s="117">
        <v>611</v>
      </c>
      <c r="G654" s="117">
        <v>7</v>
      </c>
      <c r="H654" s="117">
        <v>7</v>
      </c>
      <c r="I654" s="117"/>
      <c r="J654" s="117"/>
      <c r="K654" s="117" t="s">
        <v>18</v>
      </c>
      <c r="L654" s="117"/>
      <c r="M654" s="117" t="s">
        <v>17</v>
      </c>
      <c r="N654" s="117" t="s">
        <v>18</v>
      </c>
      <c r="O654" s="117"/>
      <c r="P654" s="117"/>
      <c r="Q654" s="117"/>
      <c r="R654" s="117"/>
    </row>
    <row r="655" spans="1:18" ht="27" customHeight="1">
      <c r="A655" s="117">
        <v>650</v>
      </c>
      <c r="B655" s="117" t="s">
        <v>1426</v>
      </c>
      <c r="C655" s="117" t="s">
        <v>1054</v>
      </c>
      <c r="D655" s="117" t="s">
        <v>1055</v>
      </c>
      <c r="E655" s="117" t="s">
        <v>6</v>
      </c>
      <c r="F655" s="117">
        <v>1471</v>
      </c>
      <c r="G655" s="117">
        <v>521</v>
      </c>
      <c r="H655" s="117">
        <v>521</v>
      </c>
      <c r="I655" s="117"/>
      <c r="J655" s="117"/>
      <c r="K655" s="117" t="s">
        <v>2062</v>
      </c>
      <c r="L655" s="117" t="s">
        <v>1470</v>
      </c>
      <c r="M655" s="117" t="s">
        <v>17</v>
      </c>
      <c r="N655" s="117" t="s">
        <v>18</v>
      </c>
      <c r="O655" s="117"/>
      <c r="P655" s="117"/>
      <c r="Q655" s="117"/>
      <c r="R655" s="117"/>
    </row>
    <row r="656" spans="1:18" ht="27" customHeight="1">
      <c r="A656" s="117">
        <v>651</v>
      </c>
      <c r="B656" s="117" t="s">
        <v>1426</v>
      </c>
      <c r="C656" s="117" t="s">
        <v>1056</v>
      </c>
      <c r="D656" s="117" t="s">
        <v>1057</v>
      </c>
      <c r="E656" s="117" t="s">
        <v>23</v>
      </c>
      <c r="F656" s="117">
        <v>813</v>
      </c>
      <c r="G656" s="117">
        <v>477</v>
      </c>
      <c r="H656" s="117">
        <v>477</v>
      </c>
      <c r="I656" s="117"/>
      <c r="J656" s="117"/>
      <c r="K656" s="117" t="s">
        <v>2062</v>
      </c>
      <c r="L656" s="117" t="s">
        <v>1470</v>
      </c>
      <c r="M656" s="117" t="s">
        <v>17</v>
      </c>
      <c r="N656" s="117" t="s">
        <v>18</v>
      </c>
      <c r="O656" s="117"/>
      <c r="P656" s="117"/>
      <c r="Q656" s="117"/>
      <c r="R656" s="117"/>
    </row>
    <row r="657" spans="1:18" ht="27" customHeight="1">
      <c r="A657" s="117">
        <v>652</v>
      </c>
      <c r="B657" s="117" t="s">
        <v>1426</v>
      </c>
      <c r="C657" s="117" t="s">
        <v>1058</v>
      </c>
      <c r="D657" s="117" t="s">
        <v>1059</v>
      </c>
      <c r="E657" s="117" t="s">
        <v>23</v>
      </c>
      <c r="F657" s="117">
        <v>234</v>
      </c>
      <c r="G657" s="117">
        <v>213</v>
      </c>
      <c r="H657" s="117">
        <v>213</v>
      </c>
      <c r="I657" s="117"/>
      <c r="J657" s="117"/>
      <c r="K657" s="117" t="s">
        <v>17</v>
      </c>
      <c r="L657" s="117" t="s">
        <v>400</v>
      </c>
      <c r="M657" s="117" t="s">
        <v>17</v>
      </c>
      <c r="N657" s="117" t="s">
        <v>18</v>
      </c>
      <c r="O657" s="117"/>
      <c r="P657" s="117"/>
      <c r="Q657" s="117"/>
      <c r="R657" s="117"/>
    </row>
    <row r="658" spans="1:18" ht="27" customHeight="1">
      <c r="A658" s="117">
        <v>653</v>
      </c>
      <c r="B658" s="117" t="s">
        <v>1426</v>
      </c>
      <c r="C658" s="117" t="s">
        <v>1060</v>
      </c>
      <c r="D658" s="117" t="s">
        <v>1060</v>
      </c>
      <c r="E658" s="117" t="s">
        <v>23</v>
      </c>
      <c r="F658" s="117">
        <v>214</v>
      </c>
      <c r="G658" s="117">
        <v>214</v>
      </c>
      <c r="H658" s="117">
        <v>214</v>
      </c>
      <c r="I658" s="117"/>
      <c r="J658" s="117"/>
      <c r="K658" s="117" t="s">
        <v>2062</v>
      </c>
      <c r="L658" s="117" t="s">
        <v>1470</v>
      </c>
      <c r="M658" s="117" t="s">
        <v>17</v>
      </c>
      <c r="N658" s="117" t="s">
        <v>18</v>
      </c>
      <c r="O658" s="117"/>
      <c r="P658" s="117"/>
      <c r="Q658" s="117"/>
      <c r="R658" s="117"/>
    </row>
    <row r="659" spans="1:18" ht="27" customHeight="1">
      <c r="A659" s="117">
        <v>654</v>
      </c>
      <c r="B659" s="117" t="s">
        <v>1426</v>
      </c>
      <c r="C659" s="117" t="s">
        <v>1061</v>
      </c>
      <c r="D659" s="117" t="s">
        <v>1062</v>
      </c>
      <c r="E659" s="117" t="s">
        <v>11</v>
      </c>
      <c r="F659" s="117">
        <v>2263</v>
      </c>
      <c r="G659" s="117">
        <v>1315</v>
      </c>
      <c r="H659" s="117">
        <v>1315</v>
      </c>
      <c r="I659" s="117"/>
      <c r="J659" s="117"/>
      <c r="K659" s="117" t="s">
        <v>2011</v>
      </c>
      <c r="L659" s="117" t="s">
        <v>1471</v>
      </c>
      <c r="M659" s="117" t="s">
        <v>17</v>
      </c>
      <c r="N659" s="117" t="s">
        <v>18</v>
      </c>
      <c r="O659" s="117"/>
      <c r="P659" s="117"/>
      <c r="Q659" s="117"/>
      <c r="R659" s="117"/>
    </row>
    <row r="660" spans="1:18" ht="27" customHeight="1">
      <c r="A660" s="117">
        <v>655</v>
      </c>
      <c r="B660" s="117" t="s">
        <v>1426</v>
      </c>
      <c r="C660" s="117" t="s">
        <v>1063</v>
      </c>
      <c r="D660" s="117" t="s">
        <v>1064</v>
      </c>
      <c r="E660" s="117" t="s">
        <v>11</v>
      </c>
      <c r="F660" s="117">
        <v>5938</v>
      </c>
      <c r="G660" s="117">
        <v>3952</v>
      </c>
      <c r="H660" s="117">
        <v>3468</v>
      </c>
      <c r="I660" s="117"/>
      <c r="J660" s="117"/>
      <c r="K660" s="117" t="s">
        <v>2063</v>
      </c>
      <c r="L660" s="117" t="s">
        <v>1472</v>
      </c>
      <c r="M660" s="117" t="s">
        <v>17</v>
      </c>
      <c r="N660" s="117" t="s">
        <v>18</v>
      </c>
      <c r="O660" s="117"/>
      <c r="P660" s="117"/>
      <c r="Q660" s="117"/>
      <c r="R660" s="117"/>
    </row>
    <row r="661" spans="1:18" ht="27" customHeight="1">
      <c r="A661" s="117">
        <v>656</v>
      </c>
      <c r="B661" s="117" t="s">
        <v>1426</v>
      </c>
      <c r="C661" s="117" t="s">
        <v>1065</v>
      </c>
      <c r="D661" s="117" t="s">
        <v>1066</v>
      </c>
      <c r="E661" s="117" t="s">
        <v>11</v>
      </c>
      <c r="F661" s="117">
        <v>7736</v>
      </c>
      <c r="G661" s="117">
        <v>1011</v>
      </c>
      <c r="H661" s="117">
        <v>1011</v>
      </c>
      <c r="I661" s="117"/>
      <c r="J661" s="117"/>
      <c r="K661" s="117" t="s">
        <v>18</v>
      </c>
      <c r="L661" s="117"/>
      <c r="M661" s="117" t="s">
        <v>17</v>
      </c>
      <c r="N661" s="117" t="s">
        <v>18</v>
      </c>
      <c r="O661" s="117"/>
      <c r="P661" s="117"/>
      <c r="Q661" s="117"/>
      <c r="R661" s="117"/>
    </row>
    <row r="662" spans="1:18" ht="27" customHeight="1">
      <c r="A662" s="117">
        <v>657</v>
      </c>
      <c r="B662" s="117" t="s">
        <v>1426</v>
      </c>
      <c r="C662" s="117" t="s">
        <v>1067</v>
      </c>
      <c r="D662" s="117" t="s">
        <v>1068</v>
      </c>
      <c r="E662" s="117" t="s">
        <v>11</v>
      </c>
      <c r="F662" s="117">
        <v>5950</v>
      </c>
      <c r="G662" s="117">
        <v>3018</v>
      </c>
      <c r="H662" s="117">
        <v>3018</v>
      </c>
      <c r="I662" s="117"/>
      <c r="J662" s="117"/>
      <c r="K662" s="117" t="s">
        <v>18</v>
      </c>
      <c r="L662" s="117"/>
      <c r="M662" s="117" t="s">
        <v>17</v>
      </c>
      <c r="N662" s="117" t="s">
        <v>18</v>
      </c>
      <c r="O662" s="117"/>
      <c r="P662" s="117"/>
      <c r="Q662" s="117"/>
      <c r="R662" s="117"/>
    </row>
    <row r="663" spans="1:18" ht="27" customHeight="1">
      <c r="A663" s="117">
        <v>658</v>
      </c>
      <c r="B663" s="117" t="s">
        <v>1426</v>
      </c>
      <c r="C663" s="117" t="s">
        <v>1069</v>
      </c>
      <c r="D663" s="117" t="s">
        <v>1070</v>
      </c>
      <c r="E663" s="117" t="s">
        <v>6</v>
      </c>
      <c r="F663" s="117">
        <v>2608</v>
      </c>
      <c r="G663" s="117">
        <v>9</v>
      </c>
      <c r="H663" s="117">
        <v>9</v>
      </c>
      <c r="I663" s="117"/>
      <c r="J663" s="117"/>
      <c r="K663" s="117" t="s">
        <v>2064</v>
      </c>
      <c r="L663" s="117" t="s">
        <v>1473</v>
      </c>
      <c r="M663" s="117" t="s">
        <v>17</v>
      </c>
      <c r="N663" s="117" t="s">
        <v>18</v>
      </c>
      <c r="O663" s="117"/>
      <c r="P663" s="117"/>
      <c r="Q663" s="117"/>
      <c r="R663" s="117"/>
    </row>
    <row r="664" spans="1:18" ht="27" customHeight="1">
      <c r="A664" s="117">
        <v>659</v>
      </c>
      <c r="B664" s="117" t="s">
        <v>1426</v>
      </c>
      <c r="C664" s="117" t="s">
        <v>1071</v>
      </c>
      <c r="D664" s="117" t="s">
        <v>1072</v>
      </c>
      <c r="E664" s="117" t="s">
        <v>6</v>
      </c>
      <c r="F664" s="117">
        <v>876</v>
      </c>
      <c r="G664" s="117">
        <v>287</v>
      </c>
      <c r="H664" s="117">
        <v>287</v>
      </c>
      <c r="I664" s="117"/>
      <c r="J664" s="117"/>
      <c r="K664" s="117" t="s">
        <v>18</v>
      </c>
      <c r="L664" s="117"/>
      <c r="M664" s="117" t="s">
        <v>17</v>
      </c>
      <c r="N664" s="117" t="s">
        <v>18</v>
      </c>
      <c r="O664" s="117"/>
      <c r="P664" s="117"/>
      <c r="Q664" s="117"/>
      <c r="R664" s="117"/>
    </row>
    <row r="665" spans="1:18" ht="27" customHeight="1">
      <c r="A665" s="117">
        <v>660</v>
      </c>
      <c r="B665" s="117" t="s">
        <v>1426</v>
      </c>
      <c r="C665" s="117" t="s">
        <v>1073</v>
      </c>
      <c r="D665" s="117" t="s">
        <v>1074</v>
      </c>
      <c r="E665" s="117" t="s">
        <v>11</v>
      </c>
      <c r="F665" s="117">
        <v>2049</v>
      </c>
      <c r="G665" s="117">
        <v>654</v>
      </c>
      <c r="H665" s="117">
        <v>654</v>
      </c>
      <c r="I665" s="117"/>
      <c r="J665" s="117"/>
      <c r="K665" s="117" t="s">
        <v>18</v>
      </c>
      <c r="L665" s="117"/>
      <c r="M665" s="117" t="s">
        <v>17</v>
      </c>
      <c r="N665" s="117" t="s">
        <v>18</v>
      </c>
      <c r="O665" s="117"/>
      <c r="P665" s="117"/>
      <c r="Q665" s="117"/>
      <c r="R665" s="117"/>
    </row>
    <row r="666" spans="1:18" ht="27" customHeight="1">
      <c r="A666" s="117">
        <v>661</v>
      </c>
      <c r="B666" s="117" t="s">
        <v>1426</v>
      </c>
      <c r="C666" s="117" t="s">
        <v>1075</v>
      </c>
      <c r="D666" s="117" t="s">
        <v>1076</v>
      </c>
      <c r="E666" s="117" t="s">
        <v>57</v>
      </c>
      <c r="F666" s="117">
        <v>13686</v>
      </c>
      <c r="G666" s="117">
        <v>2207</v>
      </c>
      <c r="H666" s="117">
        <v>2207</v>
      </c>
      <c r="I666" s="117"/>
      <c r="J666" s="117"/>
      <c r="K666" s="117" t="s">
        <v>205</v>
      </c>
      <c r="L666" s="117"/>
      <c r="M666" s="117" t="s">
        <v>17</v>
      </c>
      <c r="N666" s="117" t="s">
        <v>1263</v>
      </c>
      <c r="O666" s="117"/>
      <c r="P666" s="117"/>
      <c r="Q666" s="117"/>
      <c r="R666" s="117"/>
    </row>
    <row r="667" spans="1:18" ht="27" customHeight="1">
      <c r="A667" s="117">
        <v>662</v>
      </c>
      <c r="B667" s="117" t="s">
        <v>1426</v>
      </c>
      <c r="C667" s="117" t="s">
        <v>1077</v>
      </c>
      <c r="D667" s="117" t="s">
        <v>1078</v>
      </c>
      <c r="E667" s="117" t="s">
        <v>6</v>
      </c>
      <c r="F667" s="117">
        <v>1782</v>
      </c>
      <c r="G667" s="117">
        <v>1066</v>
      </c>
      <c r="H667" s="117">
        <v>1066</v>
      </c>
      <c r="I667" s="117"/>
      <c r="J667" s="117"/>
      <c r="K667" s="117" t="s">
        <v>2062</v>
      </c>
      <c r="L667" s="117" t="s">
        <v>1470</v>
      </c>
      <c r="M667" s="117" t="s">
        <v>17</v>
      </c>
      <c r="N667" s="117" t="s">
        <v>18</v>
      </c>
      <c r="O667" s="117"/>
      <c r="P667" s="117"/>
      <c r="Q667" s="117"/>
      <c r="R667" s="117"/>
    </row>
    <row r="668" spans="1:18" ht="27" customHeight="1">
      <c r="A668" s="117">
        <v>663</v>
      </c>
      <c r="B668" s="117" t="s">
        <v>1426</v>
      </c>
      <c r="C668" s="117" t="s">
        <v>1079</v>
      </c>
      <c r="D668" s="117" t="s">
        <v>1079</v>
      </c>
      <c r="E668" s="117" t="s">
        <v>6</v>
      </c>
      <c r="F668" s="117">
        <v>258</v>
      </c>
      <c r="G668" s="117">
        <v>258</v>
      </c>
      <c r="H668" s="117">
        <v>258</v>
      </c>
      <c r="I668" s="117"/>
      <c r="J668" s="117"/>
      <c r="K668" s="117" t="s">
        <v>2062</v>
      </c>
      <c r="L668" s="117" t="s">
        <v>1470</v>
      </c>
      <c r="M668" s="117" t="s">
        <v>17</v>
      </c>
      <c r="N668" s="117" t="s">
        <v>18</v>
      </c>
      <c r="O668" s="117"/>
      <c r="P668" s="117"/>
      <c r="Q668" s="117"/>
      <c r="R668" s="117"/>
    </row>
    <row r="669" spans="1:18" ht="27" customHeight="1">
      <c r="A669" s="117">
        <v>664</v>
      </c>
      <c r="B669" s="117" t="s">
        <v>1426</v>
      </c>
      <c r="C669" s="117" t="s">
        <v>1075</v>
      </c>
      <c r="D669" s="117" t="s">
        <v>1080</v>
      </c>
      <c r="E669" s="117" t="s">
        <v>57</v>
      </c>
      <c r="F669" s="117">
        <v>13686</v>
      </c>
      <c r="G669" s="117">
        <v>117</v>
      </c>
      <c r="H669" s="117">
        <v>117</v>
      </c>
      <c r="I669" s="117"/>
      <c r="J669" s="117"/>
      <c r="K669" s="117" t="s">
        <v>205</v>
      </c>
      <c r="L669" s="117"/>
      <c r="M669" s="117" t="s">
        <v>17</v>
      </c>
      <c r="N669" s="117" t="s">
        <v>1263</v>
      </c>
      <c r="O669" s="117"/>
      <c r="P669" s="117"/>
      <c r="Q669" s="117"/>
      <c r="R669" s="117"/>
    </row>
    <row r="670" spans="1:18" ht="27" customHeight="1">
      <c r="A670" s="117">
        <v>665</v>
      </c>
      <c r="B670" s="117" t="s">
        <v>1426</v>
      </c>
      <c r="C670" s="117" t="s">
        <v>1081</v>
      </c>
      <c r="D670" s="117" t="s">
        <v>1081</v>
      </c>
      <c r="E670" s="117" t="s">
        <v>11</v>
      </c>
      <c r="F670" s="117">
        <v>258</v>
      </c>
      <c r="G670" s="117">
        <v>258</v>
      </c>
      <c r="H670" s="117">
        <v>258</v>
      </c>
      <c r="I670" s="117"/>
      <c r="J670" s="117"/>
      <c r="K670" s="117" t="s">
        <v>17</v>
      </c>
      <c r="L670" s="117" t="s">
        <v>400</v>
      </c>
      <c r="M670" s="117" t="s">
        <v>17</v>
      </c>
      <c r="N670" s="117" t="s">
        <v>18</v>
      </c>
      <c r="O670" s="117"/>
      <c r="P670" s="117"/>
      <c r="Q670" s="117"/>
      <c r="R670" s="117"/>
    </row>
    <row r="671" spans="1:18" ht="27" customHeight="1">
      <c r="A671" s="117">
        <v>666</v>
      </c>
      <c r="B671" s="117" t="s">
        <v>1426</v>
      </c>
      <c r="C671" s="117" t="s">
        <v>1082</v>
      </c>
      <c r="D671" s="117" t="s">
        <v>512</v>
      </c>
      <c r="E671" s="117" t="s">
        <v>3</v>
      </c>
      <c r="F671" s="117">
        <v>328</v>
      </c>
      <c r="G671" s="117">
        <v>128</v>
      </c>
      <c r="H671" s="117">
        <v>81</v>
      </c>
      <c r="I671" s="117"/>
      <c r="J671" s="117"/>
      <c r="K671" s="117" t="s">
        <v>17</v>
      </c>
      <c r="L671" s="117" t="s">
        <v>1478</v>
      </c>
      <c r="M671" s="117" t="s">
        <v>17</v>
      </c>
      <c r="N671" s="117" t="s">
        <v>1478</v>
      </c>
      <c r="O671" s="117"/>
      <c r="P671" s="117"/>
      <c r="Q671" s="117"/>
      <c r="R671" s="117"/>
    </row>
    <row r="672" spans="1:18" ht="27" customHeight="1">
      <c r="A672" s="117">
        <v>667</v>
      </c>
      <c r="B672" s="117" t="s">
        <v>1426</v>
      </c>
      <c r="C672" s="117" t="s">
        <v>1083</v>
      </c>
      <c r="D672" s="117" t="s">
        <v>1084</v>
      </c>
      <c r="E672" s="117" t="s">
        <v>6</v>
      </c>
      <c r="F672" s="117">
        <v>662</v>
      </c>
      <c r="G672" s="117">
        <v>649</v>
      </c>
      <c r="H672" s="117">
        <v>649</v>
      </c>
      <c r="I672" s="117"/>
      <c r="J672" s="117"/>
      <c r="K672" s="117" t="s">
        <v>17</v>
      </c>
      <c r="L672" s="117" t="s">
        <v>400</v>
      </c>
      <c r="M672" s="117" t="s">
        <v>17</v>
      </c>
      <c r="N672" s="117" t="s">
        <v>18</v>
      </c>
      <c r="O672" s="117"/>
      <c r="P672" s="117"/>
      <c r="Q672" s="117"/>
      <c r="R672" s="117"/>
    </row>
    <row r="673" spans="1:18" ht="39" customHeight="1">
      <c r="A673" s="117">
        <v>668</v>
      </c>
      <c r="B673" s="117" t="s">
        <v>1426</v>
      </c>
      <c r="C673" s="117" t="s">
        <v>1085</v>
      </c>
      <c r="D673" s="117" t="s">
        <v>1086</v>
      </c>
      <c r="E673" s="117" t="s">
        <v>11</v>
      </c>
      <c r="F673" s="117">
        <v>397</v>
      </c>
      <c r="G673" s="117">
        <v>300</v>
      </c>
      <c r="H673" s="117">
        <v>300</v>
      </c>
      <c r="I673" s="117"/>
      <c r="J673" s="117"/>
      <c r="K673" s="117" t="s">
        <v>2065</v>
      </c>
      <c r="L673" s="117" t="s">
        <v>1479</v>
      </c>
      <c r="M673" s="117" t="s">
        <v>17</v>
      </c>
      <c r="N673" s="117" t="s">
        <v>18</v>
      </c>
      <c r="O673" s="117"/>
      <c r="P673" s="117"/>
      <c r="Q673" s="117"/>
      <c r="R673" s="117"/>
    </row>
    <row r="674" spans="1:18" ht="27" customHeight="1">
      <c r="A674" s="117">
        <v>669</v>
      </c>
      <c r="B674" s="117" t="s">
        <v>1426</v>
      </c>
      <c r="C674" s="117" t="s">
        <v>922</v>
      </c>
      <c r="D674" s="117" t="s">
        <v>1305</v>
      </c>
      <c r="E674" s="117" t="s">
        <v>3</v>
      </c>
      <c r="F674" s="117">
        <v>2187</v>
      </c>
      <c r="G674" s="117">
        <v>2310</v>
      </c>
      <c r="H674" s="117">
        <v>1230</v>
      </c>
      <c r="I674" s="117"/>
      <c r="J674" s="117"/>
      <c r="K674" s="117" t="s">
        <v>17</v>
      </c>
      <c r="L674" s="117" t="s">
        <v>1269</v>
      </c>
      <c r="M674" s="117" t="s">
        <v>17</v>
      </c>
      <c r="N674" s="117" t="s">
        <v>1269</v>
      </c>
      <c r="O674" s="117"/>
      <c r="P674" s="117"/>
      <c r="Q674" s="117"/>
      <c r="R674" s="117" t="s">
        <v>1337</v>
      </c>
    </row>
    <row r="675" spans="1:18" ht="27" customHeight="1">
      <c r="A675" s="117">
        <v>670</v>
      </c>
      <c r="B675" s="117" t="s">
        <v>1426</v>
      </c>
      <c r="C675" s="117" t="s">
        <v>922</v>
      </c>
      <c r="D675" s="117" t="s">
        <v>1308</v>
      </c>
      <c r="E675" s="117" t="s">
        <v>3</v>
      </c>
      <c r="F675" s="117">
        <v>20</v>
      </c>
      <c r="G675" s="117"/>
      <c r="H675" s="117">
        <v>20</v>
      </c>
      <c r="I675" s="117"/>
      <c r="J675" s="117"/>
      <c r="K675" s="117" t="s">
        <v>17</v>
      </c>
      <c r="L675" s="117" t="s">
        <v>1269</v>
      </c>
      <c r="M675" s="117" t="s">
        <v>17</v>
      </c>
      <c r="N675" s="117" t="s">
        <v>1269</v>
      </c>
      <c r="O675" s="117"/>
      <c r="P675" s="117"/>
      <c r="Q675" s="117"/>
      <c r="R675" s="117" t="s">
        <v>1337</v>
      </c>
    </row>
    <row r="676" spans="1:18" ht="27" customHeight="1">
      <c r="A676" s="117">
        <v>671</v>
      </c>
      <c r="B676" s="117" t="s">
        <v>1426</v>
      </c>
      <c r="C676" s="117" t="s">
        <v>922</v>
      </c>
      <c r="D676" s="117" t="s">
        <v>1309</v>
      </c>
      <c r="E676" s="117" t="s">
        <v>3</v>
      </c>
      <c r="F676" s="117">
        <v>73</v>
      </c>
      <c r="G676" s="117"/>
      <c r="H676" s="117">
        <v>73</v>
      </c>
      <c r="I676" s="117"/>
      <c r="J676" s="117"/>
      <c r="K676" s="117" t="s">
        <v>17</v>
      </c>
      <c r="L676" s="117" t="s">
        <v>1269</v>
      </c>
      <c r="M676" s="117" t="s">
        <v>17</v>
      </c>
      <c r="N676" s="117" t="s">
        <v>1269</v>
      </c>
      <c r="O676" s="117"/>
      <c r="P676" s="117"/>
      <c r="Q676" s="117"/>
      <c r="R676" s="117" t="s">
        <v>1337</v>
      </c>
    </row>
    <row r="677" spans="1:18" ht="27" customHeight="1">
      <c r="A677" s="117">
        <v>672</v>
      </c>
      <c r="B677" s="117" t="s">
        <v>1426</v>
      </c>
      <c r="C677" s="117" t="s">
        <v>922</v>
      </c>
      <c r="D677" s="117" t="s">
        <v>1310</v>
      </c>
      <c r="E677" s="117" t="s">
        <v>3</v>
      </c>
      <c r="F677" s="117">
        <v>57</v>
      </c>
      <c r="G677" s="117"/>
      <c r="H677" s="117">
        <v>57</v>
      </c>
      <c r="I677" s="117"/>
      <c r="J677" s="117"/>
      <c r="K677" s="117" t="s">
        <v>17</v>
      </c>
      <c r="L677" s="117" t="s">
        <v>1269</v>
      </c>
      <c r="M677" s="117" t="s">
        <v>17</v>
      </c>
      <c r="N677" s="117" t="s">
        <v>1269</v>
      </c>
      <c r="O677" s="117"/>
      <c r="P677" s="117"/>
      <c r="Q677" s="117"/>
      <c r="R677" s="117" t="s">
        <v>1337</v>
      </c>
    </row>
    <row r="678" spans="1:18" ht="27" customHeight="1">
      <c r="A678" s="117">
        <v>673</v>
      </c>
      <c r="B678" s="117" t="s">
        <v>1426</v>
      </c>
      <c r="C678" s="117" t="s">
        <v>922</v>
      </c>
      <c r="D678" s="117" t="s">
        <v>1311</v>
      </c>
      <c r="E678" s="117" t="s">
        <v>16</v>
      </c>
      <c r="F678" s="117">
        <v>450</v>
      </c>
      <c r="G678" s="117"/>
      <c r="H678" s="117">
        <v>450</v>
      </c>
      <c r="I678" s="117"/>
      <c r="J678" s="117"/>
      <c r="K678" s="117" t="s">
        <v>17</v>
      </c>
      <c r="L678" s="117" t="s">
        <v>1269</v>
      </c>
      <c r="M678" s="117" t="s">
        <v>17</v>
      </c>
      <c r="N678" s="117" t="s">
        <v>1269</v>
      </c>
      <c r="O678" s="117"/>
      <c r="P678" s="117"/>
      <c r="Q678" s="117"/>
      <c r="R678" s="117" t="s">
        <v>1337</v>
      </c>
    </row>
    <row r="679" spans="1:18" ht="27" customHeight="1">
      <c r="A679" s="117">
        <v>674</v>
      </c>
      <c r="B679" s="117" t="s">
        <v>1426</v>
      </c>
      <c r="C679" s="117" t="s">
        <v>922</v>
      </c>
      <c r="D679" s="117" t="s">
        <v>1312</v>
      </c>
      <c r="E679" s="117" t="s">
        <v>3</v>
      </c>
      <c r="F679" s="117">
        <v>94</v>
      </c>
      <c r="G679" s="117"/>
      <c r="H679" s="117">
        <v>94</v>
      </c>
      <c r="I679" s="117"/>
      <c r="J679" s="117"/>
      <c r="K679" s="117" t="s">
        <v>17</v>
      </c>
      <c r="L679" s="117" t="s">
        <v>1269</v>
      </c>
      <c r="M679" s="117" t="s">
        <v>17</v>
      </c>
      <c r="N679" s="117" t="s">
        <v>1269</v>
      </c>
      <c r="O679" s="117"/>
      <c r="P679" s="117"/>
      <c r="Q679" s="117"/>
      <c r="R679" s="117" t="s">
        <v>1337</v>
      </c>
    </row>
    <row r="680" spans="1:18" ht="27" customHeight="1">
      <c r="A680" s="117">
        <v>675</v>
      </c>
      <c r="B680" s="117" t="s">
        <v>1426</v>
      </c>
      <c r="C680" s="117" t="s">
        <v>922</v>
      </c>
      <c r="D680" s="117" t="s">
        <v>1313</v>
      </c>
      <c r="E680" s="117" t="s">
        <v>3</v>
      </c>
      <c r="F680" s="117">
        <v>167</v>
      </c>
      <c r="G680" s="117"/>
      <c r="H680" s="117">
        <v>167</v>
      </c>
      <c r="I680" s="117"/>
      <c r="J680" s="117"/>
      <c r="K680" s="117" t="s">
        <v>17</v>
      </c>
      <c r="L680" s="117" t="s">
        <v>1269</v>
      </c>
      <c r="M680" s="117" t="s">
        <v>17</v>
      </c>
      <c r="N680" s="117" t="s">
        <v>1269</v>
      </c>
      <c r="O680" s="117"/>
      <c r="P680" s="117"/>
      <c r="Q680" s="117"/>
      <c r="R680" s="117" t="s">
        <v>1337</v>
      </c>
    </row>
    <row r="681" spans="1:18" ht="27" customHeight="1">
      <c r="A681" s="117">
        <v>676</v>
      </c>
      <c r="B681" s="117" t="s">
        <v>1426</v>
      </c>
      <c r="C681" s="117" t="s">
        <v>922</v>
      </c>
      <c r="D681" s="117" t="s">
        <v>1314</v>
      </c>
      <c r="E681" s="117" t="s">
        <v>3</v>
      </c>
      <c r="F681" s="117">
        <v>347</v>
      </c>
      <c r="G681" s="117"/>
      <c r="H681" s="117">
        <v>347</v>
      </c>
      <c r="I681" s="117"/>
      <c r="J681" s="117"/>
      <c r="K681" s="117" t="s">
        <v>17</v>
      </c>
      <c r="L681" s="117" t="s">
        <v>1269</v>
      </c>
      <c r="M681" s="117" t="s">
        <v>17</v>
      </c>
      <c r="N681" s="117" t="s">
        <v>1269</v>
      </c>
      <c r="O681" s="117"/>
      <c r="P681" s="117"/>
      <c r="Q681" s="117"/>
      <c r="R681" s="117" t="s">
        <v>1337</v>
      </c>
    </row>
    <row r="682" spans="1:18" ht="27" customHeight="1">
      <c r="A682" s="117">
        <v>677</v>
      </c>
      <c r="B682" s="117" t="s">
        <v>1426</v>
      </c>
      <c r="C682" s="117" t="s">
        <v>922</v>
      </c>
      <c r="D682" s="117" t="s">
        <v>1315</v>
      </c>
      <c r="E682" s="117" t="s">
        <v>3</v>
      </c>
      <c r="F682" s="117">
        <v>633</v>
      </c>
      <c r="G682" s="117"/>
      <c r="H682" s="117">
        <v>633</v>
      </c>
      <c r="I682" s="117"/>
      <c r="J682" s="117"/>
      <c r="K682" s="117" t="s">
        <v>17</v>
      </c>
      <c r="L682" s="117" t="s">
        <v>1269</v>
      </c>
      <c r="M682" s="117" t="s">
        <v>17</v>
      </c>
      <c r="N682" s="117" t="s">
        <v>1269</v>
      </c>
      <c r="O682" s="117"/>
      <c r="P682" s="117"/>
      <c r="Q682" s="117"/>
      <c r="R682" s="117" t="s">
        <v>1337</v>
      </c>
    </row>
    <row r="683" spans="1:18" ht="27" customHeight="1">
      <c r="A683" s="117">
        <v>678</v>
      </c>
      <c r="B683" s="117" t="s">
        <v>1426</v>
      </c>
      <c r="C683" s="117" t="s">
        <v>922</v>
      </c>
      <c r="D683" s="117" t="s">
        <v>1307</v>
      </c>
      <c r="E683" s="117" t="s">
        <v>3</v>
      </c>
      <c r="F683" s="117">
        <v>24</v>
      </c>
      <c r="G683" s="117"/>
      <c r="H683" s="117">
        <v>24</v>
      </c>
      <c r="I683" s="117"/>
      <c r="J683" s="117"/>
      <c r="K683" s="117" t="s">
        <v>17</v>
      </c>
      <c r="L683" s="117"/>
      <c r="M683" s="117" t="s">
        <v>17</v>
      </c>
      <c r="N683" s="117" t="s">
        <v>1269</v>
      </c>
      <c r="O683" s="117"/>
      <c r="P683" s="117"/>
      <c r="Q683" s="117"/>
      <c r="R683" s="117" t="s">
        <v>1337</v>
      </c>
    </row>
    <row r="684" spans="1:18" ht="27" customHeight="1">
      <c r="A684" s="117">
        <v>679</v>
      </c>
      <c r="B684" s="117" t="s">
        <v>1487</v>
      </c>
      <c r="C684" s="117" t="s">
        <v>1088</v>
      </c>
      <c r="D684" s="117" t="s">
        <v>1488</v>
      </c>
      <c r="E684" s="117" t="s">
        <v>11</v>
      </c>
      <c r="F684" s="117">
        <v>1878</v>
      </c>
      <c r="G684" s="117">
        <v>1643</v>
      </c>
      <c r="H684" s="117">
        <v>1643</v>
      </c>
      <c r="I684" s="117"/>
      <c r="J684" s="117"/>
      <c r="K684" s="117" t="s">
        <v>2066</v>
      </c>
      <c r="L684" s="117" t="s">
        <v>1489</v>
      </c>
      <c r="M684" s="117" t="s">
        <v>17</v>
      </c>
      <c r="N684" s="117" t="s">
        <v>18</v>
      </c>
      <c r="O684" s="117"/>
      <c r="P684" s="117"/>
      <c r="Q684" s="117"/>
      <c r="R684" s="117"/>
    </row>
    <row r="685" spans="1:18" ht="27" customHeight="1">
      <c r="A685" s="117">
        <v>680</v>
      </c>
      <c r="B685" s="117" t="s">
        <v>1487</v>
      </c>
      <c r="C685" s="117" t="s">
        <v>1089</v>
      </c>
      <c r="D685" s="117" t="s">
        <v>1490</v>
      </c>
      <c r="E685" s="117" t="s">
        <v>11</v>
      </c>
      <c r="F685" s="117">
        <v>2297</v>
      </c>
      <c r="G685" s="117">
        <v>3</v>
      </c>
      <c r="H685" s="117">
        <v>3</v>
      </c>
      <c r="I685" s="117"/>
      <c r="J685" s="117"/>
      <c r="K685" s="117" t="s">
        <v>1924</v>
      </c>
      <c r="L685" s="117" t="s">
        <v>1491</v>
      </c>
      <c r="M685" s="117" t="s">
        <v>17</v>
      </c>
      <c r="N685" s="117" t="s">
        <v>18</v>
      </c>
      <c r="O685" s="117"/>
      <c r="P685" s="117"/>
      <c r="Q685" s="117"/>
      <c r="R685" s="117"/>
    </row>
    <row r="686" spans="1:18" ht="27" customHeight="1">
      <c r="A686" s="117">
        <v>681</v>
      </c>
      <c r="B686" s="117" t="s">
        <v>1487</v>
      </c>
      <c r="C686" s="117" t="s">
        <v>1090</v>
      </c>
      <c r="D686" s="117" t="s">
        <v>1492</v>
      </c>
      <c r="E686" s="117" t="s">
        <v>6</v>
      </c>
      <c r="F686" s="117">
        <v>355</v>
      </c>
      <c r="G686" s="117">
        <v>20</v>
      </c>
      <c r="H686" s="117">
        <v>20</v>
      </c>
      <c r="I686" s="117"/>
      <c r="J686" s="117"/>
      <c r="K686" s="117" t="s">
        <v>2067</v>
      </c>
      <c r="L686" s="117" t="s">
        <v>1493</v>
      </c>
      <c r="M686" s="117" t="s">
        <v>17</v>
      </c>
      <c r="N686" s="117" t="s">
        <v>18</v>
      </c>
      <c r="O686" s="117"/>
      <c r="P686" s="117"/>
      <c r="Q686" s="117"/>
      <c r="R686" s="117"/>
    </row>
    <row r="687" spans="1:18" ht="27" customHeight="1">
      <c r="A687" s="117">
        <v>682</v>
      </c>
      <c r="B687" s="117" t="s">
        <v>1487</v>
      </c>
      <c r="C687" s="117" t="s">
        <v>1091</v>
      </c>
      <c r="D687" s="117" t="s">
        <v>1494</v>
      </c>
      <c r="E687" s="117" t="s">
        <v>3</v>
      </c>
      <c r="F687" s="117">
        <v>5357</v>
      </c>
      <c r="G687" s="117">
        <v>2898</v>
      </c>
      <c r="H687" s="117">
        <v>2898</v>
      </c>
      <c r="I687" s="117"/>
      <c r="J687" s="117"/>
      <c r="K687" s="117" t="s">
        <v>205</v>
      </c>
      <c r="L687" s="117"/>
      <c r="M687" s="117" t="s">
        <v>17</v>
      </c>
      <c r="N687" s="117" t="s">
        <v>205</v>
      </c>
      <c r="O687" s="117"/>
      <c r="P687" s="117"/>
      <c r="Q687" s="117"/>
      <c r="R687" s="117"/>
    </row>
    <row r="688" spans="1:18" ht="27" customHeight="1">
      <c r="A688" s="117">
        <v>683</v>
      </c>
      <c r="B688" s="117" t="s">
        <v>1487</v>
      </c>
      <c r="C688" s="117" t="s">
        <v>1495</v>
      </c>
      <c r="D688" s="117" t="s">
        <v>1495</v>
      </c>
      <c r="E688" s="117" t="s">
        <v>3</v>
      </c>
      <c r="F688" s="117">
        <v>8</v>
      </c>
      <c r="G688" s="117">
        <v>8</v>
      </c>
      <c r="H688" s="117">
        <v>8</v>
      </c>
      <c r="I688" s="117"/>
      <c r="J688" s="117"/>
      <c r="K688" s="117" t="s">
        <v>205</v>
      </c>
      <c r="L688" s="117"/>
      <c r="M688" s="117" t="s">
        <v>17</v>
      </c>
      <c r="N688" s="117" t="s">
        <v>205</v>
      </c>
      <c r="O688" s="117"/>
      <c r="P688" s="117"/>
      <c r="Q688" s="117"/>
      <c r="R688" s="117"/>
    </row>
    <row r="689" spans="1:18" ht="27" customHeight="1">
      <c r="A689" s="117">
        <v>684</v>
      </c>
      <c r="B689" s="117" t="s">
        <v>1487</v>
      </c>
      <c r="C689" s="117" t="s">
        <v>1092</v>
      </c>
      <c r="D689" s="117" t="s">
        <v>1496</v>
      </c>
      <c r="E689" s="117" t="s">
        <v>57</v>
      </c>
      <c r="F689" s="117">
        <v>5880</v>
      </c>
      <c r="G689" s="117">
        <v>498</v>
      </c>
      <c r="H689" s="117">
        <v>498</v>
      </c>
      <c r="I689" s="117"/>
      <c r="J689" s="117"/>
      <c r="K689" s="117" t="s">
        <v>205</v>
      </c>
      <c r="L689" s="117"/>
      <c r="M689" s="117" t="s">
        <v>17</v>
      </c>
      <c r="N689" s="117" t="s">
        <v>205</v>
      </c>
      <c r="O689" s="117"/>
      <c r="P689" s="117"/>
      <c r="Q689" s="117"/>
      <c r="R689" s="117"/>
    </row>
    <row r="690" spans="1:18" ht="27" customHeight="1">
      <c r="A690" s="117">
        <v>685</v>
      </c>
      <c r="B690" s="117" t="s">
        <v>1487</v>
      </c>
      <c r="C690" s="117" t="s">
        <v>1092</v>
      </c>
      <c r="D690" s="117" t="s">
        <v>1497</v>
      </c>
      <c r="E690" s="117" t="s">
        <v>57</v>
      </c>
      <c r="F690" s="117">
        <v>5880</v>
      </c>
      <c r="G690" s="117">
        <v>3179</v>
      </c>
      <c r="H690" s="117">
        <v>3179</v>
      </c>
      <c r="I690" s="117"/>
      <c r="J690" s="117"/>
      <c r="K690" s="117" t="s">
        <v>205</v>
      </c>
      <c r="L690" s="117"/>
      <c r="M690" s="117" t="s">
        <v>17</v>
      </c>
      <c r="N690" s="117" t="s">
        <v>205</v>
      </c>
      <c r="O690" s="117"/>
      <c r="P690" s="117"/>
      <c r="Q690" s="117"/>
      <c r="R690" s="117"/>
    </row>
    <row r="691" spans="1:18" ht="27" customHeight="1">
      <c r="A691" s="117">
        <v>686</v>
      </c>
      <c r="B691" s="117" t="s">
        <v>1487</v>
      </c>
      <c r="C691" s="117" t="s">
        <v>1093</v>
      </c>
      <c r="D691" s="117" t="s">
        <v>1498</v>
      </c>
      <c r="E691" s="117" t="s">
        <v>6</v>
      </c>
      <c r="F691" s="117">
        <v>1931</v>
      </c>
      <c r="G691" s="117">
        <v>35</v>
      </c>
      <c r="H691" s="117">
        <v>35</v>
      </c>
      <c r="I691" s="117"/>
      <c r="J691" s="117"/>
      <c r="K691" s="117" t="s">
        <v>2067</v>
      </c>
      <c r="L691" s="117" t="s">
        <v>1493</v>
      </c>
      <c r="M691" s="117" t="s">
        <v>17</v>
      </c>
      <c r="N691" s="117" t="s">
        <v>18</v>
      </c>
      <c r="O691" s="117"/>
      <c r="P691" s="117"/>
      <c r="Q691" s="117"/>
      <c r="R691" s="117"/>
    </row>
    <row r="692" spans="1:18" ht="27" customHeight="1">
      <c r="A692" s="117">
        <v>687</v>
      </c>
      <c r="B692" s="117" t="s">
        <v>1487</v>
      </c>
      <c r="C692" s="117" t="s">
        <v>1094</v>
      </c>
      <c r="D692" s="117" t="s">
        <v>1499</v>
      </c>
      <c r="E692" s="117" t="s">
        <v>57</v>
      </c>
      <c r="F692" s="117">
        <v>185</v>
      </c>
      <c r="G692" s="117">
        <v>53</v>
      </c>
      <c r="H692" s="117">
        <v>53</v>
      </c>
      <c r="I692" s="117"/>
      <c r="J692" s="117"/>
      <c r="K692" s="117" t="s">
        <v>205</v>
      </c>
      <c r="L692" s="117"/>
      <c r="M692" s="117" t="s">
        <v>17</v>
      </c>
      <c r="N692" s="117" t="s">
        <v>205</v>
      </c>
      <c r="O692" s="117"/>
      <c r="P692" s="117"/>
      <c r="Q692" s="117"/>
      <c r="R692" s="117"/>
    </row>
    <row r="693" spans="1:18" ht="27" customHeight="1">
      <c r="A693" s="117">
        <v>688</v>
      </c>
      <c r="B693" s="117" t="s">
        <v>1487</v>
      </c>
      <c r="C693" s="117" t="s">
        <v>1095</v>
      </c>
      <c r="D693" s="117" t="s">
        <v>1500</v>
      </c>
      <c r="E693" s="117" t="s">
        <v>6</v>
      </c>
      <c r="F693" s="117">
        <v>185</v>
      </c>
      <c r="G693" s="117">
        <v>92</v>
      </c>
      <c r="H693" s="117">
        <v>92</v>
      </c>
      <c r="I693" s="117"/>
      <c r="J693" s="117"/>
      <c r="K693" s="117" t="s">
        <v>2068</v>
      </c>
      <c r="L693" s="117" t="s">
        <v>1501</v>
      </c>
      <c r="M693" s="117" t="s">
        <v>17</v>
      </c>
      <c r="N693" s="117" t="s">
        <v>18</v>
      </c>
      <c r="O693" s="117"/>
      <c r="P693" s="117"/>
      <c r="Q693" s="117"/>
      <c r="R693" s="117"/>
    </row>
    <row r="694" spans="1:18" ht="27" customHeight="1">
      <c r="A694" s="117">
        <v>689</v>
      </c>
      <c r="B694" s="117" t="s">
        <v>1487</v>
      </c>
      <c r="C694" s="117" t="s">
        <v>813</v>
      </c>
      <c r="D694" s="117" t="s">
        <v>1502</v>
      </c>
      <c r="E694" s="117" t="s">
        <v>6</v>
      </c>
      <c r="F694" s="117">
        <v>3068</v>
      </c>
      <c r="G694" s="117">
        <v>425</v>
      </c>
      <c r="H694" s="117">
        <v>425</v>
      </c>
      <c r="I694" s="117"/>
      <c r="J694" s="117"/>
      <c r="K694" s="117" t="s">
        <v>2069</v>
      </c>
      <c r="L694" s="117" t="s">
        <v>1503</v>
      </c>
      <c r="M694" s="117" t="s">
        <v>17</v>
      </c>
      <c r="N694" s="117" t="s">
        <v>18</v>
      </c>
      <c r="O694" s="117"/>
      <c r="P694" s="117"/>
      <c r="Q694" s="117"/>
      <c r="R694" s="117"/>
    </row>
    <row r="695" spans="1:18" ht="27" customHeight="1">
      <c r="A695" s="117">
        <v>690</v>
      </c>
      <c r="B695" s="117" t="s">
        <v>1487</v>
      </c>
      <c r="C695" s="117" t="s">
        <v>1096</v>
      </c>
      <c r="D695" s="117" t="s">
        <v>1096</v>
      </c>
      <c r="E695" s="117" t="s">
        <v>6</v>
      </c>
      <c r="F695" s="117">
        <v>49</v>
      </c>
      <c r="G695" s="117">
        <v>49</v>
      </c>
      <c r="H695" s="117">
        <v>49</v>
      </c>
      <c r="I695" s="117"/>
      <c r="J695" s="117"/>
      <c r="K695" s="117" t="s">
        <v>2067</v>
      </c>
      <c r="L695" s="117" t="s">
        <v>1493</v>
      </c>
      <c r="M695" s="117" t="s">
        <v>17</v>
      </c>
      <c r="N695" s="117" t="s">
        <v>18</v>
      </c>
      <c r="O695" s="117"/>
      <c r="P695" s="117"/>
      <c r="Q695" s="117"/>
      <c r="R695" s="117"/>
    </row>
    <row r="696" spans="1:18" ht="27" customHeight="1">
      <c r="A696" s="117">
        <v>691</v>
      </c>
      <c r="B696" s="117" t="s">
        <v>1487</v>
      </c>
      <c r="C696" s="117" t="s">
        <v>1097</v>
      </c>
      <c r="D696" s="117" t="s">
        <v>1097</v>
      </c>
      <c r="E696" s="117" t="s">
        <v>3</v>
      </c>
      <c r="F696" s="117">
        <v>9188</v>
      </c>
      <c r="G696" s="117">
        <v>836</v>
      </c>
      <c r="H696" s="117">
        <v>836</v>
      </c>
      <c r="I696" s="117"/>
      <c r="J696" s="117"/>
      <c r="K696" s="117" t="s">
        <v>17</v>
      </c>
      <c r="L696" s="117" t="s">
        <v>72</v>
      </c>
      <c r="M696" s="117" t="s">
        <v>17</v>
      </c>
      <c r="N696" s="117" t="s">
        <v>72</v>
      </c>
      <c r="O696" s="117"/>
      <c r="P696" s="117"/>
      <c r="Q696" s="117"/>
      <c r="R696" s="117"/>
    </row>
    <row r="697" spans="1:18" ht="27" customHeight="1">
      <c r="A697" s="117">
        <v>692</v>
      </c>
      <c r="B697" s="117" t="s">
        <v>1487</v>
      </c>
      <c r="C697" s="117" t="s">
        <v>319</v>
      </c>
      <c r="D697" s="117" t="s">
        <v>1504</v>
      </c>
      <c r="E697" s="117" t="s">
        <v>6</v>
      </c>
      <c r="F697" s="117">
        <v>686</v>
      </c>
      <c r="G697" s="117">
        <v>572</v>
      </c>
      <c r="H697" s="117">
        <v>572</v>
      </c>
      <c r="I697" s="117"/>
      <c r="J697" s="117"/>
      <c r="K697" s="117" t="s">
        <v>2070</v>
      </c>
      <c r="L697" s="117" t="s">
        <v>1505</v>
      </c>
      <c r="M697" s="117" t="s">
        <v>17</v>
      </c>
      <c r="N697" s="117" t="s">
        <v>18</v>
      </c>
      <c r="O697" s="117"/>
      <c r="P697" s="117"/>
      <c r="Q697" s="117"/>
      <c r="R697" s="117"/>
    </row>
    <row r="698" spans="1:18" ht="27" customHeight="1">
      <c r="A698" s="117">
        <v>693</v>
      </c>
      <c r="B698" s="117" t="s">
        <v>1487</v>
      </c>
      <c r="C698" s="117" t="s">
        <v>1098</v>
      </c>
      <c r="D698" s="117" t="s">
        <v>1506</v>
      </c>
      <c r="E698" s="117" t="s">
        <v>0</v>
      </c>
      <c r="F698" s="117">
        <v>208</v>
      </c>
      <c r="G698" s="117">
        <v>93</v>
      </c>
      <c r="H698" s="117">
        <v>93</v>
      </c>
      <c r="I698" s="117"/>
      <c r="J698" s="117"/>
      <c r="K698" s="117" t="s">
        <v>2071</v>
      </c>
      <c r="L698" s="117" t="s">
        <v>1507</v>
      </c>
      <c r="M698" s="117" t="s">
        <v>17</v>
      </c>
      <c r="N698" s="117" t="s">
        <v>18</v>
      </c>
      <c r="O698" s="117"/>
      <c r="P698" s="117"/>
      <c r="Q698" s="117"/>
      <c r="R698" s="117"/>
    </row>
    <row r="699" spans="1:18" ht="27" customHeight="1">
      <c r="A699" s="117">
        <v>694</v>
      </c>
      <c r="B699" s="117" t="s">
        <v>1487</v>
      </c>
      <c r="C699" s="117" t="s">
        <v>861</v>
      </c>
      <c r="D699" s="117" t="s">
        <v>832</v>
      </c>
      <c r="E699" s="117" t="s">
        <v>3</v>
      </c>
      <c r="F699" s="117">
        <v>18</v>
      </c>
      <c r="G699" s="117">
        <v>16</v>
      </c>
      <c r="H699" s="117">
        <v>16</v>
      </c>
      <c r="I699" s="117"/>
      <c r="J699" s="117"/>
      <c r="K699" s="117" t="s">
        <v>18</v>
      </c>
      <c r="L699" s="117"/>
      <c r="M699" s="117" t="s">
        <v>17</v>
      </c>
      <c r="N699" s="117" t="s">
        <v>18</v>
      </c>
      <c r="O699" s="117"/>
      <c r="P699" s="117"/>
      <c r="Q699" s="117"/>
      <c r="R699" s="117"/>
    </row>
    <row r="700" spans="1:18" ht="27" customHeight="1">
      <c r="A700" s="117">
        <v>695</v>
      </c>
      <c r="B700" s="117" t="s">
        <v>1487</v>
      </c>
      <c r="C700" s="117" t="s">
        <v>1099</v>
      </c>
      <c r="D700" s="117" t="s">
        <v>1508</v>
      </c>
      <c r="E700" s="117" t="s">
        <v>2</v>
      </c>
      <c r="F700" s="117">
        <v>1210</v>
      </c>
      <c r="G700" s="117">
        <v>252</v>
      </c>
      <c r="H700" s="117">
        <v>252</v>
      </c>
      <c r="I700" s="117"/>
      <c r="J700" s="117"/>
      <c r="K700" s="117" t="s">
        <v>17</v>
      </c>
      <c r="L700" s="117" t="s">
        <v>78</v>
      </c>
      <c r="M700" s="117" t="s">
        <v>17</v>
      </c>
      <c r="N700" s="117" t="s">
        <v>78</v>
      </c>
      <c r="O700" s="117"/>
      <c r="P700" s="117"/>
      <c r="Q700" s="117"/>
      <c r="R700" s="117"/>
    </row>
    <row r="701" spans="1:18" ht="27" customHeight="1">
      <c r="A701" s="117">
        <v>696</v>
      </c>
      <c r="B701" s="117" t="s">
        <v>1487</v>
      </c>
      <c r="C701" s="117" t="s">
        <v>1509</v>
      </c>
      <c r="D701" s="117" t="s">
        <v>1509</v>
      </c>
      <c r="E701" s="117" t="s">
        <v>2</v>
      </c>
      <c r="F701" s="117">
        <v>54</v>
      </c>
      <c r="G701" s="117">
        <v>54</v>
      </c>
      <c r="H701" s="117">
        <v>54</v>
      </c>
      <c r="I701" s="117"/>
      <c r="J701" s="117"/>
      <c r="K701" s="117" t="s">
        <v>17</v>
      </c>
      <c r="L701" s="117" t="s">
        <v>78</v>
      </c>
      <c r="M701" s="117" t="s">
        <v>17</v>
      </c>
      <c r="N701" s="117" t="s">
        <v>78</v>
      </c>
      <c r="O701" s="117"/>
      <c r="P701" s="117"/>
      <c r="Q701" s="117"/>
      <c r="R701" s="117"/>
    </row>
    <row r="702" spans="1:18" ht="27" customHeight="1">
      <c r="A702" s="117">
        <v>697</v>
      </c>
      <c r="B702" s="117" t="s">
        <v>1487</v>
      </c>
      <c r="C702" s="117" t="s">
        <v>1510</v>
      </c>
      <c r="D702" s="117" t="s">
        <v>831</v>
      </c>
      <c r="E702" s="117" t="s">
        <v>3</v>
      </c>
      <c r="F702" s="117">
        <v>86</v>
      </c>
      <c r="G702" s="117">
        <v>20</v>
      </c>
      <c r="H702" s="117">
        <v>20</v>
      </c>
      <c r="I702" s="117"/>
      <c r="J702" s="117"/>
      <c r="K702" s="117" t="s">
        <v>563</v>
      </c>
      <c r="L702" s="117" t="s">
        <v>1511</v>
      </c>
      <c r="M702" s="117" t="s">
        <v>17</v>
      </c>
      <c r="N702" s="117" t="s">
        <v>72</v>
      </c>
      <c r="O702" s="117"/>
      <c r="P702" s="117"/>
      <c r="Q702" s="117"/>
      <c r="R702" s="117"/>
    </row>
    <row r="703" spans="1:18" ht="27" customHeight="1">
      <c r="A703" s="117">
        <v>698</v>
      </c>
      <c r="B703" s="117" t="s">
        <v>1487</v>
      </c>
      <c r="C703" s="117" t="s">
        <v>860</v>
      </c>
      <c r="D703" s="117" t="s">
        <v>1512</v>
      </c>
      <c r="E703" s="117" t="s">
        <v>3</v>
      </c>
      <c r="F703" s="117">
        <v>49</v>
      </c>
      <c r="G703" s="117">
        <v>22</v>
      </c>
      <c r="H703" s="117">
        <v>22</v>
      </c>
      <c r="I703" s="117"/>
      <c r="J703" s="117"/>
      <c r="K703" s="117" t="s">
        <v>563</v>
      </c>
      <c r="L703" s="117" t="s">
        <v>1511</v>
      </c>
      <c r="M703" s="117" t="s">
        <v>17</v>
      </c>
      <c r="N703" s="117" t="s">
        <v>72</v>
      </c>
      <c r="O703" s="117"/>
      <c r="P703" s="117"/>
      <c r="Q703" s="117"/>
      <c r="R703" s="117"/>
    </row>
    <row r="704" spans="1:18" ht="27" customHeight="1">
      <c r="A704" s="117">
        <v>699</v>
      </c>
      <c r="B704" s="117" t="s">
        <v>1487</v>
      </c>
      <c r="C704" s="117" t="s">
        <v>864</v>
      </c>
      <c r="D704" s="117" t="s">
        <v>864</v>
      </c>
      <c r="E704" s="117" t="s">
        <v>3</v>
      </c>
      <c r="F704" s="117">
        <v>2</v>
      </c>
      <c r="G704" s="117">
        <v>2</v>
      </c>
      <c r="H704" s="117">
        <v>2</v>
      </c>
      <c r="I704" s="117"/>
      <c r="J704" s="117"/>
      <c r="K704" s="117" t="s">
        <v>18</v>
      </c>
      <c r="L704" s="117"/>
      <c r="M704" s="117" t="s">
        <v>17</v>
      </c>
      <c r="N704" s="117" t="s">
        <v>18</v>
      </c>
      <c r="O704" s="117"/>
      <c r="P704" s="117"/>
      <c r="Q704" s="117"/>
      <c r="R704" s="117"/>
    </row>
    <row r="705" spans="1:18" ht="27" customHeight="1">
      <c r="A705" s="117">
        <v>700</v>
      </c>
      <c r="B705" s="117" t="s">
        <v>1487</v>
      </c>
      <c r="C705" s="117" t="s">
        <v>1513</v>
      </c>
      <c r="D705" s="117" t="s">
        <v>1513</v>
      </c>
      <c r="E705" s="117" t="s">
        <v>0</v>
      </c>
      <c r="F705" s="117">
        <v>124</v>
      </c>
      <c r="G705" s="117">
        <v>124</v>
      </c>
      <c r="H705" s="117">
        <v>124</v>
      </c>
      <c r="I705" s="117"/>
      <c r="J705" s="117"/>
      <c r="K705" s="117" t="s">
        <v>2072</v>
      </c>
      <c r="L705" s="117" t="s">
        <v>1514</v>
      </c>
      <c r="M705" s="117" t="s">
        <v>17</v>
      </c>
      <c r="N705" s="117" t="s">
        <v>18</v>
      </c>
      <c r="O705" s="117"/>
      <c r="P705" s="117"/>
      <c r="Q705" s="117"/>
      <c r="R705" s="117"/>
    </row>
    <row r="706" spans="1:18" ht="27" customHeight="1">
      <c r="A706" s="117">
        <v>701</v>
      </c>
      <c r="B706" s="117" t="s">
        <v>1487</v>
      </c>
      <c r="C706" s="117" t="s">
        <v>70</v>
      </c>
      <c r="D706" s="117" t="s">
        <v>1515</v>
      </c>
      <c r="E706" s="117" t="s">
        <v>0</v>
      </c>
      <c r="F706" s="117">
        <v>130</v>
      </c>
      <c r="G706" s="117">
        <v>14</v>
      </c>
      <c r="H706" s="117">
        <v>14</v>
      </c>
      <c r="I706" s="117"/>
      <c r="J706" s="117"/>
      <c r="K706" s="117" t="s">
        <v>2070</v>
      </c>
      <c r="L706" s="117" t="s">
        <v>1505</v>
      </c>
      <c r="M706" s="117" t="s">
        <v>17</v>
      </c>
      <c r="N706" s="117" t="s">
        <v>18</v>
      </c>
      <c r="O706" s="117"/>
      <c r="P706" s="117"/>
      <c r="Q706" s="117"/>
      <c r="R706" s="117"/>
    </row>
    <row r="707" spans="1:18" ht="27" customHeight="1">
      <c r="A707" s="117">
        <v>702</v>
      </c>
      <c r="B707" s="117" t="s">
        <v>1487</v>
      </c>
      <c r="C707" s="117" t="s">
        <v>1516</v>
      </c>
      <c r="D707" s="117" t="s">
        <v>1517</v>
      </c>
      <c r="E707" s="117" t="s">
        <v>3</v>
      </c>
      <c r="F707" s="117">
        <v>2448</v>
      </c>
      <c r="G707" s="117">
        <v>2018</v>
      </c>
      <c r="H707" s="117">
        <v>2018</v>
      </c>
      <c r="I707" s="117"/>
      <c r="J707" s="117"/>
      <c r="K707" s="117" t="s">
        <v>18</v>
      </c>
      <c r="L707" s="117"/>
      <c r="M707" s="117" t="s">
        <v>17</v>
      </c>
      <c r="N707" s="117" t="s">
        <v>18</v>
      </c>
      <c r="O707" s="117"/>
      <c r="P707" s="117"/>
      <c r="Q707" s="117"/>
      <c r="R707" s="117"/>
    </row>
    <row r="708" spans="1:18" ht="27" customHeight="1">
      <c r="A708" s="117">
        <v>703</v>
      </c>
      <c r="B708" s="117" t="s">
        <v>1487</v>
      </c>
      <c r="C708" s="117" t="s">
        <v>826</v>
      </c>
      <c r="D708" s="117" t="s">
        <v>826</v>
      </c>
      <c r="E708" s="117" t="s">
        <v>3</v>
      </c>
      <c r="F708" s="117">
        <v>230</v>
      </c>
      <c r="G708" s="117">
        <v>226</v>
      </c>
      <c r="H708" s="117">
        <v>230</v>
      </c>
      <c r="I708" s="117"/>
      <c r="J708" s="117"/>
      <c r="K708" s="117" t="s">
        <v>18</v>
      </c>
      <c r="L708" s="117"/>
      <c r="M708" s="117" t="s">
        <v>17</v>
      </c>
      <c r="N708" s="117" t="s">
        <v>18</v>
      </c>
      <c r="O708" s="117"/>
      <c r="P708" s="117"/>
      <c r="Q708" s="117"/>
      <c r="R708" s="117"/>
    </row>
    <row r="709" spans="1:18" ht="27" customHeight="1">
      <c r="A709" s="117">
        <v>704</v>
      </c>
      <c r="B709" s="117" t="s">
        <v>1487</v>
      </c>
      <c r="C709" s="117" t="s">
        <v>81</v>
      </c>
      <c r="D709" s="117" t="s">
        <v>1518</v>
      </c>
      <c r="E709" s="117" t="s">
        <v>0</v>
      </c>
      <c r="F709" s="117">
        <v>1061</v>
      </c>
      <c r="G709" s="117">
        <v>734</v>
      </c>
      <c r="H709" s="117">
        <v>734</v>
      </c>
      <c r="I709" s="117"/>
      <c r="J709" s="117"/>
      <c r="K709" s="117" t="s">
        <v>2070</v>
      </c>
      <c r="L709" s="117" t="s">
        <v>1505</v>
      </c>
      <c r="M709" s="117" t="s">
        <v>17</v>
      </c>
      <c r="N709" s="117" t="s">
        <v>18</v>
      </c>
      <c r="O709" s="117"/>
      <c r="P709" s="117"/>
      <c r="Q709" s="117"/>
      <c r="R709" s="117"/>
    </row>
    <row r="710" spans="1:18" ht="27" customHeight="1">
      <c r="A710" s="117">
        <v>705</v>
      </c>
      <c r="B710" s="117" t="s">
        <v>1487</v>
      </c>
      <c r="C710" s="117" t="s">
        <v>117</v>
      </c>
      <c r="D710" s="117" t="s">
        <v>121</v>
      </c>
      <c r="E710" s="117" t="s">
        <v>2</v>
      </c>
      <c r="F710" s="117">
        <v>580</v>
      </c>
      <c r="G710" s="117">
        <v>153</v>
      </c>
      <c r="H710" s="117">
        <v>153</v>
      </c>
      <c r="I710" s="117"/>
      <c r="J710" s="117"/>
      <c r="K710" s="117" t="s">
        <v>563</v>
      </c>
      <c r="L710" s="117" t="s">
        <v>1511</v>
      </c>
      <c r="M710" s="117" t="s">
        <v>17</v>
      </c>
      <c r="N710" s="117" t="s">
        <v>72</v>
      </c>
      <c r="O710" s="117"/>
      <c r="P710" s="117"/>
      <c r="Q710" s="117"/>
      <c r="R710" s="117"/>
    </row>
    <row r="711" spans="1:18" ht="27" customHeight="1">
      <c r="A711" s="117">
        <v>706</v>
      </c>
      <c r="B711" s="117" t="s">
        <v>1487</v>
      </c>
      <c r="C711" s="117" t="s">
        <v>1519</v>
      </c>
      <c r="D711" s="117" t="s">
        <v>1520</v>
      </c>
      <c r="E711" s="117" t="s">
        <v>0</v>
      </c>
      <c r="F711" s="117">
        <v>2501</v>
      </c>
      <c r="G711" s="117">
        <v>2157</v>
      </c>
      <c r="H711" s="117">
        <v>2157</v>
      </c>
      <c r="I711" s="117"/>
      <c r="J711" s="117"/>
      <c r="K711" s="117" t="s">
        <v>2073</v>
      </c>
      <c r="L711" s="117" t="s">
        <v>1521</v>
      </c>
      <c r="M711" s="117" t="s">
        <v>17</v>
      </c>
      <c r="N711" s="117" t="s">
        <v>18</v>
      </c>
      <c r="O711" s="117"/>
      <c r="P711" s="117"/>
      <c r="Q711" s="117"/>
      <c r="R711" s="117"/>
    </row>
    <row r="712" spans="1:18" ht="27" customHeight="1">
      <c r="A712" s="117">
        <v>707</v>
      </c>
      <c r="B712" s="117" t="s">
        <v>1487</v>
      </c>
      <c r="C712" s="117" t="s">
        <v>836</v>
      </c>
      <c r="D712" s="117" t="s">
        <v>83</v>
      </c>
      <c r="E712" s="117" t="s">
        <v>0</v>
      </c>
      <c r="F712" s="117">
        <v>1770</v>
      </c>
      <c r="G712" s="117">
        <v>857</v>
      </c>
      <c r="H712" s="117">
        <v>857</v>
      </c>
      <c r="I712" s="117"/>
      <c r="J712" s="117"/>
      <c r="K712" s="117" t="s">
        <v>2066</v>
      </c>
      <c r="L712" s="117" t="s">
        <v>1522</v>
      </c>
      <c r="M712" s="117" t="s">
        <v>17</v>
      </c>
      <c r="N712" s="117" t="s">
        <v>18</v>
      </c>
      <c r="O712" s="117"/>
      <c r="P712" s="117"/>
      <c r="Q712" s="117"/>
      <c r="R712" s="117"/>
    </row>
    <row r="713" spans="1:18" ht="27" customHeight="1">
      <c r="A713" s="117">
        <v>708</v>
      </c>
      <c r="B713" s="117" t="s">
        <v>1487</v>
      </c>
      <c r="C713" s="117" t="s">
        <v>1523</v>
      </c>
      <c r="D713" s="117" t="s">
        <v>1524</v>
      </c>
      <c r="E713" s="117" t="s">
        <v>0</v>
      </c>
      <c r="F713" s="117">
        <v>1157</v>
      </c>
      <c r="G713" s="117">
        <v>23</v>
      </c>
      <c r="H713" s="117">
        <v>23</v>
      </c>
      <c r="I713" s="117"/>
      <c r="J713" s="117"/>
      <c r="K713" s="117" t="s">
        <v>2074</v>
      </c>
      <c r="L713" s="117" t="s">
        <v>1525</v>
      </c>
      <c r="M713" s="117" t="s">
        <v>17</v>
      </c>
      <c r="N713" s="117" t="s">
        <v>18</v>
      </c>
      <c r="O713" s="117"/>
      <c r="P713" s="117"/>
      <c r="Q713" s="117"/>
      <c r="R713" s="117"/>
    </row>
    <row r="714" spans="1:18" ht="27" customHeight="1">
      <c r="A714" s="117">
        <v>709</v>
      </c>
      <c r="B714" s="117" t="s">
        <v>1487</v>
      </c>
      <c r="C714" s="117" t="s">
        <v>1526</v>
      </c>
      <c r="D714" s="117" t="s">
        <v>1527</v>
      </c>
      <c r="E714" s="117" t="s">
        <v>0</v>
      </c>
      <c r="F714" s="117">
        <v>2218</v>
      </c>
      <c r="G714" s="117">
        <v>671</v>
      </c>
      <c r="H714" s="117">
        <v>671</v>
      </c>
      <c r="I714" s="117"/>
      <c r="J714" s="117"/>
      <c r="K714" s="117" t="s">
        <v>2074</v>
      </c>
      <c r="L714" s="117" t="s">
        <v>1528</v>
      </c>
      <c r="M714" s="117" t="s">
        <v>17</v>
      </c>
      <c r="N714" s="117" t="s">
        <v>18</v>
      </c>
      <c r="O714" s="117"/>
      <c r="P714" s="117"/>
      <c r="Q714" s="117"/>
      <c r="R714" s="117"/>
    </row>
    <row r="715" spans="1:18" ht="27" customHeight="1">
      <c r="A715" s="117">
        <v>710</v>
      </c>
      <c r="B715" s="117" t="s">
        <v>1487</v>
      </c>
      <c r="C715" s="117" t="s">
        <v>1529</v>
      </c>
      <c r="D715" s="117" t="s">
        <v>1530</v>
      </c>
      <c r="E715" s="117" t="s">
        <v>2</v>
      </c>
      <c r="F715" s="117">
        <v>2781</v>
      </c>
      <c r="G715" s="117">
        <v>178</v>
      </c>
      <c r="H715" s="117">
        <v>239</v>
      </c>
      <c r="I715" s="117"/>
      <c r="J715" s="117"/>
      <c r="K715" s="117" t="s">
        <v>17</v>
      </c>
      <c r="L715" s="117" t="s">
        <v>72</v>
      </c>
      <c r="M715" s="117" t="s">
        <v>17</v>
      </c>
      <c r="N715" s="117" t="s">
        <v>72</v>
      </c>
      <c r="O715" s="117"/>
      <c r="P715" s="117"/>
      <c r="Q715" s="117"/>
      <c r="R715" s="117"/>
    </row>
    <row r="716" spans="1:18" ht="27" customHeight="1">
      <c r="A716" s="117">
        <v>711</v>
      </c>
      <c r="B716" s="117" t="s">
        <v>1487</v>
      </c>
      <c r="C716" s="117" t="s">
        <v>1448</v>
      </c>
      <c r="D716" s="117" t="s">
        <v>1531</v>
      </c>
      <c r="E716" s="117" t="s">
        <v>0</v>
      </c>
      <c r="F716" s="117">
        <v>2035</v>
      </c>
      <c r="G716" s="117">
        <v>1147</v>
      </c>
      <c r="H716" s="117">
        <v>1147</v>
      </c>
      <c r="I716" s="117"/>
      <c r="J716" s="117"/>
      <c r="K716" s="117" t="s">
        <v>2074</v>
      </c>
      <c r="L716" s="117" t="s">
        <v>1525</v>
      </c>
      <c r="M716" s="117" t="s">
        <v>17</v>
      </c>
      <c r="N716" s="117" t="s">
        <v>18</v>
      </c>
      <c r="O716" s="117"/>
      <c r="P716" s="117"/>
      <c r="Q716" s="117"/>
      <c r="R716" s="117"/>
    </row>
    <row r="717" spans="1:18" ht="27" customHeight="1">
      <c r="A717" s="117">
        <v>712</v>
      </c>
      <c r="B717" s="117" t="s">
        <v>1487</v>
      </c>
      <c r="C717" s="117" t="s">
        <v>1532</v>
      </c>
      <c r="D717" s="117" t="s">
        <v>1532</v>
      </c>
      <c r="E717" s="117" t="s">
        <v>6</v>
      </c>
      <c r="F717" s="117">
        <v>229</v>
      </c>
      <c r="G717" s="117">
        <v>60</v>
      </c>
      <c r="H717" s="117">
        <v>84</v>
      </c>
      <c r="I717" s="117"/>
      <c r="J717" s="117"/>
      <c r="K717" s="117" t="s">
        <v>205</v>
      </c>
      <c r="L717" s="117"/>
      <c r="M717" s="117" t="s">
        <v>17</v>
      </c>
      <c r="N717" s="117" t="s">
        <v>205</v>
      </c>
      <c r="O717" s="117"/>
      <c r="P717" s="117"/>
      <c r="Q717" s="117"/>
      <c r="R717" s="117"/>
    </row>
    <row r="718" spans="1:18" ht="27" customHeight="1">
      <c r="A718" s="117">
        <v>713</v>
      </c>
      <c r="B718" s="117" t="s">
        <v>1487</v>
      </c>
      <c r="C718" s="117" t="s">
        <v>1533</v>
      </c>
      <c r="D718" s="117" t="s">
        <v>1534</v>
      </c>
      <c r="E718" s="117" t="s">
        <v>11</v>
      </c>
      <c r="F718" s="117">
        <v>15834</v>
      </c>
      <c r="G718" s="117">
        <v>4329</v>
      </c>
      <c r="H718" s="117">
        <v>4329</v>
      </c>
      <c r="I718" s="117"/>
      <c r="J718" s="117"/>
      <c r="K718" s="117" t="s">
        <v>2068</v>
      </c>
      <c r="L718" s="117" t="s">
        <v>1501</v>
      </c>
      <c r="M718" s="117" t="s">
        <v>17</v>
      </c>
      <c r="N718" s="117" t="s">
        <v>18</v>
      </c>
      <c r="O718" s="117"/>
      <c r="P718" s="117"/>
      <c r="Q718" s="117"/>
      <c r="R718" s="117"/>
    </row>
    <row r="719" spans="1:18" ht="27" customHeight="1">
      <c r="A719" s="117">
        <v>714</v>
      </c>
      <c r="B719" s="117" t="s">
        <v>1487</v>
      </c>
      <c r="C719" s="117" t="s">
        <v>1535</v>
      </c>
      <c r="D719" s="117" t="s">
        <v>1536</v>
      </c>
      <c r="E719" s="117" t="s">
        <v>0</v>
      </c>
      <c r="F719" s="117">
        <v>2304</v>
      </c>
      <c r="G719" s="117">
        <v>1025</v>
      </c>
      <c r="H719" s="117">
        <v>1025</v>
      </c>
      <c r="I719" s="117"/>
      <c r="J719" s="117"/>
      <c r="K719" s="117" t="s">
        <v>2075</v>
      </c>
      <c r="L719" s="117" t="s">
        <v>1537</v>
      </c>
      <c r="M719" s="117" t="s">
        <v>17</v>
      </c>
      <c r="N719" s="117" t="s">
        <v>18</v>
      </c>
      <c r="O719" s="117"/>
      <c r="P719" s="117"/>
      <c r="Q719" s="117"/>
      <c r="R719" s="117"/>
    </row>
    <row r="720" spans="1:18" ht="27" customHeight="1">
      <c r="A720" s="117">
        <v>715</v>
      </c>
      <c r="B720" s="117" t="s">
        <v>1487</v>
      </c>
      <c r="C720" s="117" t="s">
        <v>1538</v>
      </c>
      <c r="D720" s="117" t="s">
        <v>1538</v>
      </c>
      <c r="E720" s="117" t="s">
        <v>6</v>
      </c>
      <c r="F720" s="117">
        <v>229</v>
      </c>
      <c r="G720" s="117">
        <v>85</v>
      </c>
      <c r="H720" s="117">
        <v>85</v>
      </c>
      <c r="I720" s="117"/>
      <c r="J720" s="117"/>
      <c r="K720" s="117" t="s">
        <v>205</v>
      </c>
      <c r="L720" s="117"/>
      <c r="M720" s="117" t="s">
        <v>17</v>
      </c>
      <c r="N720" s="117" t="s">
        <v>205</v>
      </c>
      <c r="O720" s="117"/>
      <c r="P720" s="117"/>
      <c r="Q720" s="117"/>
      <c r="R720" s="117"/>
    </row>
    <row r="721" spans="1:18" ht="27" customHeight="1">
      <c r="A721" s="117">
        <v>716</v>
      </c>
      <c r="B721" s="117" t="s">
        <v>1487</v>
      </c>
      <c r="C721" s="117" t="s">
        <v>1539</v>
      </c>
      <c r="D721" s="117" t="s">
        <v>1539</v>
      </c>
      <c r="E721" s="117" t="s">
        <v>6</v>
      </c>
      <c r="F721" s="117">
        <v>12</v>
      </c>
      <c r="G721" s="117">
        <v>12</v>
      </c>
      <c r="H721" s="117">
        <v>12</v>
      </c>
      <c r="I721" s="117"/>
      <c r="J721" s="117"/>
      <c r="K721" s="117" t="s">
        <v>2070</v>
      </c>
      <c r="L721" s="117" t="s">
        <v>1540</v>
      </c>
      <c r="M721" s="117" t="s">
        <v>17</v>
      </c>
      <c r="N721" s="117" t="s">
        <v>18</v>
      </c>
      <c r="O721" s="117"/>
      <c r="P721" s="117"/>
      <c r="Q721" s="117"/>
      <c r="R721" s="117"/>
    </row>
    <row r="722" spans="1:18" ht="27" customHeight="1">
      <c r="A722" s="117">
        <v>717</v>
      </c>
      <c r="B722" s="117" t="s">
        <v>1487</v>
      </c>
      <c r="C722" s="117" t="s">
        <v>1452</v>
      </c>
      <c r="D722" s="117" t="s">
        <v>823</v>
      </c>
      <c r="E722" s="117" t="s">
        <v>6</v>
      </c>
      <c r="F722" s="117">
        <v>556</v>
      </c>
      <c r="G722" s="117">
        <v>121</v>
      </c>
      <c r="H722" s="117">
        <v>121</v>
      </c>
      <c r="I722" s="117"/>
      <c r="J722" s="117"/>
      <c r="K722" s="117" t="s">
        <v>2070</v>
      </c>
      <c r="L722" s="117" t="s">
        <v>1541</v>
      </c>
      <c r="M722" s="117" t="s">
        <v>17</v>
      </c>
      <c r="N722" s="117" t="s">
        <v>18</v>
      </c>
      <c r="O722" s="117"/>
      <c r="P722" s="117"/>
      <c r="Q722" s="117"/>
      <c r="R722" s="117"/>
    </row>
    <row r="723" spans="1:18" ht="27" customHeight="1">
      <c r="A723" s="117">
        <v>718</v>
      </c>
      <c r="B723" s="117" t="s">
        <v>1487</v>
      </c>
      <c r="C723" s="117" t="s">
        <v>1454</v>
      </c>
      <c r="D723" s="117" t="s">
        <v>1542</v>
      </c>
      <c r="E723" s="117" t="s">
        <v>3</v>
      </c>
      <c r="F723" s="117">
        <v>779</v>
      </c>
      <c r="G723" s="117">
        <v>476</v>
      </c>
      <c r="H723" s="117">
        <v>779</v>
      </c>
      <c r="I723" s="117"/>
      <c r="J723" s="117"/>
      <c r="K723" s="117" t="s">
        <v>18</v>
      </c>
      <c r="L723" s="117"/>
      <c r="M723" s="117" t="s">
        <v>17</v>
      </c>
      <c r="N723" s="117" t="s">
        <v>18</v>
      </c>
      <c r="O723" s="117"/>
      <c r="P723" s="117"/>
      <c r="Q723" s="117"/>
      <c r="R723" s="117"/>
    </row>
    <row r="724" spans="1:18" ht="27" customHeight="1">
      <c r="A724" s="117">
        <v>719</v>
      </c>
      <c r="B724" s="117" t="s">
        <v>1487</v>
      </c>
      <c r="C724" s="117" t="s">
        <v>1543</v>
      </c>
      <c r="D724" s="117" t="s">
        <v>1543</v>
      </c>
      <c r="E724" s="117" t="s">
        <v>0</v>
      </c>
      <c r="F724" s="117">
        <v>232</v>
      </c>
      <c r="G724" s="117">
        <v>232</v>
      </c>
      <c r="H724" s="117">
        <v>232</v>
      </c>
      <c r="I724" s="117"/>
      <c r="J724" s="117"/>
      <c r="K724" s="117" t="s">
        <v>18</v>
      </c>
      <c r="L724" s="117"/>
      <c r="M724" s="117" t="s">
        <v>17</v>
      </c>
      <c r="N724" s="117" t="s">
        <v>18</v>
      </c>
      <c r="O724" s="117"/>
      <c r="P724" s="117"/>
      <c r="Q724" s="117"/>
      <c r="R724" s="117"/>
    </row>
    <row r="725" spans="1:18" ht="27" customHeight="1">
      <c r="A725" s="117">
        <v>720</v>
      </c>
      <c r="B725" s="117" t="s">
        <v>1487</v>
      </c>
      <c r="C725" s="117" t="s">
        <v>1451</v>
      </c>
      <c r="D725" s="117" t="s">
        <v>1544</v>
      </c>
      <c r="E725" s="117" t="s">
        <v>0</v>
      </c>
      <c r="F725" s="117">
        <v>75</v>
      </c>
      <c r="G725" s="117">
        <v>3</v>
      </c>
      <c r="H725" s="117">
        <v>3</v>
      </c>
      <c r="I725" s="117"/>
      <c r="J725" s="117"/>
      <c r="K725" s="117" t="s">
        <v>2072</v>
      </c>
      <c r="L725" s="117" t="s">
        <v>1514</v>
      </c>
      <c r="M725" s="117" t="s">
        <v>17</v>
      </c>
      <c r="N725" s="117" t="s">
        <v>18</v>
      </c>
      <c r="O725" s="117"/>
      <c r="P725" s="117"/>
      <c r="Q725" s="117"/>
      <c r="R725" s="117"/>
    </row>
    <row r="726" spans="1:18" ht="27" customHeight="1">
      <c r="A726" s="117">
        <v>721</v>
      </c>
      <c r="B726" s="117" t="s">
        <v>1487</v>
      </c>
      <c r="C726" s="117" t="s">
        <v>1545</v>
      </c>
      <c r="D726" s="117" t="s">
        <v>1545</v>
      </c>
      <c r="E726" s="117" t="s">
        <v>3</v>
      </c>
      <c r="F726" s="117">
        <v>631</v>
      </c>
      <c r="G726" s="117">
        <v>370</v>
      </c>
      <c r="H726" s="117">
        <v>370</v>
      </c>
      <c r="I726" s="117"/>
      <c r="J726" s="117"/>
      <c r="K726" s="117" t="s">
        <v>18</v>
      </c>
      <c r="L726" s="117"/>
      <c r="M726" s="117" t="s">
        <v>17</v>
      </c>
      <c r="N726" s="117" t="s">
        <v>18</v>
      </c>
      <c r="O726" s="117"/>
      <c r="P726" s="117"/>
      <c r="Q726" s="117"/>
      <c r="R726" s="117"/>
    </row>
    <row r="727" spans="1:18" ht="27" customHeight="1">
      <c r="A727" s="117">
        <v>722</v>
      </c>
      <c r="B727" s="117" t="s">
        <v>1487</v>
      </c>
      <c r="C727" s="117" t="s">
        <v>1450</v>
      </c>
      <c r="D727" s="117" t="s">
        <v>1546</v>
      </c>
      <c r="E727" s="117" t="s">
        <v>0</v>
      </c>
      <c r="F727" s="117">
        <v>927</v>
      </c>
      <c r="G727" s="117">
        <v>3</v>
      </c>
      <c r="H727" s="117">
        <v>354</v>
      </c>
      <c r="I727" s="117"/>
      <c r="J727" s="117"/>
      <c r="K727" s="117" t="s">
        <v>2076</v>
      </c>
      <c r="L727" s="117" t="s">
        <v>1514</v>
      </c>
      <c r="M727" s="117" t="s">
        <v>17</v>
      </c>
      <c r="N727" s="117" t="s">
        <v>18</v>
      </c>
      <c r="O727" s="117"/>
      <c r="P727" s="117"/>
      <c r="Q727" s="117"/>
      <c r="R727" s="117"/>
    </row>
    <row r="728" spans="1:18" ht="27" customHeight="1">
      <c r="A728" s="117">
        <v>723</v>
      </c>
      <c r="B728" s="117" t="s">
        <v>1487</v>
      </c>
      <c r="C728" s="117" t="s">
        <v>1547</v>
      </c>
      <c r="D728" s="117" t="s">
        <v>1548</v>
      </c>
      <c r="E728" s="117" t="s">
        <v>0</v>
      </c>
      <c r="F728" s="117">
        <v>1081</v>
      </c>
      <c r="G728" s="117">
        <v>6</v>
      </c>
      <c r="H728" s="117">
        <v>6</v>
      </c>
      <c r="I728" s="117"/>
      <c r="J728" s="117"/>
      <c r="K728" s="117" t="s">
        <v>2077</v>
      </c>
      <c r="L728" s="117" t="s">
        <v>1549</v>
      </c>
      <c r="M728" s="117" t="s">
        <v>17</v>
      </c>
      <c r="N728" s="117" t="s">
        <v>18</v>
      </c>
      <c r="O728" s="117"/>
      <c r="P728" s="117"/>
      <c r="Q728" s="117"/>
      <c r="R728" s="117"/>
    </row>
    <row r="729" spans="1:18" ht="27" customHeight="1">
      <c r="A729" s="117">
        <v>724</v>
      </c>
      <c r="B729" s="117" t="s">
        <v>1487</v>
      </c>
      <c r="C729" s="117" t="s">
        <v>1550</v>
      </c>
      <c r="D729" s="117" t="s">
        <v>1551</v>
      </c>
      <c r="E729" s="117" t="s">
        <v>0</v>
      </c>
      <c r="F729" s="117">
        <v>66</v>
      </c>
      <c r="G729" s="117">
        <v>66</v>
      </c>
      <c r="H729" s="117">
        <v>66</v>
      </c>
      <c r="I729" s="117"/>
      <c r="J729" s="117"/>
      <c r="K729" s="117" t="s">
        <v>2077</v>
      </c>
      <c r="L729" s="117" t="s">
        <v>1549</v>
      </c>
      <c r="M729" s="117" t="s">
        <v>17</v>
      </c>
      <c r="N729" s="117" t="s">
        <v>18</v>
      </c>
      <c r="O729" s="117"/>
      <c r="P729" s="117"/>
      <c r="Q729" s="117"/>
      <c r="R729" s="117"/>
    </row>
    <row r="730" spans="1:18" ht="27" customHeight="1">
      <c r="A730" s="117">
        <v>725</v>
      </c>
      <c r="B730" s="117" t="s">
        <v>1487</v>
      </c>
      <c r="C730" s="117" t="s">
        <v>1552</v>
      </c>
      <c r="D730" s="117" t="s">
        <v>1553</v>
      </c>
      <c r="E730" s="117" t="s">
        <v>6</v>
      </c>
      <c r="F730" s="117">
        <v>491</v>
      </c>
      <c r="G730" s="117">
        <v>6</v>
      </c>
      <c r="H730" s="117">
        <v>6</v>
      </c>
      <c r="I730" s="117"/>
      <c r="J730" s="117"/>
      <c r="K730" s="117" t="s">
        <v>2078</v>
      </c>
      <c r="L730" s="117" t="s">
        <v>1554</v>
      </c>
      <c r="M730" s="117" t="s">
        <v>17</v>
      </c>
      <c r="N730" s="117" t="s">
        <v>18</v>
      </c>
      <c r="O730" s="117"/>
      <c r="P730" s="117"/>
      <c r="Q730" s="117"/>
      <c r="R730" s="117"/>
    </row>
    <row r="731" spans="1:18" ht="27" customHeight="1">
      <c r="A731" s="117">
        <v>726</v>
      </c>
      <c r="B731" s="117" t="s">
        <v>1487</v>
      </c>
      <c r="C731" s="117" t="s">
        <v>834</v>
      </c>
      <c r="D731" s="117" t="s">
        <v>1555</v>
      </c>
      <c r="E731" s="117" t="s">
        <v>2</v>
      </c>
      <c r="F731" s="117">
        <v>50</v>
      </c>
      <c r="G731" s="117">
        <v>20</v>
      </c>
      <c r="H731" s="117">
        <v>20</v>
      </c>
      <c r="I731" s="117"/>
      <c r="J731" s="117"/>
      <c r="K731" s="117" t="s">
        <v>563</v>
      </c>
      <c r="L731" s="117" t="s">
        <v>1556</v>
      </c>
      <c r="M731" s="117" t="s">
        <v>17</v>
      </c>
      <c r="N731" s="117" t="s">
        <v>1269</v>
      </c>
      <c r="O731" s="117"/>
      <c r="P731" s="117"/>
      <c r="Q731" s="117"/>
      <c r="R731" s="117"/>
    </row>
    <row r="732" spans="1:18" ht="27" customHeight="1">
      <c r="A732" s="117">
        <v>727</v>
      </c>
      <c r="B732" s="117" t="s">
        <v>1487</v>
      </c>
      <c r="C732" s="117" t="s">
        <v>1557</v>
      </c>
      <c r="D732" s="117" t="s">
        <v>1558</v>
      </c>
      <c r="E732" s="117" t="s">
        <v>2</v>
      </c>
      <c r="F732" s="117">
        <v>697</v>
      </c>
      <c r="G732" s="117">
        <v>162</v>
      </c>
      <c r="H732" s="117">
        <v>162</v>
      </c>
      <c r="I732" s="117"/>
      <c r="J732" s="117"/>
      <c r="K732" s="117" t="s">
        <v>17</v>
      </c>
      <c r="L732" s="117" t="s">
        <v>72</v>
      </c>
      <c r="M732" s="117" t="s">
        <v>17</v>
      </c>
      <c r="N732" s="117" t="s">
        <v>72</v>
      </c>
      <c r="O732" s="117"/>
      <c r="P732" s="117"/>
      <c r="Q732" s="117"/>
      <c r="R732" s="117"/>
    </row>
    <row r="733" spans="1:18" ht="27" customHeight="1">
      <c r="A733" s="117">
        <v>728</v>
      </c>
      <c r="B733" s="117" t="s">
        <v>1487</v>
      </c>
      <c r="C733" s="117" t="s">
        <v>1559</v>
      </c>
      <c r="D733" s="117" t="s">
        <v>1560</v>
      </c>
      <c r="E733" s="117" t="s">
        <v>2</v>
      </c>
      <c r="F733" s="117">
        <v>1407</v>
      </c>
      <c r="G733" s="117">
        <v>190</v>
      </c>
      <c r="H733" s="117">
        <v>190</v>
      </c>
      <c r="I733" s="117"/>
      <c r="J733" s="117"/>
      <c r="K733" s="117" t="s">
        <v>563</v>
      </c>
      <c r="L733" s="117" t="s">
        <v>564</v>
      </c>
      <c r="M733" s="117" t="s">
        <v>17</v>
      </c>
      <c r="N733" s="117" t="s">
        <v>1269</v>
      </c>
      <c r="O733" s="117"/>
      <c r="P733" s="117"/>
      <c r="Q733" s="117"/>
      <c r="R733" s="117"/>
    </row>
    <row r="734" spans="1:18" ht="37.5" customHeight="1">
      <c r="A734" s="117">
        <v>729</v>
      </c>
      <c r="B734" s="117" t="s">
        <v>1487</v>
      </c>
      <c r="C734" s="117" t="s">
        <v>1425</v>
      </c>
      <c r="D734" s="117" t="s">
        <v>1561</v>
      </c>
      <c r="E734" s="117" t="s">
        <v>11</v>
      </c>
      <c r="F734" s="117">
        <v>6469</v>
      </c>
      <c r="G734" s="117">
        <v>371</v>
      </c>
      <c r="H734" s="117">
        <v>371</v>
      </c>
      <c r="I734" s="117"/>
      <c r="J734" s="117"/>
      <c r="K734" s="117" t="s">
        <v>2079</v>
      </c>
      <c r="L734" s="117" t="s">
        <v>1562</v>
      </c>
      <c r="M734" s="117" t="s">
        <v>17</v>
      </c>
      <c r="N734" s="117" t="s">
        <v>18</v>
      </c>
      <c r="O734" s="117"/>
      <c r="P734" s="117"/>
      <c r="Q734" s="117"/>
      <c r="R734" s="117"/>
    </row>
    <row r="735" spans="1:18" ht="27" customHeight="1">
      <c r="A735" s="117">
        <v>730</v>
      </c>
      <c r="B735" s="117" t="s">
        <v>1487</v>
      </c>
      <c r="C735" s="117" t="s">
        <v>1447</v>
      </c>
      <c r="D735" s="117" t="s">
        <v>1447</v>
      </c>
      <c r="E735" s="117" t="s">
        <v>6</v>
      </c>
      <c r="F735" s="117">
        <v>479</v>
      </c>
      <c r="G735" s="117">
        <v>479</v>
      </c>
      <c r="H735" s="117">
        <v>479</v>
      </c>
      <c r="I735" s="117"/>
      <c r="J735" s="117"/>
      <c r="K735" s="117" t="s">
        <v>2074</v>
      </c>
      <c r="L735" s="117" t="s">
        <v>1525</v>
      </c>
      <c r="M735" s="117" t="s">
        <v>17</v>
      </c>
      <c r="N735" s="117" t="s">
        <v>18</v>
      </c>
      <c r="O735" s="117"/>
      <c r="P735" s="117"/>
      <c r="Q735" s="117"/>
      <c r="R735" s="117"/>
    </row>
    <row r="736" spans="1:18" ht="27" customHeight="1">
      <c r="A736" s="117">
        <v>731</v>
      </c>
      <c r="B736" s="117" t="s">
        <v>1487</v>
      </c>
      <c r="C736" s="117" t="s">
        <v>1100</v>
      </c>
      <c r="D736" s="117" t="s">
        <v>1183</v>
      </c>
      <c r="E736" s="117" t="s">
        <v>23</v>
      </c>
      <c r="F736" s="117">
        <v>337</v>
      </c>
      <c r="G736" s="117">
        <v>233</v>
      </c>
      <c r="H736" s="117">
        <v>233</v>
      </c>
      <c r="I736" s="117"/>
      <c r="J736" s="117"/>
      <c r="K736" s="117" t="s">
        <v>2074</v>
      </c>
      <c r="L736" s="117" t="s">
        <v>1525</v>
      </c>
      <c r="M736" s="117" t="s">
        <v>17</v>
      </c>
      <c r="N736" s="117" t="s">
        <v>18</v>
      </c>
      <c r="O736" s="117"/>
      <c r="P736" s="117"/>
      <c r="Q736" s="117"/>
      <c r="R736" s="117"/>
    </row>
    <row r="737" spans="1:18" ht="27" customHeight="1">
      <c r="A737" s="117">
        <v>732</v>
      </c>
      <c r="B737" s="117" t="s">
        <v>1487</v>
      </c>
      <c r="C737" s="117" t="s">
        <v>1101</v>
      </c>
      <c r="D737" s="117" t="s">
        <v>1184</v>
      </c>
      <c r="E737" s="117" t="s">
        <v>11</v>
      </c>
      <c r="F737" s="117">
        <v>2658</v>
      </c>
      <c r="G737" s="117">
        <v>1410</v>
      </c>
      <c r="H737" s="117">
        <v>1410</v>
      </c>
      <c r="I737" s="117"/>
      <c r="J737" s="117"/>
      <c r="K737" s="117" t="s">
        <v>2074</v>
      </c>
      <c r="L737" s="117" t="s">
        <v>1525</v>
      </c>
      <c r="M737" s="117" t="s">
        <v>17</v>
      </c>
      <c r="N737" s="117" t="s">
        <v>18</v>
      </c>
      <c r="O737" s="117"/>
      <c r="P737" s="117"/>
      <c r="Q737" s="117"/>
      <c r="R737" s="117"/>
    </row>
    <row r="738" spans="1:18" ht="27" customHeight="1">
      <c r="A738" s="117">
        <v>733</v>
      </c>
      <c r="B738" s="117" t="s">
        <v>1487</v>
      </c>
      <c r="C738" s="117" t="s">
        <v>1102</v>
      </c>
      <c r="D738" s="117" t="s">
        <v>1563</v>
      </c>
      <c r="E738" s="117" t="s">
        <v>11</v>
      </c>
      <c r="F738" s="117">
        <v>6221</v>
      </c>
      <c r="G738" s="117">
        <v>3809</v>
      </c>
      <c r="H738" s="117">
        <v>3809</v>
      </c>
      <c r="I738" s="117"/>
      <c r="J738" s="117"/>
      <c r="K738" s="117" t="s">
        <v>2080</v>
      </c>
      <c r="L738" s="117" t="s">
        <v>1564</v>
      </c>
      <c r="M738" s="117" t="s">
        <v>17</v>
      </c>
      <c r="N738" s="117" t="s">
        <v>18</v>
      </c>
      <c r="O738" s="117"/>
      <c r="P738" s="117"/>
      <c r="Q738" s="117"/>
      <c r="R738" s="117"/>
    </row>
    <row r="739" spans="1:18" ht="27" customHeight="1">
      <c r="A739" s="117">
        <v>734</v>
      </c>
      <c r="B739" s="117" t="s">
        <v>1487</v>
      </c>
      <c r="C739" s="117" t="s">
        <v>1475</v>
      </c>
      <c r="D739" s="117" t="s">
        <v>1565</v>
      </c>
      <c r="E739" s="117" t="s">
        <v>11</v>
      </c>
      <c r="F739" s="117">
        <v>3726</v>
      </c>
      <c r="G739" s="117">
        <v>2051</v>
      </c>
      <c r="H739" s="117">
        <v>2051</v>
      </c>
      <c r="I739" s="117"/>
      <c r="J739" s="117"/>
      <c r="K739" s="117" t="s">
        <v>1949</v>
      </c>
      <c r="L739" s="117" t="s">
        <v>1566</v>
      </c>
      <c r="M739" s="117" t="s">
        <v>17</v>
      </c>
      <c r="N739" s="117" t="s">
        <v>18</v>
      </c>
      <c r="O739" s="117"/>
      <c r="P739" s="117"/>
      <c r="Q739" s="117"/>
      <c r="R739" s="117"/>
    </row>
    <row r="740" spans="1:18" ht="27" customHeight="1">
      <c r="A740" s="117">
        <v>735</v>
      </c>
      <c r="B740" s="117" t="s">
        <v>1487</v>
      </c>
      <c r="C740" s="117" t="s">
        <v>1567</v>
      </c>
      <c r="D740" s="117" t="s">
        <v>1568</v>
      </c>
      <c r="E740" s="117" t="s">
        <v>11</v>
      </c>
      <c r="F740" s="117">
        <v>4327</v>
      </c>
      <c r="G740" s="117">
        <v>1869</v>
      </c>
      <c r="H740" s="117">
        <v>1869</v>
      </c>
      <c r="I740" s="117"/>
      <c r="J740" s="117"/>
      <c r="K740" s="117" t="s">
        <v>2055</v>
      </c>
      <c r="L740" s="117" t="s">
        <v>1569</v>
      </c>
      <c r="M740" s="117" t="s">
        <v>17</v>
      </c>
      <c r="N740" s="117" t="s">
        <v>18</v>
      </c>
      <c r="O740" s="117"/>
      <c r="P740" s="117"/>
      <c r="Q740" s="117"/>
      <c r="R740" s="117"/>
    </row>
    <row r="741" spans="1:18" ht="27" customHeight="1">
      <c r="A741" s="117">
        <v>736</v>
      </c>
      <c r="B741" s="117" t="s">
        <v>1487</v>
      </c>
      <c r="C741" s="117" t="s">
        <v>1570</v>
      </c>
      <c r="D741" s="117" t="s">
        <v>1571</v>
      </c>
      <c r="E741" s="117" t="s">
        <v>6</v>
      </c>
      <c r="F741" s="117">
        <v>595</v>
      </c>
      <c r="G741" s="117">
        <v>344</v>
      </c>
      <c r="H741" s="117">
        <v>344</v>
      </c>
      <c r="I741" s="117"/>
      <c r="J741" s="117"/>
      <c r="K741" s="117" t="s">
        <v>2081</v>
      </c>
      <c r="L741" s="117" t="s">
        <v>1572</v>
      </c>
      <c r="M741" s="117" t="s">
        <v>17</v>
      </c>
      <c r="N741" s="117" t="s">
        <v>18</v>
      </c>
      <c r="O741" s="117"/>
      <c r="P741" s="117"/>
      <c r="Q741" s="117"/>
      <c r="R741" s="117"/>
    </row>
    <row r="742" spans="1:18" ht="27" customHeight="1">
      <c r="A742" s="117">
        <v>737</v>
      </c>
      <c r="B742" s="117" t="s">
        <v>1487</v>
      </c>
      <c r="C742" s="117" t="s">
        <v>1474</v>
      </c>
      <c r="D742" s="117" t="s">
        <v>1573</v>
      </c>
      <c r="E742" s="117" t="s">
        <v>6</v>
      </c>
      <c r="F742" s="117">
        <v>1246</v>
      </c>
      <c r="G742" s="117">
        <v>52</v>
      </c>
      <c r="H742" s="117">
        <v>52</v>
      </c>
      <c r="I742" s="117"/>
      <c r="J742" s="117"/>
      <c r="K742" s="117" t="s">
        <v>2081</v>
      </c>
      <c r="L742" s="117" t="s">
        <v>1572</v>
      </c>
      <c r="M742" s="117" t="s">
        <v>17</v>
      </c>
      <c r="N742" s="117" t="s">
        <v>18</v>
      </c>
      <c r="O742" s="117"/>
      <c r="P742" s="117"/>
      <c r="Q742" s="117"/>
      <c r="R742" s="117"/>
    </row>
    <row r="743" spans="1:18" ht="27" customHeight="1">
      <c r="A743" s="117">
        <v>738</v>
      </c>
      <c r="B743" s="117" t="s">
        <v>1487</v>
      </c>
      <c r="C743" s="117" t="s">
        <v>645</v>
      </c>
      <c r="D743" s="117" t="s">
        <v>1574</v>
      </c>
      <c r="E743" s="117" t="s">
        <v>3</v>
      </c>
      <c r="F743" s="117">
        <v>1864</v>
      </c>
      <c r="G743" s="117">
        <v>137</v>
      </c>
      <c r="H743" s="117">
        <v>137</v>
      </c>
      <c r="I743" s="117"/>
      <c r="J743" s="117"/>
      <c r="K743" s="117" t="s">
        <v>17</v>
      </c>
      <c r="L743" s="117" t="s">
        <v>72</v>
      </c>
      <c r="M743" s="117" t="s">
        <v>17</v>
      </c>
      <c r="N743" s="117" t="s">
        <v>72</v>
      </c>
      <c r="O743" s="117"/>
      <c r="P743" s="117"/>
      <c r="Q743" s="117"/>
      <c r="R743" s="117"/>
    </row>
    <row r="744" spans="1:18" ht="27" customHeight="1">
      <c r="A744" s="117">
        <v>739</v>
      </c>
      <c r="B744" s="117" t="s">
        <v>1487</v>
      </c>
      <c r="C744" s="117" t="s">
        <v>649</v>
      </c>
      <c r="D744" s="117" t="s">
        <v>649</v>
      </c>
      <c r="E744" s="117" t="s">
        <v>3</v>
      </c>
      <c r="F744" s="117">
        <v>76</v>
      </c>
      <c r="G744" s="117">
        <v>76</v>
      </c>
      <c r="H744" s="117">
        <v>76</v>
      </c>
      <c r="I744" s="117"/>
      <c r="J744" s="117"/>
      <c r="K744" s="117" t="s">
        <v>17</v>
      </c>
      <c r="L744" s="117" t="s">
        <v>72</v>
      </c>
      <c r="M744" s="117" t="s">
        <v>17</v>
      </c>
      <c r="N744" s="117" t="s">
        <v>72</v>
      </c>
      <c r="O744" s="117"/>
      <c r="P744" s="117"/>
      <c r="Q744" s="117"/>
      <c r="R744" s="117"/>
    </row>
    <row r="745" spans="1:18" ht="27" customHeight="1">
      <c r="A745" s="117">
        <v>740</v>
      </c>
      <c r="B745" s="117" t="s">
        <v>1487</v>
      </c>
      <c r="C745" s="117" t="s">
        <v>1481</v>
      </c>
      <c r="D745" s="117" t="s">
        <v>1575</v>
      </c>
      <c r="E745" s="117" t="s">
        <v>6</v>
      </c>
      <c r="F745" s="117">
        <v>2089</v>
      </c>
      <c r="G745" s="117">
        <v>1329</v>
      </c>
      <c r="H745" s="117">
        <v>1329</v>
      </c>
      <c r="I745" s="117"/>
      <c r="J745" s="117"/>
      <c r="K745" s="117" t="s">
        <v>2082</v>
      </c>
      <c r="L745" s="117" t="s">
        <v>1576</v>
      </c>
      <c r="M745" s="117" t="s">
        <v>17</v>
      </c>
      <c r="N745" s="117" t="s">
        <v>18</v>
      </c>
      <c r="O745" s="117"/>
      <c r="P745" s="117"/>
      <c r="Q745" s="117"/>
      <c r="R745" s="117"/>
    </row>
    <row r="746" spans="1:18" ht="27" customHeight="1">
      <c r="A746" s="117">
        <v>741</v>
      </c>
      <c r="B746" s="117" t="s">
        <v>1487</v>
      </c>
      <c r="C746" s="117" t="s">
        <v>1485</v>
      </c>
      <c r="D746" s="117" t="s">
        <v>1577</v>
      </c>
      <c r="E746" s="117" t="s">
        <v>23</v>
      </c>
      <c r="F746" s="117">
        <v>245</v>
      </c>
      <c r="G746" s="117">
        <v>98</v>
      </c>
      <c r="H746" s="117">
        <v>98</v>
      </c>
      <c r="I746" s="117"/>
      <c r="J746" s="117"/>
      <c r="K746" s="117" t="s">
        <v>2083</v>
      </c>
      <c r="L746" s="117" t="s">
        <v>1578</v>
      </c>
      <c r="M746" s="117" t="s">
        <v>17</v>
      </c>
      <c r="N746" s="117" t="s">
        <v>18</v>
      </c>
      <c r="O746" s="117"/>
      <c r="P746" s="117"/>
      <c r="Q746" s="117"/>
      <c r="R746" s="117"/>
    </row>
    <row r="747" spans="1:18" ht="27" customHeight="1">
      <c r="A747" s="117">
        <v>742</v>
      </c>
      <c r="B747" s="117" t="s">
        <v>1487</v>
      </c>
      <c r="C747" s="117" t="s">
        <v>1579</v>
      </c>
      <c r="D747" s="117" t="s">
        <v>1580</v>
      </c>
      <c r="E747" s="117" t="s">
        <v>11</v>
      </c>
      <c r="F747" s="117">
        <v>2761</v>
      </c>
      <c r="G747" s="117">
        <v>480</v>
      </c>
      <c r="H747" s="117">
        <v>480</v>
      </c>
      <c r="I747" s="117"/>
      <c r="J747" s="117"/>
      <c r="K747" s="117" t="s">
        <v>2071</v>
      </c>
      <c r="L747" s="117" t="s">
        <v>1581</v>
      </c>
      <c r="M747" s="117" t="s">
        <v>17</v>
      </c>
      <c r="N747" s="117" t="s">
        <v>18</v>
      </c>
      <c r="O747" s="117"/>
      <c r="P747" s="117"/>
      <c r="Q747" s="117"/>
      <c r="R747" s="117"/>
    </row>
    <row r="748" spans="1:18" ht="27" customHeight="1">
      <c r="A748" s="117">
        <v>743</v>
      </c>
      <c r="B748" s="117" t="s">
        <v>1487</v>
      </c>
      <c r="C748" s="117" t="s">
        <v>1483</v>
      </c>
      <c r="D748" s="117" t="s">
        <v>1582</v>
      </c>
      <c r="E748" s="117" t="s">
        <v>11</v>
      </c>
      <c r="F748" s="117">
        <v>5663</v>
      </c>
      <c r="G748" s="117">
        <v>2863</v>
      </c>
      <c r="H748" s="117">
        <v>2863</v>
      </c>
      <c r="I748" s="117"/>
      <c r="J748" s="117"/>
      <c r="K748" s="117" t="s">
        <v>2084</v>
      </c>
      <c r="L748" s="117" t="s">
        <v>1583</v>
      </c>
      <c r="M748" s="117" t="s">
        <v>17</v>
      </c>
      <c r="N748" s="117" t="s">
        <v>18</v>
      </c>
      <c r="O748" s="117"/>
      <c r="P748" s="117"/>
      <c r="Q748" s="117"/>
      <c r="R748" s="117"/>
    </row>
    <row r="749" spans="1:18" ht="27" customHeight="1">
      <c r="A749" s="117">
        <v>744</v>
      </c>
      <c r="B749" s="117" t="s">
        <v>1487</v>
      </c>
      <c r="C749" s="117" t="s">
        <v>1482</v>
      </c>
      <c r="D749" s="117" t="s">
        <v>1584</v>
      </c>
      <c r="E749" s="117" t="s">
        <v>6</v>
      </c>
      <c r="F749" s="117">
        <v>717</v>
      </c>
      <c r="G749" s="117">
        <v>45</v>
      </c>
      <c r="H749" s="117">
        <v>45</v>
      </c>
      <c r="I749" s="117"/>
      <c r="J749" s="117"/>
      <c r="K749" s="117" t="s">
        <v>2085</v>
      </c>
      <c r="L749" s="117" t="s">
        <v>1585</v>
      </c>
      <c r="M749" s="117" t="s">
        <v>17</v>
      </c>
      <c r="N749" s="117" t="s">
        <v>18</v>
      </c>
      <c r="O749" s="117"/>
      <c r="P749" s="117"/>
      <c r="Q749" s="117"/>
      <c r="R749" s="117"/>
    </row>
    <row r="750" spans="1:18" ht="27" customHeight="1">
      <c r="A750" s="117">
        <v>745</v>
      </c>
      <c r="B750" s="117" t="s">
        <v>1487</v>
      </c>
      <c r="C750" s="117" t="s">
        <v>1586</v>
      </c>
      <c r="D750" s="117" t="s">
        <v>1587</v>
      </c>
      <c r="E750" s="117" t="s">
        <v>11</v>
      </c>
      <c r="F750" s="117">
        <v>2400</v>
      </c>
      <c r="G750" s="117">
        <v>63</v>
      </c>
      <c r="H750" s="117">
        <v>63</v>
      </c>
      <c r="I750" s="117"/>
      <c r="J750" s="117"/>
      <c r="K750" s="117" t="s">
        <v>2086</v>
      </c>
      <c r="L750" s="117" t="s">
        <v>1472</v>
      </c>
      <c r="M750" s="117" t="s">
        <v>17</v>
      </c>
      <c r="N750" s="117" t="s">
        <v>18</v>
      </c>
      <c r="O750" s="117"/>
      <c r="P750" s="117"/>
      <c r="Q750" s="117"/>
      <c r="R750" s="117"/>
    </row>
    <row r="751" spans="1:18" ht="27" customHeight="1">
      <c r="A751" s="117">
        <v>746</v>
      </c>
      <c r="B751" s="117" t="s">
        <v>1487</v>
      </c>
      <c r="C751" s="117" t="s">
        <v>1588</v>
      </c>
      <c r="D751" s="117" t="s">
        <v>1589</v>
      </c>
      <c r="E751" s="117" t="s">
        <v>0</v>
      </c>
      <c r="F751" s="117">
        <v>2215</v>
      </c>
      <c r="G751" s="117">
        <v>77</v>
      </c>
      <c r="H751" s="117">
        <v>77</v>
      </c>
      <c r="I751" s="117"/>
      <c r="J751" s="117"/>
      <c r="K751" s="117" t="s">
        <v>2087</v>
      </c>
      <c r="L751" s="117" t="s">
        <v>1590</v>
      </c>
      <c r="M751" s="117" t="s">
        <v>17</v>
      </c>
      <c r="N751" s="117" t="s">
        <v>18</v>
      </c>
      <c r="O751" s="117"/>
      <c r="P751" s="117"/>
      <c r="Q751" s="117"/>
      <c r="R751" s="117"/>
    </row>
    <row r="752" spans="1:18" ht="27" customHeight="1">
      <c r="A752" s="117">
        <v>747</v>
      </c>
      <c r="B752" s="117" t="s">
        <v>1487</v>
      </c>
      <c r="C752" s="117" t="s">
        <v>1591</v>
      </c>
      <c r="D752" s="117" t="s">
        <v>1592</v>
      </c>
      <c r="E752" s="117" t="s">
        <v>23</v>
      </c>
      <c r="F752" s="117">
        <v>780</v>
      </c>
      <c r="G752" s="117">
        <v>16</v>
      </c>
      <c r="H752" s="117">
        <v>16</v>
      </c>
      <c r="I752" s="117"/>
      <c r="J752" s="117"/>
      <c r="K752" s="117" t="s">
        <v>1917</v>
      </c>
      <c r="L752" s="117" t="s">
        <v>1593</v>
      </c>
      <c r="M752" s="117" t="s">
        <v>17</v>
      </c>
      <c r="N752" s="117" t="s">
        <v>18</v>
      </c>
      <c r="O752" s="117"/>
      <c r="P752" s="117"/>
      <c r="Q752" s="117"/>
      <c r="R752" s="117"/>
    </row>
    <row r="753" spans="1:18" ht="27" customHeight="1">
      <c r="A753" s="117">
        <v>748</v>
      </c>
      <c r="B753" s="117" t="s">
        <v>1487</v>
      </c>
      <c r="C753" s="117" t="s">
        <v>1594</v>
      </c>
      <c r="D753" s="117" t="s">
        <v>1595</v>
      </c>
      <c r="E753" s="117" t="s">
        <v>6</v>
      </c>
      <c r="F753" s="117">
        <v>3104</v>
      </c>
      <c r="G753" s="117">
        <v>235</v>
      </c>
      <c r="H753" s="117">
        <v>235</v>
      </c>
      <c r="I753" s="117"/>
      <c r="J753" s="117"/>
      <c r="K753" s="117" t="s">
        <v>1949</v>
      </c>
      <c r="L753" s="117" t="s">
        <v>1596</v>
      </c>
      <c r="M753" s="117" t="s">
        <v>17</v>
      </c>
      <c r="N753" s="117" t="s">
        <v>18</v>
      </c>
      <c r="O753" s="117"/>
      <c r="P753" s="117"/>
      <c r="Q753" s="117"/>
      <c r="R753" s="117"/>
    </row>
    <row r="754" spans="1:18" ht="27" customHeight="1">
      <c r="A754" s="117">
        <v>749</v>
      </c>
      <c r="B754" s="117" t="s">
        <v>1487</v>
      </c>
      <c r="C754" s="117" t="s">
        <v>1594</v>
      </c>
      <c r="D754" s="117" t="s">
        <v>1597</v>
      </c>
      <c r="E754" s="117" t="s">
        <v>6</v>
      </c>
      <c r="F754" s="117">
        <v>3104</v>
      </c>
      <c r="G754" s="117">
        <v>2166</v>
      </c>
      <c r="H754" s="117">
        <v>2166</v>
      </c>
      <c r="I754" s="117"/>
      <c r="J754" s="117"/>
      <c r="K754" s="117" t="s">
        <v>1949</v>
      </c>
      <c r="L754" s="117" t="s">
        <v>1596</v>
      </c>
      <c r="M754" s="117" t="s">
        <v>17</v>
      </c>
      <c r="N754" s="117" t="s">
        <v>18</v>
      </c>
      <c r="O754" s="117"/>
      <c r="P754" s="117"/>
      <c r="Q754" s="117"/>
      <c r="R754" s="117"/>
    </row>
    <row r="755" spans="1:18" ht="27" customHeight="1">
      <c r="A755" s="117">
        <v>750</v>
      </c>
      <c r="B755" s="117" t="s">
        <v>1487</v>
      </c>
      <c r="C755" s="117" t="s">
        <v>1598</v>
      </c>
      <c r="D755" s="117" t="s">
        <v>1599</v>
      </c>
      <c r="E755" s="117" t="s">
        <v>0</v>
      </c>
      <c r="F755" s="117">
        <v>1666</v>
      </c>
      <c r="G755" s="117">
        <v>500</v>
      </c>
      <c r="H755" s="117">
        <v>500</v>
      </c>
      <c r="I755" s="117"/>
      <c r="J755" s="117"/>
      <c r="K755" s="117" t="s">
        <v>1917</v>
      </c>
      <c r="L755" s="117" t="s">
        <v>1600</v>
      </c>
      <c r="M755" s="117" t="s">
        <v>17</v>
      </c>
      <c r="N755" s="117" t="s">
        <v>18</v>
      </c>
      <c r="O755" s="117"/>
      <c r="P755" s="117"/>
      <c r="Q755" s="117"/>
      <c r="R755" s="117"/>
    </row>
    <row r="756" spans="1:18" ht="27" customHeight="1">
      <c r="A756" s="117">
        <v>751</v>
      </c>
      <c r="B756" s="117" t="s">
        <v>1487</v>
      </c>
      <c r="C756" s="117" t="s">
        <v>1601</v>
      </c>
      <c r="D756" s="117" t="s">
        <v>1602</v>
      </c>
      <c r="E756" s="117" t="s">
        <v>0</v>
      </c>
      <c r="F756" s="117">
        <v>2645</v>
      </c>
      <c r="G756" s="117">
        <v>829</v>
      </c>
      <c r="H756" s="117">
        <v>829</v>
      </c>
      <c r="I756" s="117"/>
      <c r="J756" s="117"/>
      <c r="K756" s="117" t="s">
        <v>1949</v>
      </c>
      <c r="L756" s="117" t="s">
        <v>1603</v>
      </c>
      <c r="M756" s="117" t="s">
        <v>17</v>
      </c>
      <c r="N756" s="117" t="s">
        <v>18</v>
      </c>
      <c r="O756" s="117"/>
      <c r="P756" s="117"/>
      <c r="Q756" s="117"/>
      <c r="R756" s="117"/>
    </row>
    <row r="757" spans="1:18" ht="27" customHeight="1">
      <c r="A757" s="117">
        <v>752</v>
      </c>
      <c r="B757" s="117" t="s">
        <v>1487</v>
      </c>
      <c r="C757" s="117" t="s">
        <v>1604</v>
      </c>
      <c r="D757" s="117" t="s">
        <v>1605</v>
      </c>
      <c r="E757" s="117" t="s">
        <v>0</v>
      </c>
      <c r="F757" s="117">
        <v>1540</v>
      </c>
      <c r="G757" s="117">
        <v>510</v>
      </c>
      <c r="H757" s="117">
        <v>510</v>
      </c>
      <c r="I757" s="117"/>
      <c r="J757" s="117"/>
      <c r="K757" s="117" t="s">
        <v>2088</v>
      </c>
      <c r="L757" s="117" t="s">
        <v>1578</v>
      </c>
      <c r="M757" s="117" t="s">
        <v>17</v>
      </c>
      <c r="N757" s="117" t="s">
        <v>18</v>
      </c>
      <c r="O757" s="117"/>
      <c r="P757" s="117"/>
      <c r="Q757" s="117"/>
      <c r="R757" s="117"/>
    </row>
    <row r="758" spans="1:18" ht="27" customHeight="1">
      <c r="A758" s="117">
        <v>753</v>
      </c>
      <c r="B758" s="117" t="s">
        <v>1487</v>
      </c>
      <c r="C758" s="117" t="s">
        <v>1606</v>
      </c>
      <c r="D758" s="117" t="s">
        <v>1606</v>
      </c>
      <c r="E758" s="117" t="s">
        <v>0</v>
      </c>
      <c r="F758" s="117">
        <v>2916</v>
      </c>
      <c r="G758" s="117">
        <v>2916</v>
      </c>
      <c r="H758" s="117">
        <v>2916</v>
      </c>
      <c r="I758" s="117"/>
      <c r="J758" s="117"/>
      <c r="K758" s="117" t="s">
        <v>2071</v>
      </c>
      <c r="L758" s="117" t="s">
        <v>1607</v>
      </c>
      <c r="M758" s="117" t="s">
        <v>17</v>
      </c>
      <c r="N758" s="117" t="s">
        <v>18</v>
      </c>
      <c r="O758" s="117"/>
      <c r="P758" s="117"/>
      <c r="Q758" s="117"/>
      <c r="R758" s="117"/>
    </row>
    <row r="759" spans="1:18" ht="27" customHeight="1">
      <c r="A759" s="117">
        <v>754</v>
      </c>
      <c r="B759" s="117" t="s">
        <v>1487</v>
      </c>
      <c r="C759" s="117" t="s">
        <v>641</v>
      </c>
      <c r="D759" s="117" t="s">
        <v>1608</v>
      </c>
      <c r="E759" s="117" t="s">
        <v>3</v>
      </c>
      <c r="F759" s="117">
        <v>4671</v>
      </c>
      <c r="G759" s="117">
        <v>192</v>
      </c>
      <c r="H759" s="117">
        <v>407</v>
      </c>
      <c r="I759" s="117"/>
      <c r="J759" s="117"/>
      <c r="K759" s="117" t="s">
        <v>17</v>
      </c>
      <c r="L759" s="117" t="s">
        <v>72</v>
      </c>
      <c r="M759" s="117" t="s">
        <v>17</v>
      </c>
      <c r="N759" s="117" t="s">
        <v>72</v>
      </c>
      <c r="O759" s="117"/>
      <c r="P759" s="117"/>
      <c r="Q759" s="117"/>
      <c r="R759" s="117"/>
    </row>
    <row r="760" spans="1:18" ht="27" customHeight="1">
      <c r="A760" s="117">
        <v>755</v>
      </c>
      <c r="B760" s="117" t="s">
        <v>1487</v>
      </c>
      <c r="C760" s="117" t="s">
        <v>1609</v>
      </c>
      <c r="D760" s="117" t="s">
        <v>1609</v>
      </c>
      <c r="E760" s="117" t="s">
        <v>0</v>
      </c>
      <c r="F760" s="117">
        <v>340</v>
      </c>
      <c r="G760" s="117">
        <v>340</v>
      </c>
      <c r="H760" s="117">
        <v>340</v>
      </c>
      <c r="I760" s="117"/>
      <c r="J760" s="117"/>
      <c r="K760" s="117" t="s">
        <v>2089</v>
      </c>
      <c r="L760" s="117" t="s">
        <v>1610</v>
      </c>
      <c r="M760" s="117" t="s">
        <v>17</v>
      </c>
      <c r="N760" s="117" t="s">
        <v>18</v>
      </c>
      <c r="O760" s="117"/>
      <c r="P760" s="117"/>
      <c r="Q760" s="117"/>
      <c r="R760" s="117"/>
    </row>
    <row r="761" spans="1:18" ht="27" customHeight="1">
      <c r="A761" s="117">
        <v>756</v>
      </c>
      <c r="B761" s="117" t="s">
        <v>1487</v>
      </c>
      <c r="C761" s="117" t="s">
        <v>1611</v>
      </c>
      <c r="D761" s="117" t="s">
        <v>1612</v>
      </c>
      <c r="E761" s="117" t="s">
        <v>2</v>
      </c>
      <c r="F761" s="117">
        <v>2625</v>
      </c>
      <c r="G761" s="117">
        <v>199</v>
      </c>
      <c r="H761" s="117">
        <v>199</v>
      </c>
      <c r="I761" s="117"/>
      <c r="J761" s="117"/>
      <c r="K761" s="117" t="s">
        <v>17</v>
      </c>
      <c r="L761" s="117" t="s">
        <v>78</v>
      </c>
      <c r="M761" s="117" t="s">
        <v>17</v>
      </c>
      <c r="N761" s="117" t="s">
        <v>78</v>
      </c>
      <c r="O761" s="117"/>
      <c r="P761" s="117"/>
      <c r="Q761" s="117"/>
      <c r="R761" s="117"/>
    </row>
    <row r="762" spans="1:18" ht="27" customHeight="1">
      <c r="A762" s="117">
        <v>757</v>
      </c>
      <c r="B762" s="117" t="s">
        <v>1487</v>
      </c>
      <c r="C762" s="117" t="s">
        <v>1613</v>
      </c>
      <c r="D762" s="117" t="s">
        <v>1614</v>
      </c>
      <c r="E762" s="117" t="s">
        <v>0</v>
      </c>
      <c r="F762" s="117">
        <v>3290</v>
      </c>
      <c r="G762" s="117">
        <v>750</v>
      </c>
      <c r="H762" s="117">
        <v>750</v>
      </c>
      <c r="I762" s="117"/>
      <c r="J762" s="117"/>
      <c r="K762" s="117" t="s">
        <v>2090</v>
      </c>
      <c r="L762" s="117" t="s">
        <v>1615</v>
      </c>
      <c r="M762" s="117" t="s">
        <v>17</v>
      </c>
      <c r="N762" s="117" t="s">
        <v>18</v>
      </c>
      <c r="O762" s="117"/>
      <c r="P762" s="117"/>
      <c r="Q762" s="117"/>
      <c r="R762" s="117"/>
    </row>
    <row r="763" spans="1:18" ht="27" customHeight="1">
      <c r="A763" s="117">
        <v>758</v>
      </c>
      <c r="B763" s="117" t="s">
        <v>1487</v>
      </c>
      <c r="C763" s="117" t="s">
        <v>1616</v>
      </c>
      <c r="D763" s="117" t="s">
        <v>1616</v>
      </c>
      <c r="E763" s="117" t="s">
        <v>3</v>
      </c>
      <c r="F763" s="117">
        <v>139</v>
      </c>
      <c r="G763" s="117">
        <v>139</v>
      </c>
      <c r="H763" s="117">
        <v>139</v>
      </c>
      <c r="I763" s="117"/>
      <c r="J763" s="117"/>
      <c r="K763" s="117" t="s">
        <v>205</v>
      </c>
      <c r="L763" s="117"/>
      <c r="M763" s="117" t="s">
        <v>17</v>
      </c>
      <c r="N763" s="117" t="s">
        <v>205</v>
      </c>
      <c r="O763" s="117"/>
      <c r="P763" s="117"/>
      <c r="Q763" s="117"/>
      <c r="R763" s="117"/>
    </row>
    <row r="764" spans="1:18" ht="27" customHeight="1">
      <c r="A764" s="117">
        <v>759</v>
      </c>
      <c r="B764" s="117" t="s">
        <v>1487</v>
      </c>
      <c r="C764" s="117" t="s">
        <v>1617</v>
      </c>
      <c r="D764" s="117" t="s">
        <v>1618</v>
      </c>
      <c r="E764" s="117" t="s">
        <v>3</v>
      </c>
      <c r="F764" s="117">
        <v>2479</v>
      </c>
      <c r="G764" s="117">
        <v>223</v>
      </c>
      <c r="H764" s="117">
        <v>223</v>
      </c>
      <c r="I764" s="117"/>
      <c r="J764" s="117"/>
      <c r="K764" s="117" t="s">
        <v>17</v>
      </c>
      <c r="L764" s="117" t="s">
        <v>78</v>
      </c>
      <c r="M764" s="117" t="s">
        <v>17</v>
      </c>
      <c r="N764" s="117" t="s">
        <v>78</v>
      </c>
      <c r="O764" s="117"/>
      <c r="P764" s="117"/>
      <c r="Q764" s="117"/>
      <c r="R764" s="117"/>
    </row>
    <row r="765" spans="1:18" ht="27" customHeight="1">
      <c r="A765" s="117">
        <v>760</v>
      </c>
      <c r="B765" s="117" t="s">
        <v>1487</v>
      </c>
      <c r="C765" s="117" t="s">
        <v>1619</v>
      </c>
      <c r="D765" s="117" t="s">
        <v>1620</v>
      </c>
      <c r="E765" s="117" t="s">
        <v>6</v>
      </c>
      <c r="F765" s="117">
        <v>1296</v>
      </c>
      <c r="G765" s="117">
        <v>853</v>
      </c>
      <c r="H765" s="117">
        <v>853</v>
      </c>
      <c r="I765" s="117"/>
      <c r="J765" s="117"/>
      <c r="K765" s="117" t="s">
        <v>2071</v>
      </c>
      <c r="L765" s="117" t="s">
        <v>1621</v>
      </c>
      <c r="M765" s="117" t="s">
        <v>17</v>
      </c>
      <c r="N765" s="117" t="s">
        <v>18</v>
      </c>
      <c r="O765" s="117"/>
      <c r="P765" s="117"/>
      <c r="Q765" s="117"/>
      <c r="R765" s="117"/>
    </row>
    <row r="766" spans="1:18" ht="27" customHeight="1">
      <c r="A766" s="117">
        <v>761</v>
      </c>
      <c r="B766" s="117" t="s">
        <v>1487</v>
      </c>
      <c r="C766" s="117" t="s">
        <v>1622</v>
      </c>
      <c r="D766" s="117" t="s">
        <v>1623</v>
      </c>
      <c r="E766" s="117" t="s">
        <v>3</v>
      </c>
      <c r="F766" s="117">
        <v>638</v>
      </c>
      <c r="G766" s="117">
        <v>68</v>
      </c>
      <c r="H766" s="117">
        <v>68</v>
      </c>
      <c r="I766" s="117"/>
      <c r="J766" s="117"/>
      <c r="K766" s="117" t="s">
        <v>205</v>
      </c>
      <c r="L766" s="117"/>
      <c r="M766" s="117" t="s">
        <v>17</v>
      </c>
      <c r="N766" s="117" t="s">
        <v>205</v>
      </c>
      <c r="O766" s="117"/>
      <c r="P766" s="117"/>
      <c r="Q766" s="117"/>
      <c r="R766" s="117"/>
    </row>
    <row r="767" spans="1:18" ht="27" customHeight="1">
      <c r="A767" s="117">
        <v>762</v>
      </c>
      <c r="B767" s="117" t="s">
        <v>1487</v>
      </c>
      <c r="C767" s="117" t="s">
        <v>1624</v>
      </c>
      <c r="D767" s="117" t="s">
        <v>1625</v>
      </c>
      <c r="E767" s="117" t="s">
        <v>23</v>
      </c>
      <c r="F767" s="117">
        <v>661</v>
      </c>
      <c r="G767" s="117">
        <v>509</v>
      </c>
      <c r="H767" s="117">
        <v>509</v>
      </c>
      <c r="I767" s="117"/>
      <c r="J767" s="117"/>
      <c r="K767" s="117" t="s">
        <v>1996</v>
      </c>
      <c r="L767" s="117" t="s">
        <v>1626</v>
      </c>
      <c r="M767" s="117" t="s">
        <v>17</v>
      </c>
      <c r="N767" s="117" t="s">
        <v>18</v>
      </c>
      <c r="O767" s="117"/>
      <c r="P767" s="117"/>
      <c r="Q767" s="117"/>
      <c r="R767" s="117"/>
    </row>
    <row r="768" spans="1:18" ht="27" customHeight="1">
      <c r="A768" s="117">
        <v>763</v>
      </c>
      <c r="B768" s="117" t="s">
        <v>1487</v>
      </c>
      <c r="C768" s="117" t="s">
        <v>1627</v>
      </c>
      <c r="D768" s="117" t="s">
        <v>1628</v>
      </c>
      <c r="E768" s="117" t="s">
        <v>6</v>
      </c>
      <c r="F768" s="117">
        <v>1309</v>
      </c>
      <c r="G768" s="117">
        <v>1161</v>
      </c>
      <c r="H768" s="117">
        <v>1161</v>
      </c>
      <c r="I768" s="117"/>
      <c r="J768" s="117"/>
      <c r="K768" s="117" t="s">
        <v>1985</v>
      </c>
      <c r="L768" s="117" t="s">
        <v>1629</v>
      </c>
      <c r="M768" s="117" t="s">
        <v>17</v>
      </c>
      <c r="N768" s="117" t="s">
        <v>18</v>
      </c>
      <c r="O768" s="117"/>
      <c r="P768" s="117"/>
      <c r="Q768" s="117"/>
      <c r="R768" s="117"/>
    </row>
    <row r="769" spans="1:18" ht="27" customHeight="1">
      <c r="A769" s="117">
        <v>764</v>
      </c>
      <c r="B769" s="117" t="s">
        <v>1487</v>
      </c>
      <c r="C769" s="117" t="s">
        <v>1030</v>
      </c>
      <c r="D769" s="117" t="s">
        <v>1033</v>
      </c>
      <c r="E769" s="117" t="s">
        <v>23</v>
      </c>
      <c r="F769" s="117">
        <v>565</v>
      </c>
      <c r="G769" s="117">
        <v>7</v>
      </c>
      <c r="H769" s="117">
        <v>7</v>
      </c>
      <c r="I769" s="117"/>
      <c r="J769" s="117"/>
      <c r="K769" s="117" t="s">
        <v>2091</v>
      </c>
      <c r="L769" s="117" t="s">
        <v>1630</v>
      </c>
      <c r="M769" s="117" t="s">
        <v>17</v>
      </c>
      <c r="N769" s="117" t="s">
        <v>18</v>
      </c>
      <c r="O769" s="117"/>
      <c r="P769" s="117"/>
      <c r="Q769" s="117"/>
      <c r="R769" s="117"/>
    </row>
    <row r="770" spans="1:18" ht="27" customHeight="1">
      <c r="A770" s="117">
        <v>765</v>
      </c>
      <c r="B770" s="117" t="s">
        <v>1487</v>
      </c>
      <c r="C770" s="117" t="s">
        <v>1357</v>
      </c>
      <c r="D770" s="117" t="s">
        <v>1032</v>
      </c>
      <c r="E770" s="117" t="s">
        <v>11</v>
      </c>
      <c r="F770" s="117">
        <v>2555</v>
      </c>
      <c r="G770" s="117">
        <v>2525</v>
      </c>
      <c r="H770" s="117">
        <v>2525</v>
      </c>
      <c r="I770" s="117"/>
      <c r="J770" s="117"/>
      <c r="K770" s="117" t="s">
        <v>1948</v>
      </c>
      <c r="L770" s="117" t="s">
        <v>1631</v>
      </c>
      <c r="M770" s="117" t="s">
        <v>17</v>
      </c>
      <c r="N770" s="117" t="s">
        <v>18</v>
      </c>
      <c r="O770" s="117"/>
      <c r="P770" s="117"/>
      <c r="Q770" s="117"/>
      <c r="R770" s="117"/>
    </row>
    <row r="771" spans="1:18" ht="27" customHeight="1">
      <c r="A771" s="117">
        <v>766</v>
      </c>
      <c r="B771" s="117" t="s">
        <v>1487</v>
      </c>
      <c r="C771" s="117" t="s">
        <v>1632</v>
      </c>
      <c r="D771" s="117" t="s">
        <v>1633</v>
      </c>
      <c r="E771" s="117" t="s">
        <v>11</v>
      </c>
      <c r="F771" s="117">
        <v>6767</v>
      </c>
      <c r="G771" s="117">
        <v>3301</v>
      </c>
      <c r="H771" s="117">
        <v>3301</v>
      </c>
      <c r="I771" s="117"/>
      <c r="J771" s="117"/>
      <c r="K771" s="117" t="s">
        <v>2091</v>
      </c>
      <c r="L771" s="117" t="s">
        <v>1630</v>
      </c>
      <c r="M771" s="117" t="s">
        <v>17</v>
      </c>
      <c r="N771" s="117" t="s">
        <v>18</v>
      </c>
      <c r="O771" s="117"/>
      <c r="P771" s="117"/>
      <c r="Q771" s="117"/>
      <c r="R771" s="117"/>
    </row>
    <row r="772" spans="1:18" ht="27" customHeight="1">
      <c r="A772" s="117">
        <v>767</v>
      </c>
      <c r="B772" s="117" t="s">
        <v>1487</v>
      </c>
      <c r="C772" s="117" t="s">
        <v>1424</v>
      </c>
      <c r="D772" s="117" t="s">
        <v>1634</v>
      </c>
      <c r="E772" s="117" t="s">
        <v>159</v>
      </c>
      <c r="F772" s="117">
        <v>7278</v>
      </c>
      <c r="G772" s="117">
        <v>2130</v>
      </c>
      <c r="H772" s="117">
        <v>2130</v>
      </c>
      <c r="I772" s="117"/>
      <c r="J772" s="117"/>
      <c r="K772" s="117" t="s">
        <v>2080</v>
      </c>
      <c r="L772" s="117" t="s">
        <v>1564</v>
      </c>
      <c r="M772" s="117" t="s">
        <v>17</v>
      </c>
      <c r="N772" s="117" t="s">
        <v>18</v>
      </c>
      <c r="O772" s="117"/>
      <c r="P772" s="117"/>
      <c r="Q772" s="117"/>
      <c r="R772" s="117"/>
    </row>
    <row r="773" spans="1:18" ht="27" customHeight="1">
      <c r="A773" s="117">
        <v>768</v>
      </c>
      <c r="B773" s="117" t="s">
        <v>1487</v>
      </c>
      <c r="C773" s="117" t="s">
        <v>1477</v>
      </c>
      <c r="D773" s="117" t="s">
        <v>1635</v>
      </c>
      <c r="E773" s="117" t="s">
        <v>159</v>
      </c>
      <c r="F773" s="117">
        <v>2079</v>
      </c>
      <c r="G773" s="117">
        <v>450</v>
      </c>
      <c r="H773" s="117">
        <v>450</v>
      </c>
      <c r="I773" s="117"/>
      <c r="J773" s="117"/>
      <c r="K773" s="117" t="s">
        <v>2080</v>
      </c>
      <c r="L773" s="117" t="s">
        <v>1564</v>
      </c>
      <c r="M773" s="117" t="s">
        <v>17</v>
      </c>
      <c r="N773" s="117" t="s">
        <v>18</v>
      </c>
      <c r="O773" s="117"/>
      <c r="P773" s="117"/>
      <c r="Q773" s="117"/>
      <c r="R773" s="117"/>
    </row>
    <row r="774" spans="1:18" ht="27" customHeight="1">
      <c r="A774" s="117">
        <v>769</v>
      </c>
      <c r="B774" s="117" t="s">
        <v>1487</v>
      </c>
      <c r="C774" s="117" t="s">
        <v>1476</v>
      </c>
      <c r="D774" s="117" t="s">
        <v>1636</v>
      </c>
      <c r="E774" s="117" t="s">
        <v>11</v>
      </c>
      <c r="F774" s="117">
        <v>1993</v>
      </c>
      <c r="G774" s="117">
        <v>1612</v>
      </c>
      <c r="H774" s="117">
        <v>1612</v>
      </c>
      <c r="I774" s="117"/>
      <c r="J774" s="117"/>
      <c r="K774" s="117" t="s">
        <v>2088</v>
      </c>
      <c r="L774" s="117" t="s">
        <v>1581</v>
      </c>
      <c r="M774" s="117" t="s">
        <v>17</v>
      </c>
      <c r="N774" s="117" t="s">
        <v>18</v>
      </c>
      <c r="O774" s="117"/>
      <c r="P774" s="117"/>
      <c r="Q774" s="117"/>
      <c r="R774" s="117"/>
    </row>
    <row r="775" spans="1:18" ht="27" customHeight="1">
      <c r="A775" s="117">
        <v>770</v>
      </c>
      <c r="B775" s="117" t="s">
        <v>1487</v>
      </c>
      <c r="C775" s="117" t="s">
        <v>1637</v>
      </c>
      <c r="D775" s="117" t="s">
        <v>1638</v>
      </c>
      <c r="E775" s="117" t="s">
        <v>23</v>
      </c>
      <c r="F775" s="117">
        <v>1098</v>
      </c>
      <c r="G775" s="117">
        <v>230</v>
      </c>
      <c r="H775" s="117">
        <v>230</v>
      </c>
      <c r="I775" s="117"/>
      <c r="J775" s="117"/>
      <c r="K775" s="117" t="s">
        <v>2071</v>
      </c>
      <c r="L775" s="117" t="s">
        <v>1581</v>
      </c>
      <c r="M775" s="117" t="s">
        <v>17</v>
      </c>
      <c r="N775" s="117" t="s">
        <v>18</v>
      </c>
      <c r="O775" s="117"/>
      <c r="P775" s="117"/>
      <c r="Q775" s="117"/>
      <c r="R775" s="117"/>
    </row>
    <row r="776" spans="1:18" ht="27" customHeight="1">
      <c r="A776" s="117">
        <v>771</v>
      </c>
      <c r="B776" s="117" t="s">
        <v>1487</v>
      </c>
      <c r="C776" s="117" t="s">
        <v>1639</v>
      </c>
      <c r="D776" s="117" t="s">
        <v>1640</v>
      </c>
      <c r="E776" s="117" t="s">
        <v>0</v>
      </c>
      <c r="F776" s="117">
        <v>684</v>
      </c>
      <c r="G776" s="117">
        <v>65</v>
      </c>
      <c r="H776" s="117">
        <v>65</v>
      </c>
      <c r="I776" s="117"/>
      <c r="J776" s="117"/>
      <c r="K776" s="117" t="s">
        <v>2088</v>
      </c>
      <c r="L776" s="117" t="s">
        <v>1578</v>
      </c>
      <c r="M776" s="117" t="s">
        <v>17</v>
      </c>
      <c r="N776" s="117" t="s">
        <v>18</v>
      </c>
      <c r="O776" s="117"/>
      <c r="P776" s="117"/>
      <c r="Q776" s="117"/>
      <c r="R776" s="117"/>
    </row>
    <row r="777" spans="1:18" ht="27" customHeight="1">
      <c r="A777" s="117">
        <v>772</v>
      </c>
      <c r="B777" s="117" t="s">
        <v>1487</v>
      </c>
      <c r="C777" s="117" t="s">
        <v>1480</v>
      </c>
      <c r="D777" s="117" t="s">
        <v>1641</v>
      </c>
      <c r="E777" s="117" t="s">
        <v>0</v>
      </c>
      <c r="F777" s="117">
        <v>261</v>
      </c>
      <c r="G777" s="117">
        <v>78</v>
      </c>
      <c r="H777" s="117">
        <v>78</v>
      </c>
      <c r="I777" s="117"/>
      <c r="J777" s="117"/>
      <c r="K777" s="117" t="s">
        <v>2088</v>
      </c>
      <c r="L777" s="117" t="s">
        <v>1578</v>
      </c>
      <c r="M777" s="117" t="s">
        <v>17</v>
      </c>
      <c r="N777" s="117" t="s">
        <v>18</v>
      </c>
      <c r="O777" s="117"/>
      <c r="P777" s="117"/>
      <c r="Q777" s="117"/>
      <c r="R777" s="117"/>
    </row>
    <row r="778" spans="1:18" ht="27" customHeight="1">
      <c r="A778" s="117">
        <v>773</v>
      </c>
      <c r="B778" s="117" t="s">
        <v>1487</v>
      </c>
      <c r="C778" s="117" t="s">
        <v>1486</v>
      </c>
      <c r="D778" s="117" t="s">
        <v>1642</v>
      </c>
      <c r="E778" s="117" t="s">
        <v>6</v>
      </c>
      <c r="F778" s="117">
        <v>3107</v>
      </c>
      <c r="G778" s="117">
        <v>510</v>
      </c>
      <c r="H778" s="117">
        <v>510</v>
      </c>
      <c r="I778" s="117"/>
      <c r="J778" s="117"/>
      <c r="K778" s="117" t="s">
        <v>2088</v>
      </c>
      <c r="L778" s="117" t="s">
        <v>1578</v>
      </c>
      <c r="M778" s="117" t="s">
        <v>17</v>
      </c>
      <c r="N778" s="117" t="s">
        <v>18</v>
      </c>
      <c r="O778" s="117"/>
      <c r="P778" s="117"/>
      <c r="Q778" s="117"/>
      <c r="R778" s="117"/>
    </row>
    <row r="779" spans="1:18" ht="27" customHeight="1">
      <c r="A779" s="117">
        <v>774</v>
      </c>
      <c r="B779" s="117" t="s">
        <v>1487</v>
      </c>
      <c r="C779" s="117" t="s">
        <v>1484</v>
      </c>
      <c r="D779" s="117" t="s">
        <v>1643</v>
      </c>
      <c r="E779" s="117" t="s">
        <v>11</v>
      </c>
      <c r="F779" s="117">
        <v>179</v>
      </c>
      <c r="G779" s="117">
        <v>68</v>
      </c>
      <c r="H779" s="117">
        <v>68</v>
      </c>
      <c r="I779" s="117"/>
      <c r="J779" s="117"/>
      <c r="K779" s="117" t="s">
        <v>1935</v>
      </c>
      <c r="L779" s="117" t="s">
        <v>1583</v>
      </c>
      <c r="M779" s="117" t="s">
        <v>17</v>
      </c>
      <c r="N779" s="117" t="s">
        <v>18</v>
      </c>
      <c r="O779" s="117"/>
      <c r="P779" s="117"/>
      <c r="Q779" s="117"/>
      <c r="R779" s="117"/>
    </row>
    <row r="780" spans="1:18" ht="27" customHeight="1">
      <c r="A780" s="117">
        <v>775</v>
      </c>
      <c r="B780" s="117" t="s">
        <v>1487</v>
      </c>
      <c r="C780" s="117" t="s">
        <v>1644</v>
      </c>
      <c r="D780" s="117" t="s">
        <v>1645</v>
      </c>
      <c r="E780" s="117" t="s">
        <v>6</v>
      </c>
      <c r="F780" s="117">
        <v>1631</v>
      </c>
      <c r="G780" s="117">
        <v>536</v>
      </c>
      <c r="H780" s="117">
        <v>536</v>
      </c>
      <c r="I780" s="117"/>
      <c r="J780" s="117"/>
      <c r="K780" s="117" t="s">
        <v>2092</v>
      </c>
      <c r="L780" s="117" t="s">
        <v>1646</v>
      </c>
      <c r="M780" s="117" t="s">
        <v>17</v>
      </c>
      <c r="N780" s="117" t="s">
        <v>18</v>
      </c>
      <c r="O780" s="117"/>
      <c r="P780" s="117"/>
      <c r="Q780" s="117"/>
      <c r="R780" s="117"/>
    </row>
    <row r="781" spans="1:18" ht="27" customHeight="1">
      <c r="A781" s="117">
        <v>776</v>
      </c>
      <c r="B781" s="117" t="s">
        <v>1487</v>
      </c>
      <c r="C781" s="117" t="s">
        <v>1647</v>
      </c>
      <c r="D781" s="117" t="s">
        <v>1648</v>
      </c>
      <c r="E781" s="117" t="s">
        <v>6</v>
      </c>
      <c r="F781" s="117">
        <v>3141</v>
      </c>
      <c r="G781" s="117">
        <v>323</v>
      </c>
      <c r="H781" s="117">
        <v>323</v>
      </c>
      <c r="I781" s="117"/>
      <c r="J781" s="117"/>
      <c r="K781" s="117" t="s">
        <v>2093</v>
      </c>
      <c r="L781" s="117" t="s">
        <v>1649</v>
      </c>
      <c r="M781" s="117" t="s">
        <v>17</v>
      </c>
      <c r="N781" s="117" t="s">
        <v>18</v>
      </c>
      <c r="O781" s="117"/>
      <c r="P781" s="117"/>
      <c r="Q781" s="117"/>
      <c r="R781" s="117"/>
    </row>
    <row r="782" spans="1:18" ht="27" customHeight="1">
      <c r="A782" s="117">
        <v>777</v>
      </c>
      <c r="B782" s="117" t="s">
        <v>1487</v>
      </c>
      <c r="C782" s="117" t="s">
        <v>1647</v>
      </c>
      <c r="D782" s="117" t="s">
        <v>1650</v>
      </c>
      <c r="E782" s="117" t="s">
        <v>6</v>
      </c>
      <c r="F782" s="117">
        <v>3141</v>
      </c>
      <c r="G782" s="117">
        <v>167</v>
      </c>
      <c r="H782" s="117">
        <v>167</v>
      </c>
      <c r="I782" s="117"/>
      <c r="J782" s="117"/>
      <c r="K782" s="117" t="s">
        <v>2093</v>
      </c>
      <c r="L782" s="117" t="s">
        <v>1649</v>
      </c>
      <c r="M782" s="117" t="s">
        <v>17</v>
      </c>
      <c r="N782" s="117" t="s">
        <v>18</v>
      </c>
      <c r="O782" s="117"/>
      <c r="P782" s="117"/>
      <c r="Q782" s="117"/>
      <c r="R782" s="117"/>
    </row>
    <row r="783" spans="1:18" ht="27" customHeight="1">
      <c r="A783" s="117">
        <v>778</v>
      </c>
      <c r="B783" s="117" t="s">
        <v>1487</v>
      </c>
      <c r="C783" s="117" t="s">
        <v>1651</v>
      </c>
      <c r="D783" s="117" t="s">
        <v>1652</v>
      </c>
      <c r="E783" s="117" t="s">
        <v>0</v>
      </c>
      <c r="F783" s="117">
        <v>1474</v>
      </c>
      <c r="G783" s="117">
        <v>1217</v>
      </c>
      <c r="H783" s="117">
        <v>1217</v>
      </c>
      <c r="I783" s="117"/>
      <c r="J783" s="117"/>
      <c r="K783" s="117" t="s">
        <v>2094</v>
      </c>
      <c r="L783" s="117" t="s">
        <v>1653</v>
      </c>
      <c r="M783" s="117" t="s">
        <v>17</v>
      </c>
      <c r="N783" s="117" t="s">
        <v>18</v>
      </c>
      <c r="O783" s="117"/>
      <c r="P783" s="117"/>
      <c r="Q783" s="117"/>
      <c r="R783" s="117"/>
    </row>
    <row r="784" spans="1:18" ht="27" customHeight="1">
      <c r="A784" s="117">
        <v>779</v>
      </c>
      <c r="B784" s="117" t="s">
        <v>1487</v>
      </c>
      <c r="C784" s="117" t="s">
        <v>1654</v>
      </c>
      <c r="D784" s="117" t="s">
        <v>1655</v>
      </c>
      <c r="E784" s="117" t="s">
        <v>0</v>
      </c>
      <c r="F784" s="117">
        <v>2426</v>
      </c>
      <c r="G784" s="117">
        <v>1925</v>
      </c>
      <c r="H784" s="117">
        <v>1925</v>
      </c>
      <c r="I784" s="117"/>
      <c r="J784" s="117"/>
      <c r="K784" s="117" t="s">
        <v>2089</v>
      </c>
      <c r="L784" s="117" t="s">
        <v>1610</v>
      </c>
      <c r="M784" s="117" t="s">
        <v>17</v>
      </c>
      <c r="N784" s="117" t="s">
        <v>18</v>
      </c>
      <c r="O784" s="117"/>
      <c r="P784" s="117"/>
      <c r="Q784" s="117"/>
      <c r="R784" s="117"/>
    </row>
    <row r="785" spans="1:18" ht="27" customHeight="1">
      <c r="A785" s="117">
        <v>780</v>
      </c>
      <c r="B785" s="117" t="s">
        <v>1487</v>
      </c>
      <c r="C785" s="117" t="s">
        <v>1656</v>
      </c>
      <c r="D785" s="117" t="s">
        <v>1656</v>
      </c>
      <c r="E785" s="117" t="s">
        <v>3</v>
      </c>
      <c r="F785" s="117">
        <v>20</v>
      </c>
      <c r="G785" s="117">
        <v>20</v>
      </c>
      <c r="H785" s="117">
        <v>20</v>
      </c>
      <c r="I785" s="117"/>
      <c r="J785" s="117"/>
      <c r="K785" s="117" t="s">
        <v>205</v>
      </c>
      <c r="L785" s="117"/>
      <c r="M785" s="117" t="s">
        <v>17</v>
      </c>
      <c r="N785" s="117" t="s">
        <v>205</v>
      </c>
      <c r="O785" s="117"/>
      <c r="P785" s="117"/>
      <c r="Q785" s="117"/>
      <c r="R785" s="117"/>
    </row>
    <row r="786" spans="1:18" ht="27" customHeight="1">
      <c r="A786" s="117">
        <v>781</v>
      </c>
      <c r="B786" s="117" t="s">
        <v>1487</v>
      </c>
      <c r="C786" s="117" t="s">
        <v>1657</v>
      </c>
      <c r="D786" s="117" t="s">
        <v>1658</v>
      </c>
      <c r="E786" s="117" t="s">
        <v>11</v>
      </c>
      <c r="F786" s="117">
        <v>13488</v>
      </c>
      <c r="G786" s="117">
        <v>4000</v>
      </c>
      <c r="H786" s="117">
        <v>4000</v>
      </c>
      <c r="I786" s="117"/>
      <c r="J786" s="117"/>
      <c r="K786" s="117" t="s">
        <v>2095</v>
      </c>
      <c r="L786" s="117" t="s">
        <v>1629</v>
      </c>
      <c r="M786" s="117" t="s">
        <v>17</v>
      </c>
      <c r="N786" s="117" t="s">
        <v>18</v>
      </c>
      <c r="O786" s="117"/>
      <c r="P786" s="117"/>
      <c r="Q786" s="117"/>
      <c r="R786" s="117"/>
    </row>
    <row r="787" spans="1:18" ht="27" customHeight="1">
      <c r="A787" s="117">
        <v>782</v>
      </c>
      <c r="B787" s="117" t="s">
        <v>1487</v>
      </c>
      <c r="C787" s="117" t="s">
        <v>1659</v>
      </c>
      <c r="D787" s="117" t="s">
        <v>1660</v>
      </c>
      <c r="E787" s="117" t="s">
        <v>1351</v>
      </c>
      <c r="F787" s="117">
        <v>545</v>
      </c>
      <c r="G787" s="117">
        <v>10</v>
      </c>
      <c r="H787" s="117"/>
      <c r="I787" s="117"/>
      <c r="J787" s="117"/>
      <c r="K787" s="117" t="s">
        <v>2088</v>
      </c>
      <c r="L787" s="117" t="s">
        <v>1581</v>
      </c>
      <c r="M787" s="117" t="s">
        <v>2088</v>
      </c>
      <c r="N787" s="117" t="s">
        <v>1581</v>
      </c>
      <c r="O787" s="117"/>
      <c r="P787" s="117"/>
      <c r="Q787" s="117"/>
      <c r="R787" s="117" t="s">
        <v>1245</v>
      </c>
    </row>
    <row r="788" spans="1:18" ht="27" customHeight="1">
      <c r="A788" s="117">
        <v>783</v>
      </c>
      <c r="B788" s="117" t="s">
        <v>1487</v>
      </c>
      <c r="C788" s="117" t="s">
        <v>645</v>
      </c>
      <c r="D788" s="117" t="s">
        <v>644</v>
      </c>
      <c r="E788" s="117" t="s">
        <v>3</v>
      </c>
      <c r="F788" s="117">
        <v>4</v>
      </c>
      <c r="G788" s="117"/>
      <c r="H788" s="117">
        <v>4</v>
      </c>
      <c r="I788" s="117"/>
      <c r="J788" s="117"/>
      <c r="K788" s="117" t="s">
        <v>17</v>
      </c>
      <c r="L788" s="117" t="s">
        <v>1269</v>
      </c>
      <c r="M788" s="117" t="s">
        <v>17</v>
      </c>
      <c r="N788" s="117" t="s">
        <v>1269</v>
      </c>
      <c r="O788" s="117"/>
      <c r="P788" s="117"/>
      <c r="Q788" s="117"/>
      <c r="R788" s="117" t="s">
        <v>1337</v>
      </c>
    </row>
    <row r="789" spans="1:18" ht="27" customHeight="1">
      <c r="A789" s="117">
        <v>784</v>
      </c>
      <c r="B789" s="117" t="s">
        <v>1487</v>
      </c>
      <c r="C789" s="117" t="s">
        <v>1454</v>
      </c>
      <c r="D789" s="117" t="s">
        <v>1454</v>
      </c>
      <c r="E789" s="117" t="s">
        <v>3</v>
      </c>
      <c r="F789" s="117">
        <v>114</v>
      </c>
      <c r="G789" s="117"/>
      <c r="H789" s="117">
        <v>114</v>
      </c>
      <c r="I789" s="117"/>
      <c r="J789" s="117"/>
      <c r="K789" s="117" t="s">
        <v>18</v>
      </c>
      <c r="L789" s="117"/>
      <c r="M789" s="117" t="s">
        <v>17</v>
      </c>
      <c r="N789" s="117" t="s">
        <v>18</v>
      </c>
      <c r="O789" s="117"/>
      <c r="P789" s="117"/>
      <c r="Q789" s="117"/>
      <c r="R789" s="117"/>
    </row>
    <row r="790" spans="1:18" ht="27" customHeight="1">
      <c r="A790" s="117">
        <v>785</v>
      </c>
      <c r="B790" s="117" t="s">
        <v>1487</v>
      </c>
      <c r="C790" s="117" t="s">
        <v>1661</v>
      </c>
      <c r="D790" s="117" t="s">
        <v>1661</v>
      </c>
      <c r="E790" s="117" t="s">
        <v>3</v>
      </c>
      <c r="F790" s="117">
        <v>59</v>
      </c>
      <c r="G790" s="117"/>
      <c r="H790" s="117">
        <v>59</v>
      </c>
      <c r="I790" s="117"/>
      <c r="J790" s="117"/>
      <c r="K790" s="117" t="s">
        <v>18</v>
      </c>
      <c r="L790" s="117"/>
      <c r="M790" s="117" t="s">
        <v>17</v>
      </c>
      <c r="N790" s="117" t="s">
        <v>18</v>
      </c>
      <c r="O790" s="117"/>
      <c r="P790" s="117"/>
      <c r="Q790" s="117"/>
      <c r="R790" s="117" t="s">
        <v>1356</v>
      </c>
    </row>
    <row r="791" spans="1:18" ht="27" customHeight="1">
      <c r="A791" s="117">
        <v>786</v>
      </c>
      <c r="B791" s="117" t="s">
        <v>1487</v>
      </c>
      <c r="C791" s="117" t="s">
        <v>1662</v>
      </c>
      <c r="D791" s="117" t="s">
        <v>1662</v>
      </c>
      <c r="E791" s="117" t="s">
        <v>3</v>
      </c>
      <c r="F791" s="117">
        <v>100</v>
      </c>
      <c r="G791" s="117"/>
      <c r="H791" s="117">
        <v>100</v>
      </c>
      <c r="I791" s="117"/>
      <c r="J791" s="117"/>
      <c r="K791" s="117" t="s">
        <v>18</v>
      </c>
      <c r="L791" s="117"/>
      <c r="M791" s="117" t="s">
        <v>17</v>
      </c>
      <c r="N791" s="117" t="s">
        <v>18</v>
      </c>
      <c r="O791" s="117"/>
      <c r="P791" s="117"/>
      <c r="Q791" s="117"/>
      <c r="R791" s="117" t="s">
        <v>1356</v>
      </c>
    </row>
    <row r="792" spans="1:18" ht="27" customHeight="1">
      <c r="A792" s="117">
        <v>787</v>
      </c>
      <c r="B792" s="117" t="s">
        <v>1487</v>
      </c>
      <c r="C792" s="117" t="s">
        <v>1663</v>
      </c>
      <c r="D792" s="117" t="s">
        <v>1663</v>
      </c>
      <c r="E792" s="117" t="s">
        <v>3</v>
      </c>
      <c r="F792" s="117">
        <v>112</v>
      </c>
      <c r="G792" s="117"/>
      <c r="H792" s="117">
        <v>112</v>
      </c>
      <c r="I792" s="117"/>
      <c r="J792" s="117"/>
      <c r="K792" s="117" t="s">
        <v>1263</v>
      </c>
      <c r="L792" s="117"/>
      <c r="M792" s="117" t="s">
        <v>17</v>
      </c>
      <c r="N792" s="117" t="s">
        <v>205</v>
      </c>
      <c r="O792" s="117"/>
      <c r="P792" s="117"/>
      <c r="Q792" s="117"/>
      <c r="R792" s="117" t="s">
        <v>1356</v>
      </c>
    </row>
    <row r="793" spans="1:18" ht="27" customHeight="1">
      <c r="A793" s="117">
        <v>788</v>
      </c>
      <c r="B793" s="117" t="s">
        <v>1487</v>
      </c>
      <c r="C793" s="117" t="s">
        <v>1664</v>
      </c>
      <c r="D793" s="117" t="s">
        <v>1664</v>
      </c>
      <c r="E793" s="117" t="s">
        <v>3</v>
      </c>
      <c r="F793" s="117">
        <v>310</v>
      </c>
      <c r="G793" s="117"/>
      <c r="H793" s="117">
        <v>310</v>
      </c>
      <c r="I793" s="117"/>
      <c r="J793" s="117"/>
      <c r="K793" s="117" t="s">
        <v>18</v>
      </c>
      <c r="L793" s="117"/>
      <c r="M793" s="117" t="s">
        <v>17</v>
      </c>
      <c r="N793" s="117" t="s">
        <v>18</v>
      </c>
      <c r="O793" s="117"/>
      <c r="P793" s="117"/>
      <c r="Q793" s="117"/>
      <c r="R793" s="117" t="s">
        <v>1356</v>
      </c>
    </row>
    <row r="794" spans="1:18" ht="27" customHeight="1">
      <c r="A794" s="117">
        <v>789</v>
      </c>
      <c r="B794" s="117" t="s">
        <v>1487</v>
      </c>
      <c r="C794" s="117" t="s">
        <v>1095</v>
      </c>
      <c r="D794" s="117" t="s">
        <v>1095</v>
      </c>
      <c r="E794" s="117" t="s">
        <v>6</v>
      </c>
      <c r="F794" s="117">
        <v>93</v>
      </c>
      <c r="G794" s="117"/>
      <c r="H794" s="117">
        <v>93</v>
      </c>
      <c r="I794" s="117"/>
      <c r="J794" s="117"/>
      <c r="K794" s="117" t="s">
        <v>17</v>
      </c>
      <c r="L794" s="117" t="s">
        <v>1269</v>
      </c>
      <c r="M794" s="117" t="s">
        <v>17</v>
      </c>
      <c r="N794" s="117" t="s">
        <v>1269</v>
      </c>
      <c r="O794" s="117"/>
      <c r="P794" s="117"/>
      <c r="Q794" s="117"/>
      <c r="R794" s="117" t="s">
        <v>1356</v>
      </c>
    </row>
    <row r="795" spans="1:18" ht="27" customHeight="1">
      <c r="A795" s="117">
        <v>790</v>
      </c>
      <c r="B795" s="117" t="s">
        <v>1487</v>
      </c>
      <c r="C795" s="117" t="s">
        <v>889</v>
      </c>
      <c r="D795" s="117" t="s">
        <v>888</v>
      </c>
      <c r="E795" s="117" t="s">
        <v>3</v>
      </c>
      <c r="F795" s="117">
        <v>587</v>
      </c>
      <c r="G795" s="117">
        <v>27</v>
      </c>
      <c r="H795" s="117">
        <v>26</v>
      </c>
      <c r="I795" s="117"/>
      <c r="J795" s="117"/>
      <c r="K795" s="117" t="s">
        <v>18</v>
      </c>
      <c r="L795" s="117"/>
      <c r="M795" s="117" t="s">
        <v>17</v>
      </c>
      <c r="N795" s="117" t="s">
        <v>18</v>
      </c>
      <c r="O795" s="117"/>
      <c r="P795" s="117"/>
      <c r="Q795" s="117"/>
      <c r="R795" s="117"/>
    </row>
    <row r="796" spans="1:18" ht="27" customHeight="1">
      <c r="A796" s="117">
        <v>791</v>
      </c>
      <c r="B796" s="117" t="s">
        <v>1665</v>
      </c>
      <c r="C796" s="117" t="s">
        <v>51</v>
      </c>
      <c r="D796" s="117" t="s">
        <v>1666</v>
      </c>
      <c r="E796" s="117" t="s">
        <v>6</v>
      </c>
      <c r="F796" s="117">
        <v>304</v>
      </c>
      <c r="G796" s="117">
        <v>208</v>
      </c>
      <c r="H796" s="117">
        <v>208</v>
      </c>
      <c r="I796" s="117"/>
      <c r="J796" s="117"/>
      <c r="K796" s="117" t="s">
        <v>2096</v>
      </c>
      <c r="L796" s="117" t="s">
        <v>1667</v>
      </c>
      <c r="M796" s="117" t="s">
        <v>17</v>
      </c>
      <c r="N796" s="117" t="s">
        <v>18</v>
      </c>
      <c r="O796" s="117"/>
      <c r="P796" s="117"/>
      <c r="Q796" s="117"/>
      <c r="R796" s="117"/>
    </row>
    <row r="797" spans="1:18" ht="27" customHeight="1">
      <c r="A797" s="117">
        <v>792</v>
      </c>
      <c r="B797" s="117" t="s">
        <v>1665</v>
      </c>
      <c r="C797" s="117" t="s">
        <v>52</v>
      </c>
      <c r="D797" s="117" t="s">
        <v>1668</v>
      </c>
      <c r="E797" s="117" t="s">
        <v>6</v>
      </c>
      <c r="F797" s="117">
        <v>2410</v>
      </c>
      <c r="G797" s="117">
        <v>1642</v>
      </c>
      <c r="H797" s="117">
        <v>1642</v>
      </c>
      <c r="I797" s="117"/>
      <c r="J797" s="117"/>
      <c r="K797" s="117" t="s">
        <v>2097</v>
      </c>
      <c r="L797" s="117" t="s">
        <v>1669</v>
      </c>
      <c r="M797" s="117" t="s">
        <v>17</v>
      </c>
      <c r="N797" s="117" t="s">
        <v>18</v>
      </c>
      <c r="O797" s="117"/>
      <c r="P797" s="117"/>
      <c r="Q797" s="117"/>
      <c r="R797" s="117"/>
    </row>
    <row r="798" spans="1:18" ht="27" customHeight="1">
      <c r="A798" s="117">
        <v>793</v>
      </c>
      <c r="B798" s="117" t="s">
        <v>1665</v>
      </c>
      <c r="C798" s="117" t="s">
        <v>50</v>
      </c>
      <c r="D798" s="117" t="s">
        <v>48</v>
      </c>
      <c r="E798" s="117" t="s">
        <v>11</v>
      </c>
      <c r="F798" s="117">
        <v>14579</v>
      </c>
      <c r="G798" s="117">
        <v>6942</v>
      </c>
      <c r="H798" s="117">
        <v>6942</v>
      </c>
      <c r="I798" s="117"/>
      <c r="J798" s="117"/>
      <c r="K798" s="117" t="s">
        <v>2098</v>
      </c>
      <c r="L798" s="117" t="s">
        <v>1670</v>
      </c>
      <c r="M798" s="117" t="s">
        <v>17</v>
      </c>
      <c r="N798" s="117" t="s">
        <v>18</v>
      </c>
      <c r="O798" s="117"/>
      <c r="P798" s="117"/>
      <c r="Q798" s="117"/>
      <c r="R798" s="117"/>
    </row>
    <row r="799" spans="1:18" ht="27" customHeight="1">
      <c r="A799" s="117">
        <v>794</v>
      </c>
      <c r="B799" s="117" t="s">
        <v>1665</v>
      </c>
      <c r="C799" s="117" t="s">
        <v>50</v>
      </c>
      <c r="D799" s="117" t="s">
        <v>1671</v>
      </c>
      <c r="E799" s="117" t="s">
        <v>11</v>
      </c>
      <c r="F799" s="117">
        <v>14579</v>
      </c>
      <c r="G799" s="117">
        <v>1169</v>
      </c>
      <c r="H799" s="117">
        <v>1169</v>
      </c>
      <c r="I799" s="117"/>
      <c r="J799" s="117"/>
      <c r="K799" s="117" t="s">
        <v>2098</v>
      </c>
      <c r="L799" s="117" t="s">
        <v>1670</v>
      </c>
      <c r="M799" s="117" t="s">
        <v>17</v>
      </c>
      <c r="N799" s="117" t="s">
        <v>18</v>
      </c>
      <c r="O799" s="117"/>
      <c r="P799" s="117"/>
      <c r="Q799" s="117"/>
      <c r="R799" s="117"/>
    </row>
    <row r="800" spans="1:18" ht="27" customHeight="1">
      <c r="A800" s="117">
        <v>795</v>
      </c>
      <c r="B800" s="117" t="s">
        <v>1665</v>
      </c>
      <c r="C800" s="117" t="s">
        <v>1103</v>
      </c>
      <c r="D800" s="117" t="s">
        <v>1672</v>
      </c>
      <c r="E800" s="117" t="s">
        <v>11</v>
      </c>
      <c r="F800" s="117">
        <v>974</v>
      </c>
      <c r="G800" s="117">
        <v>943</v>
      </c>
      <c r="H800" s="117">
        <v>943</v>
      </c>
      <c r="I800" s="117"/>
      <c r="J800" s="117"/>
      <c r="K800" s="117" t="s">
        <v>2033</v>
      </c>
      <c r="L800" s="117" t="s">
        <v>1673</v>
      </c>
      <c r="M800" s="117" t="s">
        <v>17</v>
      </c>
      <c r="N800" s="117" t="s">
        <v>18</v>
      </c>
      <c r="O800" s="117"/>
      <c r="P800" s="117"/>
      <c r="Q800" s="117"/>
      <c r="R800" s="117"/>
    </row>
    <row r="801" spans="1:18" ht="27" customHeight="1">
      <c r="A801" s="117">
        <v>796</v>
      </c>
      <c r="B801" s="117" t="s">
        <v>1665</v>
      </c>
      <c r="C801" s="117" t="s">
        <v>1007</v>
      </c>
      <c r="D801" s="117" t="s">
        <v>1674</v>
      </c>
      <c r="E801" s="117" t="s">
        <v>11</v>
      </c>
      <c r="F801" s="117">
        <v>972</v>
      </c>
      <c r="G801" s="117">
        <v>807</v>
      </c>
      <c r="H801" s="117">
        <v>807</v>
      </c>
      <c r="I801" s="117"/>
      <c r="J801" s="117"/>
      <c r="K801" s="117" t="s">
        <v>2033</v>
      </c>
      <c r="L801" s="117" t="s">
        <v>1673</v>
      </c>
      <c r="M801" s="117" t="s">
        <v>17</v>
      </c>
      <c r="N801" s="117" t="s">
        <v>18</v>
      </c>
      <c r="O801" s="117"/>
      <c r="P801" s="117"/>
      <c r="Q801" s="117"/>
      <c r="R801" s="117"/>
    </row>
    <row r="802" spans="1:18" ht="27" customHeight="1">
      <c r="A802" s="117">
        <v>797</v>
      </c>
      <c r="B802" s="117" t="s">
        <v>1665</v>
      </c>
      <c r="C802" s="117" t="s">
        <v>1104</v>
      </c>
      <c r="D802" s="117" t="s">
        <v>1675</v>
      </c>
      <c r="E802" s="117" t="s">
        <v>11</v>
      </c>
      <c r="F802" s="117">
        <v>952</v>
      </c>
      <c r="G802" s="117">
        <v>878</v>
      </c>
      <c r="H802" s="117">
        <v>878</v>
      </c>
      <c r="I802" s="117"/>
      <c r="J802" s="117"/>
      <c r="K802" s="117" t="s">
        <v>2033</v>
      </c>
      <c r="L802" s="117" t="s">
        <v>1673</v>
      </c>
      <c r="M802" s="117" t="s">
        <v>17</v>
      </c>
      <c r="N802" s="117" t="s">
        <v>18</v>
      </c>
      <c r="O802" s="117"/>
      <c r="P802" s="117"/>
      <c r="Q802" s="117"/>
      <c r="R802" s="117"/>
    </row>
    <row r="803" spans="1:18" ht="27" customHeight="1">
      <c r="A803" s="117">
        <v>798</v>
      </c>
      <c r="B803" s="117" t="s">
        <v>1665</v>
      </c>
      <c r="C803" s="117" t="s">
        <v>1105</v>
      </c>
      <c r="D803" s="117" t="s">
        <v>1676</v>
      </c>
      <c r="E803" s="117" t="s">
        <v>11</v>
      </c>
      <c r="F803" s="117">
        <v>62876</v>
      </c>
      <c r="G803" s="117">
        <v>193</v>
      </c>
      <c r="H803" s="117">
        <v>193</v>
      </c>
      <c r="I803" s="117"/>
      <c r="J803" s="117"/>
      <c r="K803" s="117" t="s">
        <v>2099</v>
      </c>
      <c r="L803" s="117" t="s">
        <v>1677</v>
      </c>
      <c r="M803" s="117" t="s">
        <v>17</v>
      </c>
      <c r="N803" s="117" t="s">
        <v>18</v>
      </c>
      <c r="O803" s="117"/>
      <c r="P803" s="117"/>
      <c r="Q803" s="117"/>
      <c r="R803" s="117"/>
    </row>
    <row r="804" spans="1:18" ht="27" customHeight="1">
      <c r="A804" s="117">
        <v>799</v>
      </c>
      <c r="B804" s="117" t="s">
        <v>1665</v>
      </c>
      <c r="C804" s="117" t="s">
        <v>1106</v>
      </c>
      <c r="D804" s="117" t="s">
        <v>1678</v>
      </c>
      <c r="E804" s="117" t="s">
        <v>2</v>
      </c>
      <c r="F804" s="117">
        <v>375</v>
      </c>
      <c r="G804" s="117">
        <v>301</v>
      </c>
      <c r="H804" s="117">
        <v>301</v>
      </c>
      <c r="I804" s="117"/>
      <c r="J804" s="117"/>
      <c r="K804" s="117" t="s">
        <v>17</v>
      </c>
      <c r="L804" s="117" t="s">
        <v>72</v>
      </c>
      <c r="M804" s="117" t="s">
        <v>17</v>
      </c>
      <c r="N804" s="117" t="s">
        <v>72</v>
      </c>
      <c r="O804" s="117"/>
      <c r="P804" s="117"/>
      <c r="Q804" s="117"/>
      <c r="R804" s="117"/>
    </row>
    <row r="805" spans="1:18" ht="27" customHeight="1">
      <c r="A805" s="117">
        <v>800</v>
      </c>
      <c r="B805" s="117" t="s">
        <v>1665</v>
      </c>
      <c r="C805" s="117" t="s">
        <v>989</v>
      </c>
      <c r="D805" s="117" t="s">
        <v>989</v>
      </c>
      <c r="E805" s="117" t="s">
        <v>0</v>
      </c>
      <c r="F805" s="117">
        <v>467</v>
      </c>
      <c r="G805" s="117">
        <v>467</v>
      </c>
      <c r="H805" s="117">
        <v>467</v>
      </c>
      <c r="I805" s="117"/>
      <c r="J805" s="117"/>
      <c r="K805" s="117" t="s">
        <v>17</v>
      </c>
      <c r="L805" s="117" t="s">
        <v>400</v>
      </c>
      <c r="M805" s="117" t="s">
        <v>17</v>
      </c>
      <c r="N805" s="117" t="s">
        <v>18</v>
      </c>
      <c r="O805" s="117"/>
      <c r="P805" s="117"/>
      <c r="Q805" s="117"/>
      <c r="R805" s="117"/>
    </row>
    <row r="806" spans="1:18" ht="27" customHeight="1">
      <c r="A806" s="117">
        <v>801</v>
      </c>
      <c r="B806" s="117" t="s">
        <v>1665</v>
      </c>
      <c r="C806" s="117" t="s">
        <v>1107</v>
      </c>
      <c r="D806" s="117" t="s">
        <v>1679</v>
      </c>
      <c r="E806" s="117" t="s">
        <v>2</v>
      </c>
      <c r="F806" s="117">
        <v>4920</v>
      </c>
      <c r="G806" s="117">
        <v>82</v>
      </c>
      <c r="H806" s="117">
        <v>82</v>
      </c>
      <c r="I806" s="117"/>
      <c r="J806" s="117"/>
      <c r="K806" s="117" t="s">
        <v>17</v>
      </c>
      <c r="L806" s="117" t="s">
        <v>72</v>
      </c>
      <c r="M806" s="117" t="s">
        <v>17</v>
      </c>
      <c r="N806" s="117" t="s">
        <v>72</v>
      </c>
      <c r="O806" s="117"/>
      <c r="P806" s="117"/>
      <c r="Q806" s="117"/>
      <c r="R806" s="117"/>
    </row>
    <row r="807" spans="1:18" ht="27" customHeight="1">
      <c r="A807" s="117">
        <v>802</v>
      </c>
      <c r="B807" s="117" t="s">
        <v>1665</v>
      </c>
      <c r="C807" s="117" t="s">
        <v>1108</v>
      </c>
      <c r="D807" s="117" t="s">
        <v>1680</v>
      </c>
      <c r="E807" s="117" t="s">
        <v>3</v>
      </c>
      <c r="F807" s="117">
        <v>13623</v>
      </c>
      <c r="G807" s="117">
        <v>172.9</v>
      </c>
      <c r="H807" s="117">
        <v>172.9</v>
      </c>
      <c r="I807" s="117"/>
      <c r="J807" s="117"/>
      <c r="K807" s="117" t="s">
        <v>17</v>
      </c>
      <c r="L807" s="117" t="s">
        <v>78</v>
      </c>
      <c r="M807" s="117" t="s">
        <v>17</v>
      </c>
      <c r="N807" s="117" t="s">
        <v>78</v>
      </c>
      <c r="O807" s="117"/>
      <c r="P807" s="117"/>
      <c r="Q807" s="117"/>
      <c r="R807" s="117"/>
    </row>
    <row r="808" spans="1:18" ht="27" customHeight="1">
      <c r="A808" s="117">
        <v>803</v>
      </c>
      <c r="B808" s="117" t="s">
        <v>1665</v>
      </c>
      <c r="C808" s="117" t="s">
        <v>1396</v>
      </c>
      <c r="D808" s="117" t="s">
        <v>1396</v>
      </c>
      <c r="E808" s="117" t="s">
        <v>3</v>
      </c>
      <c r="F808" s="117">
        <v>371.9</v>
      </c>
      <c r="G808" s="117">
        <v>371.9</v>
      </c>
      <c r="H808" s="117">
        <v>371.9</v>
      </c>
      <c r="I808" s="117"/>
      <c r="J808" s="117"/>
      <c r="K808" s="117" t="s">
        <v>17</v>
      </c>
      <c r="L808" s="117" t="s">
        <v>78</v>
      </c>
      <c r="M808" s="117" t="s">
        <v>17</v>
      </c>
      <c r="N808" s="117" t="s">
        <v>78</v>
      </c>
      <c r="O808" s="117"/>
      <c r="P808" s="117"/>
      <c r="Q808" s="117"/>
      <c r="R808" s="117"/>
    </row>
    <row r="809" spans="1:18" ht="27" customHeight="1">
      <c r="A809" s="117">
        <v>804</v>
      </c>
      <c r="B809" s="117" t="s">
        <v>1665</v>
      </c>
      <c r="C809" s="117" t="s">
        <v>1109</v>
      </c>
      <c r="D809" s="117" t="s">
        <v>1109</v>
      </c>
      <c r="E809" s="117" t="s">
        <v>0</v>
      </c>
      <c r="F809" s="117">
        <v>2615.8000000000002</v>
      </c>
      <c r="G809" s="117">
        <v>2615.8000000000002</v>
      </c>
      <c r="H809" s="117">
        <v>2615.8000000000002</v>
      </c>
      <c r="I809" s="117"/>
      <c r="J809" s="117"/>
      <c r="K809" s="117" t="s">
        <v>2082</v>
      </c>
      <c r="L809" s="117" t="s">
        <v>1681</v>
      </c>
      <c r="M809" s="117" t="s">
        <v>17</v>
      </c>
      <c r="N809" s="117" t="s">
        <v>18</v>
      </c>
      <c r="O809" s="117"/>
      <c r="P809" s="117"/>
      <c r="Q809" s="117"/>
      <c r="R809" s="117"/>
    </row>
    <row r="810" spans="1:18" ht="27" customHeight="1">
      <c r="A810" s="117">
        <v>805</v>
      </c>
      <c r="B810" s="117" t="s">
        <v>1665</v>
      </c>
      <c r="C810" s="117" t="s">
        <v>1110</v>
      </c>
      <c r="D810" s="117" t="s">
        <v>1682</v>
      </c>
      <c r="E810" s="117" t="s">
        <v>0</v>
      </c>
      <c r="F810" s="117">
        <v>2564.3000000000002</v>
      </c>
      <c r="G810" s="117">
        <v>2145.1</v>
      </c>
      <c r="H810" s="117">
        <v>2145.1</v>
      </c>
      <c r="I810" s="117"/>
      <c r="J810" s="117"/>
      <c r="K810" s="117" t="s">
        <v>2100</v>
      </c>
      <c r="L810" s="117" t="s">
        <v>1683</v>
      </c>
      <c r="M810" s="117" t="s">
        <v>17</v>
      </c>
      <c r="N810" s="117" t="s">
        <v>18</v>
      </c>
      <c r="O810" s="117"/>
      <c r="P810" s="117"/>
      <c r="Q810" s="117"/>
      <c r="R810" s="117"/>
    </row>
    <row r="811" spans="1:18" ht="27" customHeight="1">
      <c r="A811" s="117">
        <v>806</v>
      </c>
      <c r="B811" s="117" t="s">
        <v>1665</v>
      </c>
      <c r="C811" s="117" t="s">
        <v>1111</v>
      </c>
      <c r="D811" s="117" t="s">
        <v>1684</v>
      </c>
      <c r="E811" s="117" t="s">
        <v>0</v>
      </c>
      <c r="F811" s="117">
        <v>1614.8</v>
      </c>
      <c r="G811" s="117">
        <v>1446.3</v>
      </c>
      <c r="H811" s="117">
        <v>1446.3</v>
      </c>
      <c r="I811" s="117"/>
      <c r="J811" s="117"/>
      <c r="K811" s="117" t="s">
        <v>2100</v>
      </c>
      <c r="L811" s="117" t="s">
        <v>1683</v>
      </c>
      <c r="M811" s="117" t="s">
        <v>17</v>
      </c>
      <c r="N811" s="117" t="s">
        <v>18</v>
      </c>
      <c r="O811" s="117"/>
      <c r="P811" s="117"/>
      <c r="Q811" s="117"/>
      <c r="R811" s="117"/>
    </row>
    <row r="812" spans="1:18" ht="27" customHeight="1">
      <c r="A812" s="117">
        <v>807</v>
      </c>
      <c r="B812" s="117" t="s">
        <v>1665</v>
      </c>
      <c r="C812" s="117" t="s">
        <v>1027</v>
      </c>
      <c r="D812" s="117" t="s">
        <v>1685</v>
      </c>
      <c r="E812" s="117" t="s">
        <v>0</v>
      </c>
      <c r="F812" s="117">
        <v>709.3</v>
      </c>
      <c r="G812" s="117">
        <v>77.7</v>
      </c>
      <c r="H812" s="117">
        <v>77.7</v>
      </c>
      <c r="I812" s="117"/>
      <c r="J812" s="117"/>
      <c r="K812" s="117" t="s">
        <v>2101</v>
      </c>
      <c r="L812" s="117" t="s">
        <v>1686</v>
      </c>
      <c r="M812" s="117" t="s">
        <v>17</v>
      </c>
      <c r="N812" s="117" t="s">
        <v>18</v>
      </c>
      <c r="O812" s="117"/>
      <c r="P812" s="117"/>
      <c r="Q812" s="117"/>
      <c r="R812" s="117"/>
    </row>
    <row r="813" spans="1:18" ht="27" customHeight="1">
      <c r="A813" s="117">
        <v>808</v>
      </c>
      <c r="B813" s="117" t="s">
        <v>1665</v>
      </c>
      <c r="C813" s="117" t="s">
        <v>1112</v>
      </c>
      <c r="D813" s="117" t="s">
        <v>1687</v>
      </c>
      <c r="E813" s="117" t="s">
        <v>0</v>
      </c>
      <c r="F813" s="117">
        <v>4933.1000000000004</v>
      </c>
      <c r="G813" s="117">
        <v>4359.8</v>
      </c>
      <c r="H813" s="117">
        <v>4359.8</v>
      </c>
      <c r="I813" s="117"/>
      <c r="J813" s="117"/>
      <c r="K813" s="117" t="s">
        <v>2102</v>
      </c>
      <c r="L813" s="117" t="s">
        <v>1688</v>
      </c>
      <c r="M813" s="117" t="s">
        <v>17</v>
      </c>
      <c r="N813" s="117" t="s">
        <v>18</v>
      </c>
      <c r="O813" s="117"/>
      <c r="P813" s="117"/>
      <c r="Q813" s="117"/>
      <c r="R813" s="117"/>
    </row>
    <row r="814" spans="1:18" ht="27" customHeight="1">
      <c r="A814" s="117">
        <v>809</v>
      </c>
      <c r="B814" s="117" t="s">
        <v>1665</v>
      </c>
      <c r="C814" s="117" t="s">
        <v>1113</v>
      </c>
      <c r="D814" s="117" t="s">
        <v>1689</v>
      </c>
      <c r="E814" s="117" t="s">
        <v>2</v>
      </c>
      <c r="F814" s="117">
        <v>1182</v>
      </c>
      <c r="G814" s="117">
        <v>790</v>
      </c>
      <c r="H814" s="117">
        <v>790</v>
      </c>
      <c r="I814" s="117"/>
      <c r="J814" s="117"/>
      <c r="K814" s="117" t="s">
        <v>12</v>
      </c>
      <c r="L814" s="117" t="s">
        <v>1690</v>
      </c>
      <c r="M814" s="117" t="s">
        <v>17</v>
      </c>
      <c r="N814" s="117" t="s">
        <v>1269</v>
      </c>
      <c r="O814" s="117"/>
      <c r="P814" s="117"/>
      <c r="Q814" s="117"/>
      <c r="R814" s="117"/>
    </row>
    <row r="815" spans="1:18" ht="27" customHeight="1">
      <c r="A815" s="117">
        <v>810</v>
      </c>
      <c r="B815" s="117" t="s">
        <v>1665</v>
      </c>
      <c r="C815" s="117" t="s">
        <v>1114</v>
      </c>
      <c r="D815" s="117" t="s">
        <v>1114</v>
      </c>
      <c r="E815" s="117" t="s">
        <v>0</v>
      </c>
      <c r="F815" s="117">
        <v>320</v>
      </c>
      <c r="G815" s="117">
        <v>320</v>
      </c>
      <c r="H815" s="117">
        <v>320</v>
      </c>
      <c r="I815" s="117"/>
      <c r="J815" s="117"/>
      <c r="K815" s="117" t="s">
        <v>2103</v>
      </c>
      <c r="L815" s="117" t="s">
        <v>1691</v>
      </c>
      <c r="M815" s="117" t="s">
        <v>17</v>
      </c>
      <c r="N815" s="117" t="s">
        <v>18</v>
      </c>
      <c r="O815" s="117"/>
      <c r="P815" s="117"/>
      <c r="Q815" s="117"/>
      <c r="R815" s="117"/>
    </row>
    <row r="816" spans="1:18" ht="27" customHeight="1">
      <c r="A816" s="117">
        <v>811</v>
      </c>
      <c r="B816" s="117" t="s">
        <v>1665</v>
      </c>
      <c r="C816" s="117" t="s">
        <v>1115</v>
      </c>
      <c r="D816" s="117" t="s">
        <v>1692</v>
      </c>
      <c r="E816" s="117" t="s">
        <v>2</v>
      </c>
      <c r="F816" s="117">
        <v>1905</v>
      </c>
      <c r="G816" s="117">
        <v>56.6</v>
      </c>
      <c r="H816" s="117">
        <v>56.6</v>
      </c>
      <c r="I816" s="117"/>
      <c r="J816" s="117"/>
      <c r="K816" s="117" t="s">
        <v>12</v>
      </c>
      <c r="L816" s="117" t="s">
        <v>1690</v>
      </c>
      <c r="M816" s="117" t="s">
        <v>17</v>
      </c>
      <c r="N816" s="117" t="s">
        <v>1269</v>
      </c>
      <c r="O816" s="117"/>
      <c r="P816" s="117"/>
      <c r="Q816" s="117"/>
      <c r="R816" s="117"/>
    </row>
    <row r="817" spans="1:18" ht="27" customHeight="1">
      <c r="A817" s="117">
        <v>812</v>
      </c>
      <c r="B817" s="117" t="s">
        <v>1665</v>
      </c>
      <c r="C817" s="117" t="s">
        <v>1116</v>
      </c>
      <c r="D817" s="117" t="s">
        <v>1693</v>
      </c>
      <c r="E817" s="117" t="s">
        <v>11</v>
      </c>
      <c r="F817" s="117">
        <v>826</v>
      </c>
      <c r="G817" s="117">
        <v>119</v>
      </c>
      <c r="H817" s="117">
        <v>119</v>
      </c>
      <c r="I817" s="117"/>
      <c r="J817" s="117"/>
      <c r="K817" s="117" t="s">
        <v>1993</v>
      </c>
      <c r="L817" s="117" t="s">
        <v>1694</v>
      </c>
      <c r="M817" s="117" t="s">
        <v>17</v>
      </c>
      <c r="N817" s="117" t="s">
        <v>18</v>
      </c>
      <c r="O817" s="117"/>
      <c r="P817" s="117"/>
      <c r="Q817" s="117"/>
      <c r="R817" s="117"/>
    </row>
    <row r="818" spans="1:18" ht="27" customHeight="1">
      <c r="A818" s="117">
        <v>813</v>
      </c>
      <c r="B818" s="117" t="s">
        <v>1665</v>
      </c>
      <c r="C818" s="117" t="s">
        <v>1117</v>
      </c>
      <c r="D818" s="117" t="s">
        <v>1695</v>
      </c>
      <c r="E818" s="117" t="s">
        <v>11</v>
      </c>
      <c r="F818" s="117">
        <v>891</v>
      </c>
      <c r="G818" s="117">
        <v>308</v>
      </c>
      <c r="H818" s="117">
        <v>308</v>
      </c>
      <c r="I818" s="117"/>
      <c r="J818" s="117"/>
      <c r="K818" s="117" t="s">
        <v>1993</v>
      </c>
      <c r="L818" s="117" t="s">
        <v>1694</v>
      </c>
      <c r="M818" s="117" t="s">
        <v>17</v>
      </c>
      <c r="N818" s="117" t="s">
        <v>18</v>
      </c>
      <c r="O818" s="117"/>
      <c r="P818" s="117"/>
      <c r="Q818" s="117"/>
      <c r="R818" s="117"/>
    </row>
    <row r="819" spans="1:18" ht="27" customHeight="1">
      <c r="A819" s="117">
        <v>814</v>
      </c>
      <c r="B819" s="117" t="s">
        <v>1665</v>
      </c>
      <c r="C819" s="117" t="s">
        <v>1118</v>
      </c>
      <c r="D819" s="117" t="s">
        <v>1118</v>
      </c>
      <c r="E819" s="117" t="s">
        <v>2</v>
      </c>
      <c r="F819" s="117">
        <v>343</v>
      </c>
      <c r="G819" s="117">
        <v>343</v>
      </c>
      <c r="H819" s="117">
        <v>343</v>
      </c>
      <c r="I819" s="117"/>
      <c r="J819" s="117"/>
      <c r="K819" s="117" t="s">
        <v>17</v>
      </c>
      <c r="L819" s="117" t="s">
        <v>78</v>
      </c>
      <c r="M819" s="117" t="s">
        <v>17</v>
      </c>
      <c r="N819" s="117" t="s">
        <v>78</v>
      </c>
      <c r="O819" s="117"/>
      <c r="P819" s="117"/>
      <c r="Q819" s="117"/>
      <c r="R819" s="117"/>
    </row>
    <row r="820" spans="1:18" ht="27" customHeight="1">
      <c r="A820" s="117">
        <v>815</v>
      </c>
      <c r="B820" s="117" t="s">
        <v>1665</v>
      </c>
      <c r="C820" s="117" t="s">
        <v>1119</v>
      </c>
      <c r="D820" s="117" t="s">
        <v>1696</v>
      </c>
      <c r="E820" s="117" t="s">
        <v>11</v>
      </c>
      <c r="F820" s="117">
        <v>992</v>
      </c>
      <c r="G820" s="117">
        <v>301</v>
      </c>
      <c r="H820" s="117">
        <v>301</v>
      </c>
      <c r="I820" s="117"/>
      <c r="J820" s="117"/>
      <c r="K820" s="117" t="s">
        <v>2104</v>
      </c>
      <c r="L820" s="117" t="s">
        <v>1697</v>
      </c>
      <c r="M820" s="117" t="s">
        <v>17</v>
      </c>
      <c r="N820" s="117" t="s">
        <v>18</v>
      </c>
      <c r="O820" s="117"/>
      <c r="P820" s="117"/>
      <c r="Q820" s="117"/>
      <c r="R820" s="117"/>
    </row>
    <row r="821" spans="1:18" ht="27" customHeight="1">
      <c r="A821" s="117">
        <v>816</v>
      </c>
      <c r="B821" s="117" t="s">
        <v>1665</v>
      </c>
      <c r="C821" s="117" t="s">
        <v>1120</v>
      </c>
      <c r="D821" s="117" t="s">
        <v>1698</v>
      </c>
      <c r="E821" s="117" t="s">
        <v>11</v>
      </c>
      <c r="F821" s="117">
        <v>1062</v>
      </c>
      <c r="G821" s="117">
        <v>62</v>
      </c>
      <c r="H821" s="117">
        <v>62</v>
      </c>
      <c r="I821" s="117"/>
      <c r="J821" s="117"/>
      <c r="K821" s="117" t="s">
        <v>2105</v>
      </c>
      <c r="L821" s="117" t="s">
        <v>1699</v>
      </c>
      <c r="M821" s="117" t="s">
        <v>17</v>
      </c>
      <c r="N821" s="117" t="s">
        <v>18</v>
      </c>
      <c r="O821" s="117"/>
      <c r="P821" s="117"/>
      <c r="Q821" s="117"/>
      <c r="R821" s="117"/>
    </row>
    <row r="822" spans="1:18" ht="27" customHeight="1">
      <c r="A822" s="117">
        <v>817</v>
      </c>
      <c r="B822" s="117" t="s">
        <v>1665</v>
      </c>
      <c r="C822" s="117" t="s">
        <v>1121</v>
      </c>
      <c r="D822" s="117" t="s">
        <v>1700</v>
      </c>
      <c r="E822" s="117" t="s">
        <v>11</v>
      </c>
      <c r="F822" s="117">
        <v>661</v>
      </c>
      <c r="G822" s="117">
        <v>218</v>
      </c>
      <c r="H822" s="117">
        <v>218</v>
      </c>
      <c r="I822" s="117"/>
      <c r="J822" s="117"/>
      <c r="K822" s="117" t="s">
        <v>2106</v>
      </c>
      <c r="L822" s="117" t="s">
        <v>1701</v>
      </c>
      <c r="M822" s="117" t="s">
        <v>17</v>
      </c>
      <c r="N822" s="117" t="s">
        <v>18</v>
      </c>
      <c r="O822" s="117"/>
      <c r="P822" s="117"/>
      <c r="Q822" s="117"/>
      <c r="R822" s="117"/>
    </row>
    <row r="823" spans="1:18" ht="27" customHeight="1">
      <c r="A823" s="117">
        <v>818</v>
      </c>
      <c r="B823" s="117" t="s">
        <v>1665</v>
      </c>
      <c r="C823" s="117" t="s">
        <v>1122</v>
      </c>
      <c r="D823" s="117" t="s">
        <v>1702</v>
      </c>
      <c r="E823" s="117" t="s">
        <v>0</v>
      </c>
      <c r="F823" s="117">
        <v>1045</v>
      </c>
      <c r="G823" s="117">
        <v>896</v>
      </c>
      <c r="H823" s="117">
        <v>896</v>
      </c>
      <c r="I823" s="117"/>
      <c r="J823" s="117"/>
      <c r="K823" s="117" t="s">
        <v>2107</v>
      </c>
      <c r="L823" s="117" t="s">
        <v>1703</v>
      </c>
      <c r="M823" s="117" t="s">
        <v>17</v>
      </c>
      <c r="N823" s="117" t="s">
        <v>18</v>
      </c>
      <c r="O823" s="117"/>
      <c r="P823" s="117"/>
      <c r="Q823" s="117"/>
      <c r="R823" s="117"/>
    </row>
    <row r="824" spans="1:18" ht="27" customHeight="1">
      <c r="A824" s="117">
        <v>819</v>
      </c>
      <c r="B824" s="117" t="s">
        <v>1665</v>
      </c>
      <c r="C824" s="117" t="s">
        <v>1123</v>
      </c>
      <c r="D824" s="117" t="s">
        <v>1704</v>
      </c>
      <c r="E824" s="117" t="s">
        <v>0</v>
      </c>
      <c r="F824" s="117">
        <v>1798</v>
      </c>
      <c r="G824" s="117">
        <v>1378</v>
      </c>
      <c r="H824" s="117">
        <v>1378</v>
      </c>
      <c r="I824" s="117"/>
      <c r="J824" s="117"/>
      <c r="K824" s="117" t="s">
        <v>2103</v>
      </c>
      <c r="L824" s="117" t="s">
        <v>1705</v>
      </c>
      <c r="M824" s="117" t="s">
        <v>17</v>
      </c>
      <c r="N824" s="117" t="s">
        <v>18</v>
      </c>
      <c r="O824" s="117"/>
      <c r="P824" s="117"/>
      <c r="Q824" s="117"/>
      <c r="R824" s="117"/>
    </row>
    <row r="825" spans="1:18" ht="27" customHeight="1">
      <c r="A825" s="117">
        <v>820</v>
      </c>
      <c r="B825" s="117" t="s">
        <v>1665</v>
      </c>
      <c r="C825" s="117" t="s">
        <v>1124</v>
      </c>
      <c r="D825" s="117" t="s">
        <v>1706</v>
      </c>
      <c r="E825" s="117" t="s">
        <v>0</v>
      </c>
      <c r="F825" s="117">
        <v>115</v>
      </c>
      <c r="G825" s="117">
        <v>38</v>
      </c>
      <c r="H825" s="117">
        <v>38</v>
      </c>
      <c r="I825" s="117"/>
      <c r="J825" s="117"/>
      <c r="K825" s="117" t="s">
        <v>2108</v>
      </c>
      <c r="L825" s="117" t="s">
        <v>1707</v>
      </c>
      <c r="M825" s="117" t="s">
        <v>17</v>
      </c>
      <c r="N825" s="117" t="s">
        <v>18</v>
      </c>
      <c r="O825" s="117"/>
      <c r="P825" s="117"/>
      <c r="Q825" s="117"/>
      <c r="R825" s="117"/>
    </row>
    <row r="826" spans="1:18" ht="27" customHeight="1">
      <c r="A826" s="117">
        <v>821</v>
      </c>
      <c r="B826" s="117" t="s">
        <v>1665</v>
      </c>
      <c r="C826" s="117" t="s">
        <v>1125</v>
      </c>
      <c r="D826" s="117" t="s">
        <v>1708</v>
      </c>
      <c r="E826" s="117" t="s">
        <v>11</v>
      </c>
      <c r="F826" s="117">
        <v>5350</v>
      </c>
      <c r="G826" s="117">
        <v>4082</v>
      </c>
      <c r="H826" s="117">
        <v>4082</v>
      </c>
      <c r="I826" s="117"/>
      <c r="J826" s="117"/>
      <c r="K826" s="117" t="s">
        <v>2103</v>
      </c>
      <c r="L826" s="117" t="s">
        <v>1705</v>
      </c>
      <c r="M826" s="117" t="s">
        <v>17</v>
      </c>
      <c r="N826" s="117" t="s">
        <v>18</v>
      </c>
      <c r="O826" s="117"/>
      <c r="P826" s="117"/>
      <c r="Q826" s="117"/>
      <c r="R826" s="117"/>
    </row>
    <row r="827" spans="1:18" ht="27" customHeight="1">
      <c r="A827" s="117">
        <v>822</v>
      </c>
      <c r="B827" s="117" t="s">
        <v>1665</v>
      </c>
      <c r="C827" s="117" t="s">
        <v>1126</v>
      </c>
      <c r="D827" s="117" t="s">
        <v>1709</v>
      </c>
      <c r="E827" s="117" t="s">
        <v>11</v>
      </c>
      <c r="F827" s="117">
        <v>992</v>
      </c>
      <c r="G827" s="117">
        <v>801</v>
      </c>
      <c r="H827" s="117">
        <v>801</v>
      </c>
      <c r="I827" s="117"/>
      <c r="J827" s="117"/>
      <c r="K827" s="117" t="s">
        <v>2109</v>
      </c>
      <c r="L827" s="117" t="s">
        <v>1710</v>
      </c>
      <c r="M827" s="117" t="s">
        <v>17</v>
      </c>
      <c r="N827" s="117" t="s">
        <v>18</v>
      </c>
      <c r="O827" s="117"/>
      <c r="P827" s="117"/>
      <c r="Q827" s="117"/>
      <c r="R827" s="117"/>
    </row>
    <row r="828" spans="1:18" ht="27" customHeight="1">
      <c r="A828" s="117">
        <v>823</v>
      </c>
      <c r="B828" s="117" t="s">
        <v>1665</v>
      </c>
      <c r="C828" s="117" t="s">
        <v>1127</v>
      </c>
      <c r="D828" s="117" t="s">
        <v>1711</v>
      </c>
      <c r="E828" s="117" t="s">
        <v>11</v>
      </c>
      <c r="F828" s="117">
        <v>1322</v>
      </c>
      <c r="G828" s="117">
        <v>110</v>
      </c>
      <c r="H828" s="117">
        <v>110</v>
      </c>
      <c r="I828" s="117"/>
      <c r="J828" s="117"/>
      <c r="K828" s="117" t="s">
        <v>2110</v>
      </c>
      <c r="L828" s="117" t="s">
        <v>1712</v>
      </c>
      <c r="M828" s="117" t="s">
        <v>17</v>
      </c>
      <c r="N828" s="117" t="s">
        <v>18</v>
      </c>
      <c r="O828" s="117"/>
      <c r="P828" s="117"/>
      <c r="Q828" s="117"/>
      <c r="R828" s="117"/>
    </row>
    <row r="829" spans="1:18" ht="27" customHeight="1">
      <c r="A829" s="117">
        <v>824</v>
      </c>
      <c r="B829" s="117" t="s">
        <v>1665</v>
      </c>
      <c r="C829" s="117" t="s">
        <v>1128</v>
      </c>
      <c r="D829" s="117" t="s">
        <v>1713</v>
      </c>
      <c r="E829" s="117" t="s">
        <v>11</v>
      </c>
      <c r="F829" s="117">
        <v>992</v>
      </c>
      <c r="G829" s="117">
        <v>665</v>
      </c>
      <c r="H829" s="117">
        <v>665</v>
      </c>
      <c r="I829" s="117"/>
      <c r="J829" s="117"/>
      <c r="K829" s="117" t="s">
        <v>2111</v>
      </c>
      <c r="L829" s="117" t="s">
        <v>1714</v>
      </c>
      <c r="M829" s="117" t="s">
        <v>17</v>
      </c>
      <c r="N829" s="117" t="s">
        <v>18</v>
      </c>
      <c r="O829" s="117"/>
      <c r="P829" s="117"/>
      <c r="Q829" s="117"/>
      <c r="R829" s="117"/>
    </row>
    <row r="830" spans="1:18" ht="27" customHeight="1">
      <c r="A830" s="117">
        <v>825</v>
      </c>
      <c r="B830" s="117" t="s">
        <v>1665</v>
      </c>
      <c r="C830" s="117" t="s">
        <v>1129</v>
      </c>
      <c r="D830" s="117" t="s">
        <v>1715</v>
      </c>
      <c r="E830" s="117" t="s">
        <v>11</v>
      </c>
      <c r="F830" s="117">
        <v>443</v>
      </c>
      <c r="G830" s="117">
        <v>102</v>
      </c>
      <c r="H830" s="117">
        <v>102</v>
      </c>
      <c r="I830" s="117"/>
      <c r="J830" s="117"/>
      <c r="K830" s="117" t="s">
        <v>2112</v>
      </c>
      <c r="L830" s="117" t="s">
        <v>1716</v>
      </c>
      <c r="M830" s="117" t="s">
        <v>17</v>
      </c>
      <c r="N830" s="117" t="s">
        <v>18</v>
      </c>
      <c r="O830" s="117"/>
      <c r="P830" s="117"/>
      <c r="Q830" s="117"/>
      <c r="R830" s="117"/>
    </row>
    <row r="831" spans="1:18" ht="27" customHeight="1">
      <c r="A831" s="117">
        <v>826</v>
      </c>
      <c r="B831" s="117" t="s">
        <v>1665</v>
      </c>
      <c r="C831" s="117" t="s">
        <v>1130</v>
      </c>
      <c r="D831" s="117" t="s">
        <v>1717</v>
      </c>
      <c r="E831" s="117" t="s">
        <v>11</v>
      </c>
      <c r="F831" s="117">
        <v>348</v>
      </c>
      <c r="G831" s="117">
        <v>124</v>
      </c>
      <c r="H831" s="117">
        <v>124</v>
      </c>
      <c r="I831" s="117"/>
      <c r="J831" s="117"/>
      <c r="K831" s="117" t="s">
        <v>2113</v>
      </c>
      <c r="L831" s="117" t="s">
        <v>1718</v>
      </c>
      <c r="M831" s="117" t="s">
        <v>17</v>
      </c>
      <c r="N831" s="117" t="s">
        <v>18</v>
      </c>
      <c r="O831" s="117"/>
      <c r="P831" s="117"/>
      <c r="Q831" s="117"/>
      <c r="R831" s="117"/>
    </row>
    <row r="832" spans="1:18" ht="27" customHeight="1">
      <c r="A832" s="117">
        <v>827</v>
      </c>
      <c r="B832" s="117" t="s">
        <v>1665</v>
      </c>
      <c r="C832" s="117" t="s">
        <v>1131</v>
      </c>
      <c r="D832" s="117" t="s">
        <v>1719</v>
      </c>
      <c r="E832" s="117" t="s">
        <v>11</v>
      </c>
      <c r="F832" s="117">
        <v>380</v>
      </c>
      <c r="G832" s="117">
        <v>50</v>
      </c>
      <c r="H832" s="117">
        <v>50</v>
      </c>
      <c r="I832" s="117"/>
      <c r="J832" s="117"/>
      <c r="K832" s="117" t="s">
        <v>2113</v>
      </c>
      <c r="L832" s="117" t="s">
        <v>1718</v>
      </c>
      <c r="M832" s="117" t="s">
        <v>17</v>
      </c>
      <c r="N832" s="117" t="s">
        <v>18</v>
      </c>
      <c r="O832" s="117"/>
      <c r="P832" s="117"/>
      <c r="Q832" s="117"/>
      <c r="R832" s="117"/>
    </row>
    <row r="833" spans="1:18" ht="27" customHeight="1">
      <c r="A833" s="117">
        <v>828</v>
      </c>
      <c r="B833" s="117" t="s">
        <v>1665</v>
      </c>
      <c r="C833" s="117" t="s">
        <v>62</v>
      </c>
      <c r="D833" s="117" t="s">
        <v>1720</v>
      </c>
      <c r="E833" s="117" t="s">
        <v>11</v>
      </c>
      <c r="F833" s="117">
        <v>5454</v>
      </c>
      <c r="G833" s="117">
        <v>2202</v>
      </c>
      <c r="H833" s="117">
        <v>2202</v>
      </c>
      <c r="I833" s="117"/>
      <c r="J833" s="117"/>
      <c r="K833" s="117" t="s">
        <v>2114</v>
      </c>
      <c r="L833" s="117" t="s">
        <v>1721</v>
      </c>
      <c r="M833" s="117" t="s">
        <v>17</v>
      </c>
      <c r="N833" s="117" t="s">
        <v>18</v>
      </c>
      <c r="O833" s="117"/>
      <c r="P833" s="117"/>
      <c r="Q833" s="117"/>
      <c r="R833" s="117"/>
    </row>
    <row r="834" spans="1:18" ht="27" customHeight="1">
      <c r="A834" s="117">
        <v>829</v>
      </c>
      <c r="B834" s="117" t="s">
        <v>1665</v>
      </c>
      <c r="C834" s="117" t="s">
        <v>939</v>
      </c>
      <c r="D834" s="117" t="s">
        <v>1722</v>
      </c>
      <c r="E834" s="117" t="s">
        <v>0</v>
      </c>
      <c r="F834" s="117">
        <v>3312</v>
      </c>
      <c r="G834" s="117">
        <v>54</v>
      </c>
      <c r="H834" s="117">
        <v>54</v>
      </c>
      <c r="I834" s="117"/>
      <c r="J834" s="117"/>
      <c r="K834" s="117" t="s">
        <v>2115</v>
      </c>
      <c r="L834" s="117" t="s">
        <v>1723</v>
      </c>
      <c r="M834" s="117" t="s">
        <v>17</v>
      </c>
      <c r="N834" s="117" t="s">
        <v>18</v>
      </c>
      <c r="O834" s="117"/>
      <c r="P834" s="117"/>
      <c r="Q834" s="117"/>
      <c r="R834" s="117"/>
    </row>
    <row r="835" spans="1:18" ht="27" customHeight="1">
      <c r="A835" s="117">
        <v>830</v>
      </c>
      <c r="B835" s="117" t="s">
        <v>1665</v>
      </c>
      <c r="C835" s="117" t="s">
        <v>1132</v>
      </c>
      <c r="D835" s="117" t="s">
        <v>1724</v>
      </c>
      <c r="E835" s="117" t="s">
        <v>11</v>
      </c>
      <c r="F835" s="117">
        <v>956</v>
      </c>
      <c r="G835" s="117">
        <v>37</v>
      </c>
      <c r="H835" s="117">
        <v>37</v>
      </c>
      <c r="I835" s="117"/>
      <c r="J835" s="117"/>
      <c r="K835" s="117" t="s">
        <v>2033</v>
      </c>
      <c r="L835" s="117" t="s">
        <v>1725</v>
      </c>
      <c r="M835" s="117" t="s">
        <v>17</v>
      </c>
      <c r="N835" s="117" t="s">
        <v>18</v>
      </c>
      <c r="O835" s="117"/>
      <c r="P835" s="117"/>
      <c r="Q835" s="117"/>
      <c r="R835" s="117"/>
    </row>
    <row r="836" spans="1:18" ht="27" customHeight="1">
      <c r="A836" s="117">
        <v>831</v>
      </c>
      <c r="B836" s="117" t="s">
        <v>1665</v>
      </c>
      <c r="C836" s="117" t="s">
        <v>1133</v>
      </c>
      <c r="D836" s="117" t="s">
        <v>1726</v>
      </c>
      <c r="E836" s="117" t="s">
        <v>11</v>
      </c>
      <c r="F836" s="117">
        <v>846</v>
      </c>
      <c r="G836" s="117">
        <v>544</v>
      </c>
      <c r="H836" s="117">
        <v>544</v>
      </c>
      <c r="I836" s="117"/>
      <c r="J836" s="117"/>
      <c r="K836" s="117" t="s">
        <v>2116</v>
      </c>
      <c r="L836" s="117" t="s">
        <v>1727</v>
      </c>
      <c r="M836" s="117" t="s">
        <v>17</v>
      </c>
      <c r="N836" s="117" t="s">
        <v>18</v>
      </c>
      <c r="O836" s="117"/>
      <c r="P836" s="117"/>
      <c r="Q836" s="117"/>
      <c r="R836" s="117"/>
    </row>
    <row r="837" spans="1:18" ht="27" customHeight="1">
      <c r="A837" s="117">
        <v>832</v>
      </c>
      <c r="B837" s="117" t="s">
        <v>1665</v>
      </c>
      <c r="C837" s="117" t="s">
        <v>1134</v>
      </c>
      <c r="D837" s="117" t="s">
        <v>1728</v>
      </c>
      <c r="E837" s="117" t="s">
        <v>11</v>
      </c>
      <c r="F837" s="117">
        <v>744</v>
      </c>
      <c r="G837" s="117">
        <v>165</v>
      </c>
      <c r="H837" s="117">
        <v>165</v>
      </c>
      <c r="I837" s="117"/>
      <c r="J837" s="117"/>
      <c r="K837" s="117" t="s">
        <v>2033</v>
      </c>
      <c r="L837" s="117" t="s">
        <v>1725</v>
      </c>
      <c r="M837" s="117" t="s">
        <v>17</v>
      </c>
      <c r="N837" s="117" t="s">
        <v>18</v>
      </c>
      <c r="O837" s="117"/>
      <c r="P837" s="117"/>
      <c r="Q837" s="117"/>
      <c r="R837" s="117"/>
    </row>
    <row r="838" spans="1:18" ht="27" customHeight="1">
      <c r="A838" s="117">
        <v>833</v>
      </c>
      <c r="B838" s="117" t="s">
        <v>1665</v>
      </c>
      <c r="C838" s="117" t="s">
        <v>1000</v>
      </c>
      <c r="D838" s="117" t="s">
        <v>1729</v>
      </c>
      <c r="E838" s="117" t="s">
        <v>11</v>
      </c>
      <c r="F838" s="117">
        <v>914</v>
      </c>
      <c r="G838" s="117">
        <v>20</v>
      </c>
      <c r="H838" s="117">
        <v>20</v>
      </c>
      <c r="I838" s="117"/>
      <c r="J838" s="117"/>
      <c r="K838" s="117" t="s">
        <v>2033</v>
      </c>
      <c r="L838" s="117" t="s">
        <v>1725</v>
      </c>
      <c r="M838" s="117" t="s">
        <v>17</v>
      </c>
      <c r="N838" s="117" t="s">
        <v>18</v>
      </c>
      <c r="O838" s="117"/>
      <c r="P838" s="117"/>
      <c r="Q838" s="117"/>
      <c r="R838" s="117"/>
    </row>
    <row r="839" spans="1:18" ht="27" customHeight="1">
      <c r="A839" s="117">
        <v>834</v>
      </c>
      <c r="B839" s="117" t="s">
        <v>1665</v>
      </c>
      <c r="C839" s="117" t="s">
        <v>999</v>
      </c>
      <c r="D839" s="117" t="s">
        <v>1730</v>
      </c>
      <c r="E839" s="117" t="s">
        <v>23</v>
      </c>
      <c r="F839" s="117">
        <v>172</v>
      </c>
      <c r="G839" s="117">
        <v>43</v>
      </c>
      <c r="H839" s="117">
        <v>43</v>
      </c>
      <c r="I839" s="117"/>
      <c r="J839" s="117"/>
      <c r="K839" s="117" t="s">
        <v>2117</v>
      </c>
      <c r="L839" s="117" t="s">
        <v>1731</v>
      </c>
      <c r="M839" s="117" t="s">
        <v>17</v>
      </c>
      <c r="N839" s="117" t="s">
        <v>18</v>
      </c>
      <c r="O839" s="117"/>
      <c r="P839" s="117"/>
      <c r="Q839" s="117"/>
      <c r="R839" s="117"/>
    </row>
    <row r="840" spans="1:18" ht="27" customHeight="1">
      <c r="A840" s="117">
        <v>835</v>
      </c>
      <c r="B840" s="117" t="s">
        <v>1665</v>
      </c>
      <c r="C840" s="117" t="s">
        <v>990</v>
      </c>
      <c r="D840" s="117" t="s">
        <v>982</v>
      </c>
      <c r="E840" s="117" t="s">
        <v>6</v>
      </c>
      <c r="F840" s="117">
        <v>1782</v>
      </c>
      <c r="G840" s="117">
        <v>1088</v>
      </c>
      <c r="H840" s="117">
        <v>1088</v>
      </c>
      <c r="I840" s="117"/>
      <c r="J840" s="117"/>
      <c r="K840" s="117" t="s">
        <v>2117</v>
      </c>
      <c r="L840" s="117" t="s">
        <v>1731</v>
      </c>
      <c r="M840" s="117" t="s">
        <v>17</v>
      </c>
      <c r="N840" s="117" t="s">
        <v>18</v>
      </c>
      <c r="O840" s="117"/>
      <c r="P840" s="117"/>
      <c r="Q840" s="117"/>
      <c r="R840" s="117"/>
    </row>
    <row r="841" spans="1:18" ht="27" customHeight="1">
      <c r="A841" s="117">
        <v>836</v>
      </c>
      <c r="B841" s="117" t="s">
        <v>1665</v>
      </c>
      <c r="C841" s="117" t="s">
        <v>1135</v>
      </c>
      <c r="D841" s="117" t="s">
        <v>1732</v>
      </c>
      <c r="E841" s="117" t="s">
        <v>2</v>
      </c>
      <c r="F841" s="117">
        <v>13879.6</v>
      </c>
      <c r="G841" s="117">
        <v>953</v>
      </c>
      <c r="H841" s="117">
        <v>953</v>
      </c>
      <c r="I841" s="117"/>
      <c r="J841" s="117"/>
      <c r="K841" s="117" t="s">
        <v>17</v>
      </c>
      <c r="L841" s="117" t="s">
        <v>78</v>
      </c>
      <c r="M841" s="117" t="s">
        <v>17</v>
      </c>
      <c r="N841" s="117" t="s">
        <v>78</v>
      </c>
      <c r="O841" s="117"/>
      <c r="P841" s="117"/>
      <c r="Q841" s="117"/>
      <c r="R841" s="117"/>
    </row>
    <row r="842" spans="1:18" ht="27" customHeight="1">
      <c r="A842" s="117">
        <v>837</v>
      </c>
      <c r="B842" s="117" t="s">
        <v>1665</v>
      </c>
      <c r="C842" s="117" t="s">
        <v>1136</v>
      </c>
      <c r="D842" s="117" t="s">
        <v>1733</v>
      </c>
      <c r="E842" s="117" t="s">
        <v>6</v>
      </c>
      <c r="F842" s="117">
        <v>1674.4</v>
      </c>
      <c r="G842" s="117">
        <v>608.79999999999995</v>
      </c>
      <c r="H842" s="117">
        <v>608.79999999999995</v>
      </c>
      <c r="I842" s="117"/>
      <c r="J842" s="117"/>
      <c r="K842" s="117" t="s">
        <v>2117</v>
      </c>
      <c r="L842" s="117" t="s">
        <v>1731</v>
      </c>
      <c r="M842" s="117" t="s">
        <v>17</v>
      </c>
      <c r="N842" s="117" t="s">
        <v>18</v>
      </c>
      <c r="O842" s="117"/>
      <c r="P842" s="117"/>
      <c r="Q842" s="117"/>
      <c r="R842" s="117"/>
    </row>
    <row r="843" spans="1:18" ht="27" customHeight="1">
      <c r="A843" s="117">
        <v>838</v>
      </c>
      <c r="B843" s="117" t="s">
        <v>1665</v>
      </c>
      <c r="C843" s="117" t="s">
        <v>1137</v>
      </c>
      <c r="D843" s="117" t="s">
        <v>1734</v>
      </c>
      <c r="E843" s="117" t="s">
        <v>2</v>
      </c>
      <c r="F843" s="117">
        <v>1962.1</v>
      </c>
      <c r="G843" s="117">
        <v>29.6</v>
      </c>
      <c r="H843" s="117">
        <v>29.6</v>
      </c>
      <c r="I843" s="117"/>
      <c r="J843" s="117"/>
      <c r="K843" s="117" t="s">
        <v>17</v>
      </c>
      <c r="L843" s="117" t="s">
        <v>78</v>
      </c>
      <c r="M843" s="117" t="s">
        <v>17</v>
      </c>
      <c r="N843" s="117" t="s">
        <v>78</v>
      </c>
      <c r="O843" s="117"/>
      <c r="P843" s="117"/>
      <c r="Q843" s="117"/>
      <c r="R843" s="117"/>
    </row>
    <row r="844" spans="1:18" ht="27" customHeight="1">
      <c r="A844" s="117">
        <v>839</v>
      </c>
      <c r="B844" s="117" t="s">
        <v>1665</v>
      </c>
      <c r="C844" s="117" t="s">
        <v>1138</v>
      </c>
      <c r="D844" s="117" t="s">
        <v>1735</v>
      </c>
      <c r="E844" s="117" t="s">
        <v>2</v>
      </c>
      <c r="F844" s="117">
        <v>48</v>
      </c>
      <c r="G844" s="117">
        <v>41</v>
      </c>
      <c r="H844" s="117">
        <v>41</v>
      </c>
      <c r="I844" s="117"/>
      <c r="J844" s="117"/>
      <c r="K844" s="117" t="s">
        <v>12</v>
      </c>
      <c r="L844" s="117" t="s">
        <v>1690</v>
      </c>
      <c r="M844" s="117" t="s">
        <v>17</v>
      </c>
      <c r="N844" s="117" t="s">
        <v>1269</v>
      </c>
      <c r="O844" s="117"/>
      <c r="P844" s="117"/>
      <c r="Q844" s="117"/>
      <c r="R844" s="117"/>
    </row>
    <row r="845" spans="1:18" ht="27" customHeight="1">
      <c r="A845" s="117">
        <v>840</v>
      </c>
      <c r="B845" s="117" t="s">
        <v>1665</v>
      </c>
      <c r="C845" s="117" t="s">
        <v>68</v>
      </c>
      <c r="D845" s="117" t="s">
        <v>1736</v>
      </c>
      <c r="E845" s="117" t="s">
        <v>1139</v>
      </c>
      <c r="F845" s="117">
        <v>14653</v>
      </c>
      <c r="G845" s="117">
        <v>767</v>
      </c>
      <c r="H845" s="117">
        <v>767</v>
      </c>
      <c r="I845" s="117"/>
      <c r="J845" s="117"/>
      <c r="K845" s="117" t="s">
        <v>2118</v>
      </c>
      <c r="L845" s="117" t="s">
        <v>1737</v>
      </c>
      <c r="M845" s="117" t="s">
        <v>17</v>
      </c>
      <c r="N845" s="117" t="s">
        <v>18</v>
      </c>
      <c r="O845" s="117"/>
      <c r="P845" s="117"/>
      <c r="Q845" s="117"/>
      <c r="R845" s="117"/>
    </row>
    <row r="846" spans="1:18" ht="27" customHeight="1">
      <c r="A846" s="117">
        <v>841</v>
      </c>
      <c r="B846" s="117" t="s">
        <v>1665</v>
      </c>
      <c r="C846" s="117" t="s">
        <v>1140</v>
      </c>
      <c r="D846" s="117" t="s">
        <v>1140</v>
      </c>
      <c r="E846" s="117" t="s">
        <v>23</v>
      </c>
      <c r="F846" s="117">
        <v>1054</v>
      </c>
      <c r="G846" s="117">
        <v>1054</v>
      </c>
      <c r="H846" s="117">
        <v>1054</v>
      </c>
      <c r="I846" s="117"/>
      <c r="J846" s="117"/>
      <c r="K846" s="117" t="s">
        <v>2103</v>
      </c>
      <c r="L846" s="117" t="s">
        <v>1705</v>
      </c>
      <c r="M846" s="117" t="s">
        <v>17</v>
      </c>
      <c r="N846" s="117" t="s">
        <v>18</v>
      </c>
      <c r="O846" s="117"/>
      <c r="P846" s="117"/>
      <c r="Q846" s="117"/>
      <c r="R846" s="117"/>
    </row>
    <row r="847" spans="1:18" ht="27" customHeight="1">
      <c r="A847" s="117">
        <v>842</v>
      </c>
      <c r="B847" s="117" t="s">
        <v>1665</v>
      </c>
      <c r="C847" s="117" t="s">
        <v>1141</v>
      </c>
      <c r="D847" s="117" t="s">
        <v>1738</v>
      </c>
      <c r="E847" s="117" t="s">
        <v>11</v>
      </c>
      <c r="F847" s="117">
        <v>8264</v>
      </c>
      <c r="G847" s="117">
        <v>1329</v>
      </c>
      <c r="H847" s="117">
        <v>1329</v>
      </c>
      <c r="I847" s="117"/>
      <c r="J847" s="117"/>
      <c r="K847" s="117" t="s">
        <v>2119</v>
      </c>
      <c r="L847" s="117" t="s">
        <v>1739</v>
      </c>
      <c r="M847" s="117" t="s">
        <v>17</v>
      </c>
      <c r="N847" s="117" t="s">
        <v>18</v>
      </c>
      <c r="O847" s="117"/>
      <c r="P847" s="117"/>
      <c r="Q847" s="117"/>
      <c r="R847" s="117"/>
    </row>
    <row r="848" spans="1:18" ht="27" customHeight="1">
      <c r="A848" s="117">
        <v>843</v>
      </c>
      <c r="B848" s="117" t="s">
        <v>1665</v>
      </c>
      <c r="C848" s="117" t="s">
        <v>1142</v>
      </c>
      <c r="D848" s="117" t="s">
        <v>1740</v>
      </c>
      <c r="E848" s="117" t="s">
        <v>1139</v>
      </c>
      <c r="F848" s="117">
        <v>5891</v>
      </c>
      <c r="G848" s="117">
        <v>210</v>
      </c>
      <c r="H848" s="117">
        <v>210</v>
      </c>
      <c r="I848" s="117"/>
      <c r="J848" s="117"/>
      <c r="K848" s="117" t="s">
        <v>2120</v>
      </c>
      <c r="L848" s="117" t="s">
        <v>1741</v>
      </c>
      <c r="M848" s="117" t="s">
        <v>17</v>
      </c>
      <c r="N848" s="117" t="s">
        <v>18</v>
      </c>
      <c r="O848" s="117"/>
      <c r="P848" s="117"/>
      <c r="Q848" s="117"/>
      <c r="R848" s="117"/>
    </row>
    <row r="849" spans="1:18" ht="27" customHeight="1">
      <c r="A849" s="117">
        <v>844</v>
      </c>
      <c r="B849" s="117" t="s">
        <v>1665</v>
      </c>
      <c r="C849" s="117" t="s">
        <v>1143</v>
      </c>
      <c r="D849" s="117" t="s">
        <v>1742</v>
      </c>
      <c r="E849" s="117" t="s">
        <v>11</v>
      </c>
      <c r="F849" s="117">
        <v>1152</v>
      </c>
      <c r="G849" s="117">
        <v>471</v>
      </c>
      <c r="H849" s="117">
        <v>471</v>
      </c>
      <c r="I849" s="117"/>
      <c r="J849" s="117"/>
      <c r="K849" s="117" t="s">
        <v>2120</v>
      </c>
      <c r="L849" s="117" t="s">
        <v>1741</v>
      </c>
      <c r="M849" s="117" t="s">
        <v>17</v>
      </c>
      <c r="N849" s="117" t="s">
        <v>18</v>
      </c>
      <c r="O849" s="117"/>
      <c r="P849" s="117"/>
      <c r="Q849" s="117"/>
      <c r="R849" s="117"/>
    </row>
    <row r="850" spans="1:18" ht="27" customHeight="1">
      <c r="A850" s="117">
        <v>845</v>
      </c>
      <c r="B850" s="117" t="s">
        <v>1665</v>
      </c>
      <c r="C850" s="117" t="s">
        <v>55</v>
      </c>
      <c r="D850" s="117" t="s">
        <v>1743</v>
      </c>
      <c r="E850" s="117" t="s">
        <v>11</v>
      </c>
      <c r="F850" s="117">
        <v>729</v>
      </c>
      <c r="G850" s="117">
        <v>714</v>
      </c>
      <c r="H850" s="117">
        <v>714</v>
      </c>
      <c r="I850" s="117"/>
      <c r="J850" s="117"/>
      <c r="K850" s="117" t="s">
        <v>2121</v>
      </c>
      <c r="L850" s="117" t="s">
        <v>1744</v>
      </c>
      <c r="M850" s="117" t="s">
        <v>17</v>
      </c>
      <c r="N850" s="117" t="s">
        <v>18</v>
      </c>
      <c r="O850" s="117"/>
      <c r="P850" s="117"/>
      <c r="Q850" s="117"/>
      <c r="R850" s="117"/>
    </row>
    <row r="851" spans="1:18" ht="27" customHeight="1">
      <c r="A851" s="117">
        <v>846</v>
      </c>
      <c r="B851" s="117" t="s">
        <v>1665</v>
      </c>
      <c r="C851" s="117" t="s">
        <v>1144</v>
      </c>
      <c r="D851" s="117" t="s">
        <v>1745</v>
      </c>
      <c r="E851" s="117" t="s">
        <v>11</v>
      </c>
      <c r="F851" s="117">
        <v>7894</v>
      </c>
      <c r="G851" s="117">
        <v>120</v>
      </c>
      <c r="H851" s="117">
        <v>120</v>
      </c>
      <c r="I851" s="117"/>
      <c r="J851" s="117"/>
      <c r="K851" s="117" t="s">
        <v>2122</v>
      </c>
      <c r="L851" s="117" t="s">
        <v>1746</v>
      </c>
      <c r="M851" s="117" t="s">
        <v>17</v>
      </c>
      <c r="N851" s="117" t="s">
        <v>18</v>
      </c>
      <c r="O851" s="117"/>
      <c r="P851" s="117"/>
      <c r="Q851" s="117"/>
      <c r="R851" s="117"/>
    </row>
    <row r="852" spans="1:18" ht="27" customHeight="1">
      <c r="A852" s="117">
        <v>847</v>
      </c>
      <c r="B852" s="117" t="s">
        <v>1665</v>
      </c>
      <c r="C852" s="117" t="s">
        <v>1145</v>
      </c>
      <c r="D852" s="117" t="s">
        <v>1747</v>
      </c>
      <c r="E852" s="117" t="s">
        <v>11</v>
      </c>
      <c r="F852" s="117">
        <v>1459</v>
      </c>
      <c r="G852" s="117">
        <v>132</v>
      </c>
      <c r="H852" s="117">
        <v>132</v>
      </c>
      <c r="I852" s="117"/>
      <c r="J852" s="117"/>
      <c r="K852" s="117" t="s">
        <v>2123</v>
      </c>
      <c r="L852" s="117" t="s">
        <v>1748</v>
      </c>
      <c r="M852" s="117" t="s">
        <v>17</v>
      </c>
      <c r="N852" s="117" t="s">
        <v>18</v>
      </c>
      <c r="O852" s="117"/>
      <c r="P852" s="117"/>
      <c r="Q852" s="117"/>
      <c r="R852" s="117"/>
    </row>
    <row r="853" spans="1:18" ht="27" customHeight="1">
      <c r="A853" s="117">
        <v>848</v>
      </c>
      <c r="B853" s="117" t="s">
        <v>1665</v>
      </c>
      <c r="C853" s="117" t="s">
        <v>1146</v>
      </c>
      <c r="D853" s="117" t="s">
        <v>1749</v>
      </c>
      <c r="E853" s="117" t="s">
        <v>11</v>
      </c>
      <c r="F853" s="117">
        <v>280</v>
      </c>
      <c r="G853" s="117">
        <v>83</v>
      </c>
      <c r="H853" s="117">
        <v>83</v>
      </c>
      <c r="I853" s="117"/>
      <c r="J853" s="117"/>
      <c r="K853" s="117" t="s">
        <v>2124</v>
      </c>
      <c r="L853" s="117" t="s">
        <v>1750</v>
      </c>
      <c r="M853" s="117" t="s">
        <v>17</v>
      </c>
      <c r="N853" s="117" t="s">
        <v>18</v>
      </c>
      <c r="O853" s="117"/>
      <c r="P853" s="117"/>
      <c r="Q853" s="117"/>
      <c r="R853" s="117"/>
    </row>
    <row r="854" spans="1:18" ht="27" customHeight="1">
      <c r="A854" s="117">
        <v>849</v>
      </c>
      <c r="B854" s="117" t="s">
        <v>1665</v>
      </c>
      <c r="C854" s="117" t="s">
        <v>1147</v>
      </c>
      <c r="D854" s="117" t="s">
        <v>1751</v>
      </c>
      <c r="E854" s="117" t="s">
        <v>11</v>
      </c>
      <c r="F854" s="117">
        <v>3620</v>
      </c>
      <c r="G854" s="117">
        <v>1110</v>
      </c>
      <c r="H854" s="117">
        <v>1110</v>
      </c>
      <c r="I854" s="117"/>
      <c r="J854" s="117"/>
      <c r="K854" s="117" t="s">
        <v>2125</v>
      </c>
      <c r="L854" s="117" t="s">
        <v>1752</v>
      </c>
      <c r="M854" s="117" t="s">
        <v>17</v>
      </c>
      <c r="N854" s="117" t="s">
        <v>18</v>
      </c>
      <c r="O854" s="117"/>
      <c r="P854" s="117"/>
      <c r="Q854" s="117"/>
      <c r="R854" s="117"/>
    </row>
    <row r="855" spans="1:18" ht="27" customHeight="1">
      <c r="A855" s="117">
        <v>850</v>
      </c>
      <c r="B855" s="117" t="s">
        <v>1665</v>
      </c>
      <c r="C855" s="117" t="s">
        <v>1148</v>
      </c>
      <c r="D855" s="117" t="s">
        <v>1753</v>
      </c>
      <c r="E855" s="117" t="s">
        <v>3</v>
      </c>
      <c r="F855" s="117">
        <v>1236</v>
      </c>
      <c r="G855" s="117">
        <v>82</v>
      </c>
      <c r="H855" s="117">
        <v>82</v>
      </c>
      <c r="I855" s="117"/>
      <c r="J855" s="117"/>
      <c r="K855" s="117" t="s">
        <v>17</v>
      </c>
      <c r="L855" s="117"/>
      <c r="M855" s="117" t="s">
        <v>17</v>
      </c>
      <c r="N855" s="117" t="s">
        <v>1269</v>
      </c>
      <c r="O855" s="117"/>
      <c r="P855" s="117"/>
      <c r="Q855" s="117"/>
      <c r="R855" s="117"/>
    </row>
    <row r="856" spans="1:18" ht="27" customHeight="1">
      <c r="A856" s="117">
        <v>851</v>
      </c>
      <c r="B856" s="117" t="s">
        <v>1665</v>
      </c>
      <c r="C856" s="117" t="s">
        <v>1149</v>
      </c>
      <c r="D856" s="117" t="s">
        <v>1754</v>
      </c>
      <c r="E856" s="117" t="s">
        <v>11</v>
      </c>
      <c r="F856" s="117">
        <v>3821</v>
      </c>
      <c r="G856" s="117">
        <v>221</v>
      </c>
      <c r="H856" s="117">
        <v>221</v>
      </c>
      <c r="I856" s="117"/>
      <c r="J856" s="117"/>
      <c r="K856" s="117" t="s">
        <v>2126</v>
      </c>
      <c r="L856" s="117" t="s">
        <v>1755</v>
      </c>
      <c r="M856" s="117" t="s">
        <v>17</v>
      </c>
      <c r="N856" s="117" t="s">
        <v>18</v>
      </c>
      <c r="O856" s="117"/>
      <c r="P856" s="117"/>
      <c r="Q856" s="117"/>
      <c r="R856" s="117"/>
    </row>
    <row r="857" spans="1:18" ht="27" customHeight="1">
      <c r="A857" s="117">
        <v>852</v>
      </c>
      <c r="B857" s="117" t="s">
        <v>1665</v>
      </c>
      <c r="C857" s="117" t="s">
        <v>27</v>
      </c>
      <c r="D857" s="117" t="s">
        <v>1756</v>
      </c>
      <c r="E857" s="117" t="s">
        <v>11</v>
      </c>
      <c r="F857" s="117">
        <v>670</v>
      </c>
      <c r="G857" s="117">
        <v>670</v>
      </c>
      <c r="H857" s="117">
        <v>670</v>
      </c>
      <c r="I857" s="117"/>
      <c r="J857" s="117"/>
      <c r="K857" s="117" t="s">
        <v>2127</v>
      </c>
      <c r="L857" s="117" t="s">
        <v>1757</v>
      </c>
      <c r="M857" s="117" t="s">
        <v>17</v>
      </c>
      <c r="N857" s="117" t="s">
        <v>18</v>
      </c>
      <c r="O857" s="117"/>
      <c r="P857" s="117"/>
      <c r="Q857" s="117"/>
      <c r="R857" s="117"/>
    </row>
    <row r="858" spans="1:18" ht="27" customHeight="1">
      <c r="A858" s="117">
        <v>853</v>
      </c>
      <c r="B858" s="117" t="s">
        <v>1665</v>
      </c>
      <c r="C858" s="117" t="s">
        <v>1150</v>
      </c>
      <c r="D858" s="117" t="s">
        <v>1758</v>
      </c>
      <c r="E858" s="117" t="s">
        <v>6</v>
      </c>
      <c r="F858" s="117">
        <v>853</v>
      </c>
      <c r="G858" s="117">
        <v>277</v>
      </c>
      <c r="H858" s="117">
        <v>277</v>
      </c>
      <c r="I858" s="117"/>
      <c r="J858" s="117"/>
      <c r="K858" s="117" t="s">
        <v>2103</v>
      </c>
      <c r="L858" s="117" t="s">
        <v>1691</v>
      </c>
      <c r="M858" s="117" t="s">
        <v>17</v>
      </c>
      <c r="N858" s="117" t="s">
        <v>18</v>
      </c>
      <c r="O858" s="117"/>
      <c r="P858" s="117"/>
      <c r="Q858" s="117"/>
      <c r="R858" s="117"/>
    </row>
    <row r="859" spans="1:18" ht="27" customHeight="1">
      <c r="A859" s="117">
        <v>854</v>
      </c>
      <c r="B859" s="117" t="s">
        <v>1665</v>
      </c>
      <c r="C859" s="117" t="s">
        <v>1151</v>
      </c>
      <c r="D859" s="117" t="s">
        <v>1151</v>
      </c>
      <c r="E859" s="117" t="s">
        <v>0</v>
      </c>
      <c r="F859" s="117">
        <v>228</v>
      </c>
      <c r="G859" s="117">
        <v>228</v>
      </c>
      <c r="H859" s="117">
        <v>228</v>
      </c>
      <c r="I859" s="117"/>
      <c r="J859" s="117"/>
      <c r="K859" s="117" t="s">
        <v>2103</v>
      </c>
      <c r="L859" s="117" t="s">
        <v>1691</v>
      </c>
      <c r="M859" s="117" t="s">
        <v>17</v>
      </c>
      <c r="N859" s="117" t="s">
        <v>18</v>
      </c>
      <c r="O859" s="117"/>
      <c r="P859" s="117"/>
      <c r="Q859" s="117"/>
      <c r="R859" s="117"/>
    </row>
    <row r="860" spans="1:18" ht="27" customHeight="1">
      <c r="A860" s="117">
        <v>855</v>
      </c>
      <c r="B860" s="117" t="s">
        <v>1665</v>
      </c>
      <c r="C860" s="117" t="s">
        <v>1152</v>
      </c>
      <c r="D860" s="117" t="s">
        <v>1152</v>
      </c>
      <c r="E860" s="117" t="s">
        <v>6</v>
      </c>
      <c r="F860" s="117">
        <v>596</v>
      </c>
      <c r="G860" s="117">
        <v>596</v>
      </c>
      <c r="H860" s="117">
        <v>596</v>
      </c>
      <c r="I860" s="117"/>
      <c r="J860" s="117"/>
      <c r="K860" s="117" t="s">
        <v>2103</v>
      </c>
      <c r="L860" s="117" t="s">
        <v>1691</v>
      </c>
      <c r="M860" s="117" t="s">
        <v>17</v>
      </c>
      <c r="N860" s="117" t="s">
        <v>18</v>
      </c>
      <c r="O860" s="117"/>
      <c r="P860" s="117"/>
      <c r="Q860" s="117"/>
      <c r="R860" s="117"/>
    </row>
    <row r="861" spans="1:18" ht="27" customHeight="1">
      <c r="A861" s="117">
        <v>856</v>
      </c>
      <c r="B861" s="117" t="s">
        <v>1665</v>
      </c>
      <c r="C861" s="117" t="s">
        <v>1153</v>
      </c>
      <c r="D861" s="117" t="s">
        <v>1759</v>
      </c>
      <c r="E861" s="117" t="s">
        <v>6</v>
      </c>
      <c r="F861" s="117">
        <v>1713</v>
      </c>
      <c r="G861" s="117">
        <v>879</v>
      </c>
      <c r="H861" s="117">
        <v>879</v>
      </c>
      <c r="I861" s="117"/>
      <c r="J861" s="117"/>
      <c r="K861" s="117" t="s">
        <v>2103</v>
      </c>
      <c r="L861" s="117" t="s">
        <v>1691</v>
      </c>
      <c r="M861" s="117" t="s">
        <v>17</v>
      </c>
      <c r="N861" s="117" t="s">
        <v>18</v>
      </c>
      <c r="O861" s="117"/>
      <c r="P861" s="117"/>
      <c r="Q861" s="117"/>
      <c r="R861" s="117"/>
    </row>
    <row r="862" spans="1:18" ht="27" customHeight="1">
      <c r="A862" s="117">
        <v>857</v>
      </c>
      <c r="B862" s="117" t="s">
        <v>1665</v>
      </c>
      <c r="C862" s="117" t="s">
        <v>1154</v>
      </c>
      <c r="D862" s="117" t="s">
        <v>1154</v>
      </c>
      <c r="E862" s="117" t="s">
        <v>11</v>
      </c>
      <c r="F862" s="117">
        <v>110</v>
      </c>
      <c r="G862" s="117">
        <v>110</v>
      </c>
      <c r="H862" s="117">
        <v>110</v>
      </c>
      <c r="I862" s="117"/>
      <c r="J862" s="117"/>
      <c r="K862" s="117" t="s">
        <v>2103</v>
      </c>
      <c r="L862" s="117" t="s">
        <v>1691</v>
      </c>
      <c r="M862" s="117" t="s">
        <v>17</v>
      </c>
      <c r="N862" s="117" t="s">
        <v>18</v>
      </c>
      <c r="O862" s="117"/>
      <c r="P862" s="117"/>
      <c r="Q862" s="117"/>
      <c r="R862" s="117"/>
    </row>
    <row r="863" spans="1:18" ht="27" customHeight="1">
      <c r="A863" s="117">
        <v>858</v>
      </c>
      <c r="B863" s="117" t="s">
        <v>1665</v>
      </c>
      <c r="C863" s="117" t="s">
        <v>1155</v>
      </c>
      <c r="D863" s="117" t="s">
        <v>1760</v>
      </c>
      <c r="E863" s="117" t="s">
        <v>11</v>
      </c>
      <c r="F863" s="117">
        <v>6</v>
      </c>
      <c r="G863" s="117">
        <v>3</v>
      </c>
      <c r="H863" s="117">
        <v>3</v>
      </c>
      <c r="I863" s="117"/>
      <c r="J863" s="117"/>
      <c r="K863" s="117" t="s">
        <v>2128</v>
      </c>
      <c r="L863" s="117" t="s">
        <v>1761</v>
      </c>
      <c r="M863" s="117" t="s">
        <v>17</v>
      </c>
      <c r="N863" s="117" t="s">
        <v>18</v>
      </c>
      <c r="O863" s="117"/>
      <c r="P863" s="117"/>
      <c r="Q863" s="117"/>
      <c r="R863" s="117"/>
    </row>
    <row r="864" spans="1:18" ht="27" customHeight="1">
      <c r="A864" s="117">
        <v>859</v>
      </c>
      <c r="B864" s="117" t="s">
        <v>1665</v>
      </c>
      <c r="C864" s="117" t="s">
        <v>1156</v>
      </c>
      <c r="D864" s="117" t="s">
        <v>1762</v>
      </c>
      <c r="E864" s="117" t="s">
        <v>11</v>
      </c>
      <c r="F864" s="117">
        <v>303</v>
      </c>
      <c r="G864" s="117">
        <v>31</v>
      </c>
      <c r="H864" s="117">
        <v>31</v>
      </c>
      <c r="I864" s="117"/>
      <c r="J864" s="117"/>
      <c r="K864" s="117" t="s">
        <v>2129</v>
      </c>
      <c r="L864" s="117" t="s">
        <v>1763</v>
      </c>
      <c r="M864" s="117" t="s">
        <v>17</v>
      </c>
      <c r="N864" s="117" t="s">
        <v>18</v>
      </c>
      <c r="O864" s="117"/>
      <c r="P864" s="117"/>
      <c r="Q864" s="117"/>
      <c r="R864" s="117"/>
    </row>
    <row r="865" spans="1:18" ht="27" customHeight="1">
      <c r="A865" s="117">
        <v>860</v>
      </c>
      <c r="B865" s="117" t="s">
        <v>1665</v>
      </c>
      <c r="C865" s="117" t="s">
        <v>1157</v>
      </c>
      <c r="D865" s="117" t="s">
        <v>1157</v>
      </c>
      <c r="E865" s="117" t="s">
        <v>11</v>
      </c>
      <c r="F865" s="117">
        <v>312</v>
      </c>
      <c r="G865" s="117">
        <v>312</v>
      </c>
      <c r="H865" s="117">
        <v>312</v>
      </c>
      <c r="I865" s="117"/>
      <c r="J865" s="117"/>
      <c r="K865" s="117" t="s">
        <v>2103</v>
      </c>
      <c r="L865" s="117" t="s">
        <v>1691</v>
      </c>
      <c r="M865" s="117" t="s">
        <v>17</v>
      </c>
      <c r="N865" s="117" t="s">
        <v>18</v>
      </c>
      <c r="O865" s="117"/>
      <c r="P865" s="117"/>
      <c r="Q865" s="117"/>
      <c r="R865" s="117"/>
    </row>
    <row r="866" spans="1:18" ht="27" customHeight="1">
      <c r="A866" s="117">
        <v>861</v>
      </c>
      <c r="B866" s="117" t="s">
        <v>1665</v>
      </c>
      <c r="C866" s="117" t="s">
        <v>1158</v>
      </c>
      <c r="D866" s="117" t="s">
        <v>1764</v>
      </c>
      <c r="E866" s="117" t="s">
        <v>11</v>
      </c>
      <c r="F866" s="117">
        <v>80</v>
      </c>
      <c r="G866" s="117">
        <v>65</v>
      </c>
      <c r="H866" s="117">
        <v>65</v>
      </c>
      <c r="I866" s="117"/>
      <c r="J866" s="117"/>
      <c r="K866" s="117" t="s">
        <v>2103</v>
      </c>
      <c r="L866" s="117" t="s">
        <v>1691</v>
      </c>
      <c r="M866" s="117" t="s">
        <v>17</v>
      </c>
      <c r="N866" s="117" t="s">
        <v>18</v>
      </c>
      <c r="O866" s="117"/>
      <c r="P866" s="117" t="s">
        <v>1289</v>
      </c>
      <c r="Q866" s="117"/>
      <c r="R866" s="117"/>
    </row>
    <row r="867" spans="1:18" ht="27" customHeight="1">
      <c r="A867" s="117">
        <v>862</v>
      </c>
      <c r="B867" s="117" t="s">
        <v>1665</v>
      </c>
      <c r="C867" s="117" t="s">
        <v>1159</v>
      </c>
      <c r="D867" s="117" t="s">
        <v>1765</v>
      </c>
      <c r="E867" s="117" t="s">
        <v>11</v>
      </c>
      <c r="F867" s="117">
        <v>419</v>
      </c>
      <c r="G867" s="117">
        <v>6</v>
      </c>
      <c r="H867" s="117">
        <v>6</v>
      </c>
      <c r="I867" s="117"/>
      <c r="J867" s="117"/>
      <c r="K867" s="117" t="s">
        <v>2129</v>
      </c>
      <c r="L867" s="117" t="s">
        <v>1763</v>
      </c>
      <c r="M867" s="117" t="s">
        <v>17</v>
      </c>
      <c r="N867" s="117" t="s">
        <v>18</v>
      </c>
      <c r="O867" s="117"/>
      <c r="P867" s="117"/>
      <c r="Q867" s="117"/>
      <c r="R867" s="117"/>
    </row>
    <row r="868" spans="1:18" ht="27" customHeight="1">
      <c r="A868" s="117">
        <v>863</v>
      </c>
      <c r="B868" s="117" t="s">
        <v>1665</v>
      </c>
      <c r="C868" s="117" t="s">
        <v>1159</v>
      </c>
      <c r="D868" s="117" t="s">
        <v>1766</v>
      </c>
      <c r="E868" s="117" t="s">
        <v>11</v>
      </c>
      <c r="F868" s="117">
        <v>419</v>
      </c>
      <c r="G868" s="117">
        <v>54</v>
      </c>
      <c r="H868" s="117">
        <v>54</v>
      </c>
      <c r="I868" s="117"/>
      <c r="J868" s="117"/>
      <c r="K868" s="117" t="s">
        <v>2129</v>
      </c>
      <c r="L868" s="117" t="s">
        <v>1763</v>
      </c>
      <c r="M868" s="117" t="s">
        <v>17</v>
      </c>
      <c r="N868" s="117" t="s">
        <v>18</v>
      </c>
      <c r="O868" s="117"/>
      <c r="P868" s="117"/>
      <c r="Q868" s="117"/>
      <c r="R868" s="117"/>
    </row>
    <row r="869" spans="1:18" ht="27" customHeight="1">
      <c r="A869" s="117">
        <v>864</v>
      </c>
      <c r="B869" s="117" t="s">
        <v>1665</v>
      </c>
      <c r="C869" s="117" t="s">
        <v>1160</v>
      </c>
      <c r="D869" s="117" t="s">
        <v>1160</v>
      </c>
      <c r="E869" s="117" t="s">
        <v>6</v>
      </c>
      <c r="F869" s="117">
        <v>3043</v>
      </c>
      <c r="G869" s="117">
        <v>3043</v>
      </c>
      <c r="H869" s="117">
        <v>3043</v>
      </c>
      <c r="I869" s="117"/>
      <c r="J869" s="117"/>
      <c r="K869" s="117" t="s">
        <v>2103</v>
      </c>
      <c r="L869" s="117" t="s">
        <v>1691</v>
      </c>
      <c r="M869" s="117" t="s">
        <v>17</v>
      </c>
      <c r="N869" s="117" t="s">
        <v>18</v>
      </c>
      <c r="O869" s="117"/>
      <c r="P869" s="117"/>
      <c r="Q869" s="117"/>
      <c r="R869" s="117"/>
    </row>
    <row r="870" spans="1:18" ht="27" customHeight="1">
      <c r="A870" s="117">
        <v>865</v>
      </c>
      <c r="B870" s="117" t="s">
        <v>1665</v>
      </c>
      <c r="C870" s="117" t="s">
        <v>1161</v>
      </c>
      <c r="D870" s="117" t="s">
        <v>1767</v>
      </c>
      <c r="E870" s="117" t="s">
        <v>11</v>
      </c>
      <c r="F870" s="117">
        <v>2223</v>
      </c>
      <c r="G870" s="117">
        <v>301</v>
      </c>
      <c r="H870" s="117">
        <v>301</v>
      </c>
      <c r="I870" s="117"/>
      <c r="J870" s="117"/>
      <c r="K870" s="117" t="s">
        <v>1969</v>
      </c>
      <c r="L870" s="117" t="s">
        <v>1768</v>
      </c>
      <c r="M870" s="117" t="s">
        <v>17</v>
      </c>
      <c r="N870" s="117" t="s">
        <v>18</v>
      </c>
      <c r="O870" s="117"/>
      <c r="P870" s="117"/>
      <c r="Q870" s="117"/>
      <c r="R870" s="117"/>
    </row>
    <row r="871" spans="1:18" ht="27" customHeight="1">
      <c r="A871" s="117">
        <v>866</v>
      </c>
      <c r="B871" s="117" t="s">
        <v>1665</v>
      </c>
      <c r="C871" s="117" t="s">
        <v>1161</v>
      </c>
      <c r="D871" s="117" t="s">
        <v>1769</v>
      </c>
      <c r="E871" s="117" t="s">
        <v>11</v>
      </c>
      <c r="F871" s="117">
        <v>2223</v>
      </c>
      <c r="G871" s="117">
        <v>655</v>
      </c>
      <c r="H871" s="117">
        <v>655</v>
      </c>
      <c r="I871" s="117"/>
      <c r="J871" s="117"/>
      <c r="K871" s="117" t="s">
        <v>1969</v>
      </c>
      <c r="L871" s="117" t="s">
        <v>1768</v>
      </c>
      <c r="M871" s="117" t="s">
        <v>17</v>
      </c>
      <c r="N871" s="117" t="s">
        <v>18</v>
      </c>
      <c r="O871" s="117"/>
      <c r="P871" s="117"/>
      <c r="Q871" s="117"/>
      <c r="R871" s="117"/>
    </row>
    <row r="872" spans="1:18" ht="27" customHeight="1">
      <c r="A872" s="117">
        <v>867</v>
      </c>
      <c r="B872" s="117" t="s">
        <v>1665</v>
      </c>
      <c r="C872" s="117" t="s">
        <v>1162</v>
      </c>
      <c r="D872" s="117" t="s">
        <v>1770</v>
      </c>
      <c r="E872" s="117" t="s">
        <v>11</v>
      </c>
      <c r="F872" s="117">
        <v>3249</v>
      </c>
      <c r="G872" s="117">
        <v>2672</v>
      </c>
      <c r="H872" s="117">
        <v>2672</v>
      </c>
      <c r="I872" s="117"/>
      <c r="J872" s="117"/>
      <c r="K872" s="117" t="s">
        <v>2130</v>
      </c>
      <c r="L872" s="117" t="s">
        <v>1771</v>
      </c>
      <c r="M872" s="117" t="s">
        <v>17</v>
      </c>
      <c r="N872" s="117" t="s">
        <v>18</v>
      </c>
      <c r="O872" s="117"/>
      <c r="P872" s="117"/>
      <c r="Q872" s="117"/>
      <c r="R872" s="117"/>
    </row>
    <row r="873" spans="1:18" ht="27" customHeight="1">
      <c r="A873" s="117">
        <v>868</v>
      </c>
      <c r="B873" s="117" t="s">
        <v>1665</v>
      </c>
      <c r="C873" s="117" t="s">
        <v>1163</v>
      </c>
      <c r="D873" s="117" t="s">
        <v>1772</v>
      </c>
      <c r="E873" s="117" t="s">
        <v>11</v>
      </c>
      <c r="F873" s="117">
        <v>1552</v>
      </c>
      <c r="G873" s="117">
        <v>1533</v>
      </c>
      <c r="H873" s="117">
        <v>1533</v>
      </c>
      <c r="I873" s="117"/>
      <c r="J873" s="117"/>
      <c r="K873" s="117" t="s">
        <v>2131</v>
      </c>
      <c r="L873" s="117" t="s">
        <v>1773</v>
      </c>
      <c r="M873" s="117" t="s">
        <v>17</v>
      </c>
      <c r="N873" s="117" t="s">
        <v>18</v>
      </c>
      <c r="O873" s="117"/>
      <c r="P873" s="117"/>
      <c r="Q873" s="117"/>
      <c r="R873" s="117"/>
    </row>
    <row r="874" spans="1:18" ht="27" customHeight="1">
      <c r="A874" s="117">
        <v>869</v>
      </c>
      <c r="B874" s="117" t="s">
        <v>1665</v>
      </c>
      <c r="C874" s="117" t="s">
        <v>1164</v>
      </c>
      <c r="D874" s="117" t="s">
        <v>1774</v>
      </c>
      <c r="E874" s="117" t="s">
        <v>11</v>
      </c>
      <c r="F874" s="117">
        <v>15991</v>
      </c>
      <c r="G874" s="117">
        <v>1740</v>
      </c>
      <c r="H874" s="117">
        <v>1740</v>
      </c>
      <c r="I874" s="117"/>
      <c r="J874" s="117"/>
      <c r="K874" s="117" t="s">
        <v>2132</v>
      </c>
      <c r="L874" s="117" t="s">
        <v>1775</v>
      </c>
      <c r="M874" s="117" t="s">
        <v>17</v>
      </c>
      <c r="N874" s="117" t="s">
        <v>18</v>
      </c>
      <c r="O874" s="117"/>
      <c r="P874" s="117"/>
      <c r="Q874" s="117"/>
      <c r="R874" s="117"/>
    </row>
    <row r="875" spans="1:18" ht="27" customHeight="1">
      <c r="A875" s="117">
        <v>870</v>
      </c>
      <c r="B875" s="117" t="s">
        <v>1665</v>
      </c>
      <c r="C875" s="117" t="s">
        <v>1165</v>
      </c>
      <c r="D875" s="117" t="s">
        <v>1776</v>
      </c>
      <c r="E875" s="117" t="s">
        <v>11</v>
      </c>
      <c r="F875" s="117">
        <v>13634</v>
      </c>
      <c r="G875" s="117">
        <v>7467</v>
      </c>
      <c r="H875" s="117">
        <v>7467</v>
      </c>
      <c r="I875" s="117"/>
      <c r="J875" s="117"/>
      <c r="K875" s="117" t="s">
        <v>2133</v>
      </c>
      <c r="L875" s="117" t="s">
        <v>1777</v>
      </c>
      <c r="M875" s="117" t="s">
        <v>17</v>
      </c>
      <c r="N875" s="117" t="s">
        <v>18</v>
      </c>
      <c r="O875" s="117"/>
      <c r="P875" s="117"/>
      <c r="Q875" s="117"/>
      <c r="R875" s="117"/>
    </row>
    <row r="876" spans="1:18" ht="27" customHeight="1">
      <c r="A876" s="117">
        <v>871</v>
      </c>
      <c r="B876" s="117" t="s">
        <v>1665</v>
      </c>
      <c r="C876" s="117" t="s">
        <v>1166</v>
      </c>
      <c r="D876" s="117" t="s">
        <v>1563</v>
      </c>
      <c r="E876" s="117" t="s">
        <v>11</v>
      </c>
      <c r="F876" s="117">
        <v>15266</v>
      </c>
      <c r="G876" s="117">
        <v>5011</v>
      </c>
      <c r="H876" s="117">
        <v>5011</v>
      </c>
      <c r="I876" s="117"/>
      <c r="J876" s="117"/>
      <c r="K876" s="117" t="s">
        <v>2134</v>
      </c>
      <c r="L876" s="117" t="s">
        <v>1778</v>
      </c>
      <c r="M876" s="117" t="s">
        <v>17</v>
      </c>
      <c r="N876" s="117" t="s">
        <v>18</v>
      </c>
      <c r="O876" s="117"/>
      <c r="P876" s="117"/>
      <c r="Q876" s="117"/>
      <c r="R876" s="117"/>
    </row>
    <row r="877" spans="1:18" ht="27" customHeight="1">
      <c r="A877" s="117">
        <v>872</v>
      </c>
      <c r="B877" s="117" t="s">
        <v>1665</v>
      </c>
      <c r="C877" s="117" t="s">
        <v>1167</v>
      </c>
      <c r="D877" s="117" t="s">
        <v>1779</v>
      </c>
      <c r="E877" s="117" t="s">
        <v>11</v>
      </c>
      <c r="F877" s="117">
        <v>704</v>
      </c>
      <c r="G877" s="117">
        <v>153</v>
      </c>
      <c r="H877" s="117">
        <v>153</v>
      </c>
      <c r="I877" s="117"/>
      <c r="J877" s="117"/>
      <c r="K877" s="117" t="s">
        <v>1953</v>
      </c>
      <c r="L877" s="117" t="s">
        <v>1780</v>
      </c>
      <c r="M877" s="117" t="s">
        <v>17</v>
      </c>
      <c r="N877" s="117" t="s">
        <v>1269</v>
      </c>
      <c r="O877" s="117"/>
      <c r="P877" s="117"/>
      <c r="Q877" s="117"/>
      <c r="R877" s="117"/>
    </row>
    <row r="878" spans="1:18" ht="27" customHeight="1">
      <c r="A878" s="117">
        <v>873</v>
      </c>
      <c r="B878" s="117" t="s">
        <v>1665</v>
      </c>
      <c r="C878" s="117" t="s">
        <v>1102</v>
      </c>
      <c r="D878" s="117" t="s">
        <v>1634</v>
      </c>
      <c r="E878" s="117" t="s">
        <v>11</v>
      </c>
      <c r="F878" s="117">
        <v>6057</v>
      </c>
      <c r="G878" s="117">
        <v>3034</v>
      </c>
      <c r="H878" s="117">
        <v>3034</v>
      </c>
      <c r="I878" s="117"/>
      <c r="J878" s="117"/>
      <c r="K878" s="117" t="s">
        <v>2135</v>
      </c>
      <c r="L878" s="117" t="s">
        <v>1781</v>
      </c>
      <c r="M878" s="117" t="s">
        <v>17</v>
      </c>
      <c r="N878" s="117" t="s">
        <v>18</v>
      </c>
      <c r="O878" s="117"/>
      <c r="P878" s="117"/>
      <c r="Q878" s="117"/>
      <c r="R878" s="117"/>
    </row>
    <row r="879" spans="1:18" ht="27" customHeight="1">
      <c r="A879" s="117">
        <v>874</v>
      </c>
      <c r="B879" s="117" t="s">
        <v>1665</v>
      </c>
      <c r="C879" s="117" t="s">
        <v>1168</v>
      </c>
      <c r="D879" s="117" t="s">
        <v>1782</v>
      </c>
      <c r="E879" s="117" t="s">
        <v>11</v>
      </c>
      <c r="F879" s="117">
        <v>1554</v>
      </c>
      <c r="G879" s="117">
        <v>823</v>
      </c>
      <c r="H879" s="117">
        <v>823</v>
      </c>
      <c r="I879" s="117"/>
      <c r="J879" s="117"/>
      <c r="K879" s="117" t="s">
        <v>2136</v>
      </c>
      <c r="L879" s="117" t="s">
        <v>1783</v>
      </c>
      <c r="M879" s="117" t="s">
        <v>17</v>
      </c>
      <c r="N879" s="117" t="s">
        <v>18</v>
      </c>
      <c r="O879" s="117"/>
      <c r="P879" s="117"/>
      <c r="Q879" s="117"/>
      <c r="R879" s="117"/>
    </row>
    <row r="880" spans="1:18" ht="27" customHeight="1">
      <c r="A880" s="117">
        <v>875</v>
      </c>
      <c r="B880" s="117" t="s">
        <v>1665</v>
      </c>
      <c r="C880" s="117" t="s">
        <v>1169</v>
      </c>
      <c r="D880" s="117" t="s">
        <v>1784</v>
      </c>
      <c r="E880" s="117" t="s">
        <v>11</v>
      </c>
      <c r="F880" s="117">
        <v>2248</v>
      </c>
      <c r="G880" s="117">
        <v>1665</v>
      </c>
      <c r="H880" s="117">
        <v>1665</v>
      </c>
      <c r="I880" s="117"/>
      <c r="J880" s="117"/>
      <c r="K880" s="117" t="s">
        <v>2137</v>
      </c>
      <c r="L880" s="117" t="s">
        <v>1785</v>
      </c>
      <c r="M880" s="117" t="s">
        <v>17</v>
      </c>
      <c r="N880" s="117" t="s">
        <v>18</v>
      </c>
      <c r="O880" s="117"/>
      <c r="P880" s="117"/>
      <c r="Q880" s="117"/>
      <c r="R880" s="117"/>
    </row>
    <row r="881" spans="1:18" ht="27" customHeight="1">
      <c r="A881" s="117">
        <v>876</v>
      </c>
      <c r="B881" s="117" t="s">
        <v>1665</v>
      </c>
      <c r="C881" s="117" t="s">
        <v>1170</v>
      </c>
      <c r="D881" s="117" t="s">
        <v>1170</v>
      </c>
      <c r="E881" s="117" t="s">
        <v>11</v>
      </c>
      <c r="F881" s="117">
        <v>1718</v>
      </c>
      <c r="G881" s="117">
        <v>1718</v>
      </c>
      <c r="H881" s="117">
        <v>1718</v>
      </c>
      <c r="I881" s="117"/>
      <c r="J881" s="117"/>
      <c r="K881" s="117" t="s">
        <v>2138</v>
      </c>
      <c r="L881" s="117" t="s">
        <v>1786</v>
      </c>
      <c r="M881" s="117" t="s">
        <v>17</v>
      </c>
      <c r="N881" s="117" t="s">
        <v>18</v>
      </c>
      <c r="O881" s="117"/>
      <c r="P881" s="117"/>
      <c r="Q881" s="117"/>
      <c r="R881" s="117"/>
    </row>
    <row r="882" spans="1:18" ht="27" customHeight="1">
      <c r="A882" s="117">
        <v>877</v>
      </c>
      <c r="B882" s="117" t="s">
        <v>1665</v>
      </c>
      <c r="C882" s="117" t="s">
        <v>1171</v>
      </c>
      <c r="D882" s="117" t="s">
        <v>1787</v>
      </c>
      <c r="E882" s="117" t="s">
        <v>11</v>
      </c>
      <c r="F882" s="117">
        <v>1370</v>
      </c>
      <c r="G882" s="117">
        <v>667</v>
      </c>
      <c r="H882" s="117">
        <v>667</v>
      </c>
      <c r="I882" s="117"/>
      <c r="J882" s="117"/>
      <c r="K882" s="117" t="s">
        <v>2048</v>
      </c>
      <c r="L882" s="117" t="s">
        <v>1788</v>
      </c>
      <c r="M882" s="117" t="s">
        <v>17</v>
      </c>
      <c r="N882" s="117" t="s">
        <v>18</v>
      </c>
      <c r="O882" s="117"/>
      <c r="P882" s="117"/>
      <c r="Q882" s="117"/>
      <c r="R882" s="117"/>
    </row>
    <row r="883" spans="1:18" ht="27" customHeight="1">
      <c r="A883" s="117">
        <v>878</v>
      </c>
      <c r="B883" s="117" t="s">
        <v>1665</v>
      </c>
      <c r="C883" s="117" t="s">
        <v>1172</v>
      </c>
      <c r="D883" s="117" t="s">
        <v>1789</v>
      </c>
      <c r="E883" s="117" t="s">
        <v>11</v>
      </c>
      <c r="F883" s="117">
        <v>283</v>
      </c>
      <c r="G883" s="117">
        <v>142</v>
      </c>
      <c r="H883" s="117">
        <v>142</v>
      </c>
      <c r="I883" s="117"/>
      <c r="J883" s="117"/>
      <c r="K883" s="117" t="s">
        <v>2048</v>
      </c>
      <c r="L883" s="117" t="s">
        <v>1790</v>
      </c>
      <c r="M883" s="117" t="s">
        <v>17</v>
      </c>
      <c r="N883" s="117" t="s">
        <v>18</v>
      </c>
      <c r="O883" s="117"/>
      <c r="P883" s="117"/>
      <c r="Q883" s="117"/>
      <c r="R883" s="117"/>
    </row>
    <row r="884" spans="1:18" ht="27" customHeight="1">
      <c r="A884" s="117">
        <v>879</v>
      </c>
      <c r="B884" s="117" t="s">
        <v>1665</v>
      </c>
      <c r="C884" s="117" t="s">
        <v>1173</v>
      </c>
      <c r="D884" s="117" t="s">
        <v>1173</v>
      </c>
      <c r="E884" s="117" t="s">
        <v>2</v>
      </c>
      <c r="F884" s="117">
        <v>1325</v>
      </c>
      <c r="G884" s="117">
        <v>1325</v>
      </c>
      <c r="H884" s="117">
        <v>1325</v>
      </c>
      <c r="I884" s="117"/>
      <c r="J884" s="117"/>
      <c r="K884" s="117" t="s">
        <v>1953</v>
      </c>
      <c r="L884" s="117" t="s">
        <v>1690</v>
      </c>
      <c r="M884" s="117" t="s">
        <v>17</v>
      </c>
      <c r="N884" s="117" t="s">
        <v>1269</v>
      </c>
      <c r="O884" s="117"/>
      <c r="P884" s="117"/>
      <c r="Q884" s="117"/>
      <c r="R884" s="117"/>
    </row>
    <row r="885" spans="1:18" ht="27" customHeight="1">
      <c r="A885" s="117">
        <v>880</v>
      </c>
      <c r="B885" s="117" t="s">
        <v>1665</v>
      </c>
      <c r="C885" s="117" t="s">
        <v>1174</v>
      </c>
      <c r="D885" s="117" t="s">
        <v>1174</v>
      </c>
      <c r="E885" s="117" t="s">
        <v>11</v>
      </c>
      <c r="F885" s="117">
        <v>744</v>
      </c>
      <c r="G885" s="117">
        <v>744</v>
      </c>
      <c r="H885" s="117">
        <v>744</v>
      </c>
      <c r="I885" s="117"/>
      <c r="J885" s="117"/>
      <c r="K885" s="117" t="s">
        <v>2139</v>
      </c>
      <c r="L885" s="117" t="s">
        <v>1791</v>
      </c>
      <c r="M885" s="117" t="s">
        <v>17</v>
      </c>
      <c r="N885" s="117" t="s">
        <v>18</v>
      </c>
      <c r="O885" s="117"/>
      <c r="P885" s="117"/>
      <c r="Q885" s="117"/>
      <c r="R885" s="117"/>
    </row>
    <row r="886" spans="1:18" ht="27" customHeight="1">
      <c r="A886" s="117">
        <v>881</v>
      </c>
      <c r="B886" s="117" t="s">
        <v>1665</v>
      </c>
      <c r="C886" s="117" t="s">
        <v>1175</v>
      </c>
      <c r="D886" s="117" t="s">
        <v>1792</v>
      </c>
      <c r="E886" s="117" t="s">
        <v>0</v>
      </c>
      <c r="F886" s="117">
        <v>1847</v>
      </c>
      <c r="G886" s="117">
        <v>1344</v>
      </c>
      <c r="H886" s="117">
        <v>1344</v>
      </c>
      <c r="I886" s="117"/>
      <c r="J886" s="117"/>
      <c r="K886" s="117" t="s">
        <v>2103</v>
      </c>
      <c r="L886" s="117" t="s">
        <v>1793</v>
      </c>
      <c r="M886" s="117" t="s">
        <v>17</v>
      </c>
      <c r="N886" s="117" t="s">
        <v>18</v>
      </c>
      <c r="O886" s="117"/>
      <c r="P886" s="117"/>
      <c r="Q886" s="117"/>
      <c r="R886" s="117"/>
    </row>
    <row r="887" spans="1:18" ht="27" customHeight="1">
      <c r="A887" s="117">
        <v>882</v>
      </c>
      <c r="B887" s="117" t="s">
        <v>1665</v>
      </c>
      <c r="C887" s="117" t="s">
        <v>492</v>
      </c>
      <c r="D887" s="117" t="s">
        <v>1794</v>
      </c>
      <c r="E887" s="117" t="s">
        <v>0</v>
      </c>
      <c r="F887" s="117">
        <v>2799</v>
      </c>
      <c r="G887" s="117">
        <v>1587</v>
      </c>
      <c r="H887" s="117">
        <v>1587</v>
      </c>
      <c r="I887" s="117"/>
      <c r="J887" s="117"/>
      <c r="K887" s="117" t="s">
        <v>2140</v>
      </c>
      <c r="L887" s="117" t="s">
        <v>1795</v>
      </c>
      <c r="M887" s="117" t="s">
        <v>17</v>
      </c>
      <c r="N887" s="117" t="s">
        <v>18</v>
      </c>
      <c r="O887" s="117"/>
      <c r="P887" s="117"/>
      <c r="Q887" s="117"/>
      <c r="R887" s="117"/>
    </row>
    <row r="888" spans="1:18" ht="27" customHeight="1">
      <c r="A888" s="117">
        <v>883</v>
      </c>
      <c r="B888" s="117" t="s">
        <v>1665</v>
      </c>
      <c r="C888" s="117" t="s">
        <v>1176</v>
      </c>
      <c r="D888" s="117" t="s">
        <v>1176</v>
      </c>
      <c r="E888" s="117" t="s">
        <v>2</v>
      </c>
      <c r="F888" s="117">
        <v>74</v>
      </c>
      <c r="G888" s="117">
        <v>74</v>
      </c>
      <c r="H888" s="117">
        <v>74</v>
      </c>
      <c r="I888" s="117"/>
      <c r="J888" s="117"/>
      <c r="K888" s="117" t="s">
        <v>17</v>
      </c>
      <c r="L888" s="117" t="s">
        <v>78</v>
      </c>
      <c r="M888" s="117" t="s">
        <v>17</v>
      </c>
      <c r="N888" s="117" t="s">
        <v>78</v>
      </c>
      <c r="O888" s="117"/>
      <c r="P888" s="117"/>
      <c r="Q888" s="117"/>
      <c r="R888" s="117"/>
    </row>
    <row r="889" spans="1:18" ht="27" customHeight="1">
      <c r="A889" s="117">
        <v>884</v>
      </c>
      <c r="B889" s="117" t="s">
        <v>1665</v>
      </c>
      <c r="C889" s="117" t="s">
        <v>559</v>
      </c>
      <c r="D889" s="117" t="s">
        <v>1796</v>
      </c>
      <c r="E889" s="117" t="s">
        <v>0</v>
      </c>
      <c r="F889" s="117">
        <v>2902</v>
      </c>
      <c r="G889" s="117">
        <v>1690</v>
      </c>
      <c r="H889" s="117">
        <v>1690</v>
      </c>
      <c r="I889" s="117"/>
      <c r="J889" s="117"/>
      <c r="K889" s="117" t="s">
        <v>2140</v>
      </c>
      <c r="L889" s="117" t="s">
        <v>1797</v>
      </c>
      <c r="M889" s="117" t="s">
        <v>17</v>
      </c>
      <c r="N889" s="117" t="s">
        <v>18</v>
      </c>
      <c r="O889" s="117"/>
      <c r="P889" s="117"/>
      <c r="Q889" s="117"/>
      <c r="R889" s="117"/>
    </row>
    <row r="890" spans="1:18" ht="27" customHeight="1">
      <c r="A890" s="117">
        <v>885</v>
      </c>
      <c r="B890" s="117" t="s">
        <v>1665</v>
      </c>
      <c r="C890" s="117" t="s">
        <v>488</v>
      </c>
      <c r="D890" s="117" t="s">
        <v>1798</v>
      </c>
      <c r="E890" s="117" t="s">
        <v>0</v>
      </c>
      <c r="F890" s="117">
        <v>1963</v>
      </c>
      <c r="G890" s="117">
        <v>1194</v>
      </c>
      <c r="H890" s="117">
        <v>1194</v>
      </c>
      <c r="I890" s="117"/>
      <c r="J890" s="117"/>
      <c r="K890" s="117" t="s">
        <v>2141</v>
      </c>
      <c r="L890" s="117" t="s">
        <v>1799</v>
      </c>
      <c r="M890" s="117" t="s">
        <v>17</v>
      </c>
      <c r="N890" s="117" t="s">
        <v>18</v>
      </c>
      <c r="O890" s="117"/>
      <c r="P890" s="117"/>
      <c r="Q890" s="117"/>
      <c r="R890" s="117"/>
    </row>
    <row r="891" spans="1:18" ht="27" customHeight="1">
      <c r="A891" s="117">
        <v>886</v>
      </c>
      <c r="B891" s="117" t="s">
        <v>1665</v>
      </c>
      <c r="C891" s="117" t="s">
        <v>491</v>
      </c>
      <c r="D891" s="117" t="s">
        <v>1800</v>
      </c>
      <c r="E891" s="117" t="s">
        <v>0</v>
      </c>
      <c r="F891" s="117">
        <v>971</v>
      </c>
      <c r="G891" s="117">
        <v>608</v>
      </c>
      <c r="H891" s="117">
        <v>608</v>
      </c>
      <c r="I891" s="117"/>
      <c r="J891" s="117"/>
      <c r="K891" s="117" t="s">
        <v>2142</v>
      </c>
      <c r="L891" s="117" t="s">
        <v>1801</v>
      </c>
      <c r="M891" s="117" t="s">
        <v>17</v>
      </c>
      <c r="N891" s="117" t="s">
        <v>18</v>
      </c>
      <c r="O891" s="117"/>
      <c r="P891" s="117"/>
      <c r="Q891" s="117"/>
      <c r="R891" s="117"/>
    </row>
    <row r="892" spans="1:18" ht="27" customHeight="1">
      <c r="A892" s="117">
        <v>887</v>
      </c>
      <c r="B892" s="117" t="s">
        <v>1665</v>
      </c>
      <c r="C892" s="117" t="s">
        <v>558</v>
      </c>
      <c r="D892" s="117" t="s">
        <v>1802</v>
      </c>
      <c r="E892" s="117" t="s">
        <v>0</v>
      </c>
      <c r="F892" s="117">
        <v>2111</v>
      </c>
      <c r="G892" s="117">
        <v>1289</v>
      </c>
      <c r="H892" s="117">
        <v>1289</v>
      </c>
      <c r="I892" s="117"/>
      <c r="J892" s="117"/>
      <c r="K892" s="117" t="s">
        <v>2103</v>
      </c>
      <c r="L892" s="117" t="s">
        <v>1803</v>
      </c>
      <c r="M892" s="117" t="s">
        <v>17</v>
      </c>
      <c r="N892" s="117" t="s">
        <v>18</v>
      </c>
      <c r="O892" s="117"/>
      <c r="P892" s="117"/>
      <c r="Q892" s="117"/>
      <c r="R892" s="117"/>
    </row>
    <row r="893" spans="1:18" ht="27" customHeight="1">
      <c r="A893" s="117">
        <v>888</v>
      </c>
      <c r="B893" s="117" t="s">
        <v>1665</v>
      </c>
      <c r="C893" s="117" t="s">
        <v>1177</v>
      </c>
      <c r="D893" s="117" t="s">
        <v>1804</v>
      </c>
      <c r="E893" s="117" t="s">
        <v>2</v>
      </c>
      <c r="F893" s="117">
        <v>7024</v>
      </c>
      <c r="G893" s="117">
        <v>766</v>
      </c>
      <c r="H893" s="117">
        <v>766</v>
      </c>
      <c r="I893" s="117"/>
      <c r="J893" s="117"/>
      <c r="K893" s="117" t="s">
        <v>17</v>
      </c>
      <c r="L893" s="117" t="s">
        <v>78</v>
      </c>
      <c r="M893" s="117" t="s">
        <v>17</v>
      </c>
      <c r="N893" s="117" t="s">
        <v>78</v>
      </c>
      <c r="O893" s="117"/>
      <c r="P893" s="117"/>
      <c r="Q893" s="117"/>
      <c r="R893" s="117"/>
    </row>
    <row r="894" spans="1:18" ht="27" customHeight="1">
      <c r="A894" s="117">
        <v>889</v>
      </c>
      <c r="B894" s="117" t="s">
        <v>1665</v>
      </c>
      <c r="C894" s="117" t="s">
        <v>1178</v>
      </c>
      <c r="D894" s="117" t="s">
        <v>489</v>
      </c>
      <c r="E894" s="117" t="s">
        <v>0</v>
      </c>
      <c r="F894" s="117">
        <v>1477</v>
      </c>
      <c r="G894" s="117">
        <v>398</v>
      </c>
      <c r="H894" s="117">
        <v>398</v>
      </c>
      <c r="I894" s="117"/>
      <c r="J894" s="117"/>
      <c r="K894" s="117" t="s">
        <v>2143</v>
      </c>
      <c r="L894" s="117" t="s">
        <v>1805</v>
      </c>
      <c r="M894" s="117" t="s">
        <v>17</v>
      </c>
      <c r="N894" s="117" t="s">
        <v>18</v>
      </c>
      <c r="O894" s="117"/>
      <c r="P894" s="117"/>
      <c r="Q894" s="117"/>
      <c r="R894" s="117"/>
    </row>
    <row r="895" spans="1:18" ht="27" customHeight="1">
      <c r="A895" s="117">
        <v>890</v>
      </c>
      <c r="B895" s="117" t="s">
        <v>1665</v>
      </c>
      <c r="C895" s="117" t="s">
        <v>1179</v>
      </c>
      <c r="D895" s="117" t="s">
        <v>1806</v>
      </c>
      <c r="E895" s="117" t="s">
        <v>3</v>
      </c>
      <c r="F895" s="117">
        <v>41579</v>
      </c>
      <c r="G895" s="117">
        <v>970</v>
      </c>
      <c r="H895" s="117">
        <v>346</v>
      </c>
      <c r="I895" s="117"/>
      <c r="J895" s="117"/>
      <c r="K895" s="117" t="s">
        <v>17</v>
      </c>
      <c r="L895" s="117" t="s">
        <v>78</v>
      </c>
      <c r="M895" s="117" t="s">
        <v>17</v>
      </c>
      <c r="N895" s="117" t="s">
        <v>78</v>
      </c>
      <c r="O895" s="117"/>
      <c r="P895" s="117"/>
      <c r="Q895" s="117"/>
      <c r="R895" s="117"/>
    </row>
    <row r="896" spans="1:18" ht="27" customHeight="1">
      <c r="A896" s="117">
        <v>891</v>
      </c>
      <c r="B896" s="117" t="s">
        <v>1665</v>
      </c>
      <c r="C896" s="117" t="s">
        <v>1180</v>
      </c>
      <c r="D896" s="117" t="s">
        <v>748</v>
      </c>
      <c r="E896" s="117" t="s">
        <v>6</v>
      </c>
      <c r="F896" s="117">
        <v>1104</v>
      </c>
      <c r="G896" s="117">
        <v>343</v>
      </c>
      <c r="H896" s="117">
        <v>343</v>
      </c>
      <c r="I896" s="117"/>
      <c r="J896" s="117"/>
      <c r="K896" s="117" t="s">
        <v>2144</v>
      </c>
      <c r="L896" s="117" t="s">
        <v>1807</v>
      </c>
      <c r="M896" s="117" t="s">
        <v>17</v>
      </c>
      <c r="N896" s="117" t="s">
        <v>18</v>
      </c>
      <c r="O896" s="117"/>
      <c r="P896" s="117"/>
      <c r="Q896" s="117"/>
      <c r="R896" s="117"/>
    </row>
    <row r="897" spans="1:18" ht="27" customHeight="1">
      <c r="A897" s="117">
        <v>892</v>
      </c>
      <c r="B897" s="117" t="s">
        <v>1665</v>
      </c>
      <c r="C897" s="117" t="s">
        <v>1181</v>
      </c>
      <c r="D897" s="117" t="s">
        <v>1808</v>
      </c>
      <c r="E897" s="117" t="s">
        <v>3</v>
      </c>
      <c r="F897" s="117">
        <v>1097</v>
      </c>
      <c r="G897" s="117">
        <v>155</v>
      </c>
      <c r="H897" s="117">
        <v>155</v>
      </c>
      <c r="I897" s="117"/>
      <c r="J897" s="117"/>
      <c r="K897" s="117" t="s">
        <v>17</v>
      </c>
      <c r="L897" s="117" t="s">
        <v>72</v>
      </c>
      <c r="M897" s="117" t="s">
        <v>17</v>
      </c>
      <c r="N897" s="117" t="s">
        <v>72</v>
      </c>
      <c r="O897" s="117"/>
      <c r="P897" s="117"/>
      <c r="Q897" s="117"/>
      <c r="R897" s="117"/>
    </row>
    <row r="898" spans="1:18" ht="27" customHeight="1">
      <c r="A898" s="117">
        <v>893</v>
      </c>
      <c r="B898" s="117" t="s">
        <v>1665</v>
      </c>
      <c r="C898" s="117" t="s">
        <v>1182</v>
      </c>
      <c r="D898" s="117" t="s">
        <v>793</v>
      </c>
      <c r="E898" s="117" t="s">
        <v>6</v>
      </c>
      <c r="F898" s="117">
        <v>2347</v>
      </c>
      <c r="G898" s="117">
        <v>972</v>
      </c>
      <c r="H898" s="117">
        <v>972</v>
      </c>
      <c r="I898" s="117"/>
      <c r="J898" s="117"/>
      <c r="K898" s="117" t="s">
        <v>2129</v>
      </c>
      <c r="L898" s="117" t="s">
        <v>1809</v>
      </c>
      <c r="M898" s="117" t="s">
        <v>17</v>
      </c>
      <c r="N898" s="117" t="s">
        <v>18</v>
      </c>
      <c r="O898" s="117"/>
      <c r="P898" s="117"/>
      <c r="Q898" s="117"/>
      <c r="R898" s="117"/>
    </row>
    <row r="899" spans="1:18" ht="27" customHeight="1">
      <c r="A899" s="117">
        <v>894</v>
      </c>
      <c r="B899" s="117" t="s">
        <v>1665</v>
      </c>
      <c r="C899" s="117" t="s">
        <v>795</v>
      </c>
      <c r="D899" s="117" t="s">
        <v>755</v>
      </c>
      <c r="E899" s="117" t="s">
        <v>0</v>
      </c>
      <c r="F899" s="117">
        <v>9460</v>
      </c>
      <c r="G899" s="117">
        <v>1584</v>
      </c>
      <c r="H899" s="117">
        <v>1584</v>
      </c>
      <c r="I899" s="117"/>
      <c r="J899" s="117"/>
      <c r="K899" s="117" t="s">
        <v>2129</v>
      </c>
      <c r="L899" s="117" t="s">
        <v>1809</v>
      </c>
      <c r="M899" s="117" t="s">
        <v>17</v>
      </c>
      <c r="N899" s="117" t="s">
        <v>18</v>
      </c>
      <c r="O899" s="117"/>
      <c r="P899" s="117"/>
      <c r="Q899" s="117"/>
      <c r="R899" s="117"/>
    </row>
    <row r="900" spans="1:18" ht="27" customHeight="1">
      <c r="A900" s="117">
        <v>895</v>
      </c>
      <c r="B900" s="117" t="s">
        <v>1665</v>
      </c>
      <c r="C900" s="117" t="s">
        <v>1101</v>
      </c>
      <c r="D900" s="117" t="s">
        <v>1810</v>
      </c>
      <c r="E900" s="117" t="s">
        <v>23</v>
      </c>
      <c r="F900" s="117">
        <v>323</v>
      </c>
      <c r="G900" s="117">
        <v>283</v>
      </c>
      <c r="H900" s="117">
        <v>283</v>
      </c>
      <c r="I900" s="117"/>
      <c r="J900" s="117"/>
      <c r="K900" s="117" t="s">
        <v>2135</v>
      </c>
      <c r="L900" s="117" t="s">
        <v>1781</v>
      </c>
      <c r="M900" s="117" t="s">
        <v>17</v>
      </c>
      <c r="N900" s="117" t="s">
        <v>18</v>
      </c>
      <c r="O900" s="117"/>
      <c r="P900" s="117"/>
      <c r="Q900" s="117"/>
      <c r="R900" s="117"/>
    </row>
    <row r="901" spans="1:18" ht="27" customHeight="1">
      <c r="A901" s="117">
        <v>896</v>
      </c>
      <c r="B901" s="117" t="s">
        <v>1665</v>
      </c>
      <c r="C901" s="117" t="s">
        <v>1183</v>
      </c>
      <c r="D901" s="117" t="s">
        <v>1811</v>
      </c>
      <c r="E901" s="117" t="s">
        <v>2</v>
      </c>
      <c r="F901" s="117">
        <v>39</v>
      </c>
      <c r="G901" s="117">
        <v>20</v>
      </c>
      <c r="H901" s="117">
        <v>20</v>
      </c>
      <c r="I901" s="117"/>
      <c r="J901" s="117"/>
      <c r="K901" s="117" t="s">
        <v>1953</v>
      </c>
      <c r="L901" s="117" t="s">
        <v>1690</v>
      </c>
      <c r="M901" s="117" t="s">
        <v>17</v>
      </c>
      <c r="N901" s="117" t="s">
        <v>1269</v>
      </c>
      <c r="O901" s="117"/>
      <c r="P901" s="117"/>
      <c r="Q901" s="117"/>
      <c r="R901" s="117"/>
    </row>
    <row r="902" spans="1:18" ht="27" customHeight="1">
      <c r="A902" s="117">
        <v>897</v>
      </c>
      <c r="B902" s="117" t="s">
        <v>1665</v>
      </c>
      <c r="C902" s="117" t="s">
        <v>1184</v>
      </c>
      <c r="D902" s="117" t="s">
        <v>1812</v>
      </c>
      <c r="E902" s="117" t="s">
        <v>23</v>
      </c>
      <c r="F902" s="117">
        <v>299</v>
      </c>
      <c r="G902" s="117">
        <v>73</v>
      </c>
      <c r="H902" s="117">
        <v>73</v>
      </c>
      <c r="I902" s="117"/>
      <c r="J902" s="117"/>
      <c r="K902" s="117" t="s">
        <v>2135</v>
      </c>
      <c r="L902" s="117" t="s">
        <v>1781</v>
      </c>
      <c r="M902" s="117" t="s">
        <v>17</v>
      </c>
      <c r="N902" s="117" t="s">
        <v>18</v>
      </c>
      <c r="O902" s="117"/>
      <c r="P902" s="117"/>
      <c r="Q902" s="117"/>
      <c r="R902" s="117"/>
    </row>
    <row r="903" spans="1:18" ht="27" customHeight="1">
      <c r="A903" s="117">
        <v>898</v>
      </c>
      <c r="B903" s="117" t="s">
        <v>1665</v>
      </c>
      <c r="C903" s="117" t="s">
        <v>1100</v>
      </c>
      <c r="D903" s="117" t="s">
        <v>1813</v>
      </c>
      <c r="E903" s="117" t="s">
        <v>0</v>
      </c>
      <c r="F903" s="117">
        <v>893</v>
      </c>
      <c r="G903" s="117">
        <v>25</v>
      </c>
      <c r="H903" s="117">
        <v>25</v>
      </c>
      <c r="I903" s="117"/>
      <c r="J903" s="117"/>
      <c r="K903" s="117" t="s">
        <v>2135</v>
      </c>
      <c r="L903" s="117" t="s">
        <v>1781</v>
      </c>
      <c r="M903" s="117" t="s">
        <v>17</v>
      </c>
      <c r="N903" s="117" t="s">
        <v>18</v>
      </c>
      <c r="O903" s="117"/>
      <c r="P903" s="117"/>
      <c r="Q903" s="117"/>
      <c r="R903" s="117"/>
    </row>
    <row r="904" spans="1:18" ht="27" customHeight="1">
      <c r="A904" s="117">
        <v>899</v>
      </c>
      <c r="B904" s="117" t="s">
        <v>1665</v>
      </c>
      <c r="C904" s="117" t="s">
        <v>1185</v>
      </c>
      <c r="D904" s="117" t="s">
        <v>1814</v>
      </c>
      <c r="E904" s="117" t="s">
        <v>2</v>
      </c>
      <c r="F904" s="117">
        <v>2220</v>
      </c>
      <c r="G904" s="117">
        <v>552</v>
      </c>
      <c r="H904" s="117">
        <v>552</v>
      </c>
      <c r="I904" s="117"/>
      <c r="J904" s="117"/>
      <c r="K904" s="117" t="s">
        <v>17</v>
      </c>
      <c r="L904" s="117" t="s">
        <v>78</v>
      </c>
      <c r="M904" s="117" t="s">
        <v>17</v>
      </c>
      <c r="N904" s="117" t="s">
        <v>78</v>
      </c>
      <c r="O904" s="117"/>
      <c r="P904" s="117"/>
      <c r="Q904" s="117"/>
      <c r="R904" s="117"/>
    </row>
    <row r="905" spans="1:18" ht="27" customHeight="1">
      <c r="A905" s="117">
        <v>900</v>
      </c>
      <c r="B905" s="117" t="s">
        <v>1665</v>
      </c>
      <c r="C905" s="117" t="s">
        <v>1186</v>
      </c>
      <c r="D905" s="117" t="s">
        <v>1815</v>
      </c>
      <c r="E905" s="117" t="s">
        <v>0</v>
      </c>
      <c r="F905" s="117">
        <v>1242</v>
      </c>
      <c r="G905" s="117">
        <v>268</v>
      </c>
      <c r="H905" s="117">
        <v>268</v>
      </c>
      <c r="I905" s="117"/>
      <c r="J905" s="117"/>
      <c r="K905" s="117" t="s">
        <v>2145</v>
      </c>
      <c r="L905" s="117" t="s">
        <v>1816</v>
      </c>
      <c r="M905" s="117" t="s">
        <v>17</v>
      </c>
      <c r="N905" s="117" t="s">
        <v>18</v>
      </c>
      <c r="O905" s="117"/>
      <c r="P905" s="117"/>
      <c r="Q905" s="117"/>
      <c r="R905" s="117"/>
    </row>
    <row r="906" spans="1:18" ht="27" customHeight="1">
      <c r="A906" s="117">
        <v>901</v>
      </c>
      <c r="B906" s="117" t="s">
        <v>1665</v>
      </c>
      <c r="C906" s="117" t="s">
        <v>1187</v>
      </c>
      <c r="D906" s="117" t="s">
        <v>1817</v>
      </c>
      <c r="E906" s="117" t="s">
        <v>0</v>
      </c>
      <c r="F906" s="117">
        <v>2625</v>
      </c>
      <c r="G906" s="117">
        <v>614</v>
      </c>
      <c r="H906" s="117">
        <v>614</v>
      </c>
      <c r="I906" s="117"/>
      <c r="J906" s="117"/>
      <c r="K906" s="117" t="s">
        <v>2146</v>
      </c>
      <c r="L906" s="117" t="s">
        <v>1818</v>
      </c>
      <c r="M906" s="117" t="s">
        <v>17</v>
      </c>
      <c r="N906" s="117" t="s">
        <v>18</v>
      </c>
      <c r="O906" s="117"/>
      <c r="P906" s="117"/>
      <c r="Q906" s="117"/>
      <c r="R906" s="117"/>
    </row>
    <row r="907" spans="1:18" ht="27" customHeight="1">
      <c r="A907" s="117">
        <v>902</v>
      </c>
      <c r="B907" s="117" t="s">
        <v>1665</v>
      </c>
      <c r="C907" s="117" t="s">
        <v>1188</v>
      </c>
      <c r="D907" s="117" t="s">
        <v>1819</v>
      </c>
      <c r="E907" s="117" t="s">
        <v>2</v>
      </c>
      <c r="F907" s="117">
        <v>1665</v>
      </c>
      <c r="G907" s="117">
        <v>868</v>
      </c>
      <c r="H907" s="117">
        <v>868</v>
      </c>
      <c r="I907" s="117"/>
      <c r="J907" s="117"/>
      <c r="K907" s="117" t="s">
        <v>17</v>
      </c>
      <c r="L907" s="117" t="s">
        <v>78</v>
      </c>
      <c r="M907" s="117" t="s">
        <v>17</v>
      </c>
      <c r="N907" s="117" t="s">
        <v>78</v>
      </c>
      <c r="O907" s="117"/>
      <c r="P907" s="117"/>
      <c r="Q907" s="117"/>
      <c r="R907" s="117"/>
    </row>
    <row r="908" spans="1:18" ht="27" customHeight="1">
      <c r="A908" s="117">
        <v>903</v>
      </c>
      <c r="B908" s="117" t="s">
        <v>1665</v>
      </c>
      <c r="C908" s="117" t="s">
        <v>1189</v>
      </c>
      <c r="D908" s="117" t="s">
        <v>1820</v>
      </c>
      <c r="E908" s="117" t="s">
        <v>0</v>
      </c>
      <c r="F908" s="117">
        <v>3087</v>
      </c>
      <c r="G908" s="117">
        <v>511</v>
      </c>
      <c r="H908" s="117">
        <v>511</v>
      </c>
      <c r="I908" s="117"/>
      <c r="J908" s="117"/>
      <c r="K908" s="117" t="s">
        <v>2146</v>
      </c>
      <c r="L908" s="117" t="s">
        <v>1818</v>
      </c>
      <c r="M908" s="117" t="s">
        <v>17</v>
      </c>
      <c r="N908" s="117" t="s">
        <v>18</v>
      </c>
      <c r="O908" s="117"/>
      <c r="P908" s="117"/>
      <c r="Q908" s="117"/>
      <c r="R908" s="117"/>
    </row>
    <row r="909" spans="1:18" ht="27" customHeight="1">
      <c r="A909" s="117">
        <v>904</v>
      </c>
      <c r="B909" s="117" t="s">
        <v>1665</v>
      </c>
      <c r="C909" s="117" t="s">
        <v>1190</v>
      </c>
      <c r="D909" s="117" t="s">
        <v>1821</v>
      </c>
      <c r="E909" s="117" t="s">
        <v>0</v>
      </c>
      <c r="F909" s="117">
        <v>2830</v>
      </c>
      <c r="G909" s="117">
        <v>366</v>
      </c>
      <c r="H909" s="117">
        <v>366</v>
      </c>
      <c r="I909" s="117"/>
      <c r="J909" s="117"/>
      <c r="K909" s="117" t="s">
        <v>2147</v>
      </c>
      <c r="L909" s="117" t="s">
        <v>1822</v>
      </c>
      <c r="M909" s="117" t="s">
        <v>17</v>
      </c>
      <c r="N909" s="117" t="s">
        <v>18</v>
      </c>
      <c r="O909" s="117"/>
      <c r="P909" s="117"/>
      <c r="Q909" s="117"/>
      <c r="R909" s="117"/>
    </row>
    <row r="910" spans="1:18" ht="27" customHeight="1">
      <c r="A910" s="117">
        <v>905</v>
      </c>
      <c r="B910" s="117" t="s">
        <v>1665</v>
      </c>
      <c r="C910" s="117" t="s">
        <v>561</v>
      </c>
      <c r="D910" s="117" t="s">
        <v>1823</v>
      </c>
      <c r="E910" s="117" t="s">
        <v>0</v>
      </c>
      <c r="F910" s="117">
        <v>2030</v>
      </c>
      <c r="G910" s="117">
        <v>212</v>
      </c>
      <c r="H910" s="117">
        <v>212</v>
      </c>
      <c r="I910" s="117"/>
      <c r="J910" s="117"/>
      <c r="K910" s="117" t="s">
        <v>2048</v>
      </c>
      <c r="L910" s="117" t="s">
        <v>1824</v>
      </c>
      <c r="M910" s="117" t="s">
        <v>17</v>
      </c>
      <c r="N910" s="117" t="s">
        <v>18</v>
      </c>
      <c r="O910" s="117"/>
      <c r="P910" s="117"/>
      <c r="Q910" s="117"/>
      <c r="R910" s="117"/>
    </row>
    <row r="911" spans="1:18" ht="27" customHeight="1">
      <c r="A911" s="117">
        <v>906</v>
      </c>
      <c r="B911" s="117" t="s">
        <v>1665</v>
      </c>
      <c r="C911" s="117" t="s">
        <v>1397</v>
      </c>
      <c r="D911" s="117" t="s">
        <v>1397</v>
      </c>
      <c r="E911" s="117" t="s">
        <v>2</v>
      </c>
      <c r="F911" s="117">
        <v>633</v>
      </c>
      <c r="G911" s="117"/>
      <c r="H911" s="117">
        <v>633</v>
      </c>
      <c r="I911" s="117"/>
      <c r="J911" s="117"/>
      <c r="K911" s="117" t="s">
        <v>17</v>
      </c>
      <c r="L911" s="117" t="s">
        <v>1825</v>
      </c>
      <c r="M911" s="117" t="s">
        <v>17</v>
      </c>
      <c r="N911" s="117" t="s">
        <v>1825</v>
      </c>
      <c r="O911" s="117"/>
      <c r="P911" s="117"/>
      <c r="Q911" s="117"/>
      <c r="R911" s="117" t="s">
        <v>1337</v>
      </c>
    </row>
    <row r="912" spans="1:18" ht="27" customHeight="1">
      <c r="A912" s="117">
        <v>907</v>
      </c>
      <c r="B912" s="117" t="s">
        <v>1826</v>
      </c>
      <c r="C912" s="117" t="s">
        <v>1191</v>
      </c>
      <c r="D912" s="117" t="s">
        <v>1827</v>
      </c>
      <c r="E912" s="117" t="s">
        <v>0</v>
      </c>
      <c r="F912" s="117">
        <v>436</v>
      </c>
      <c r="G912" s="117">
        <v>294</v>
      </c>
      <c r="H912" s="117">
        <v>294</v>
      </c>
      <c r="I912" s="117"/>
      <c r="J912" s="117"/>
      <c r="K912" s="117" t="s">
        <v>2129</v>
      </c>
      <c r="L912" s="117" t="s">
        <v>1828</v>
      </c>
      <c r="M912" s="117" t="s">
        <v>17</v>
      </c>
      <c r="N912" s="117" t="s">
        <v>18</v>
      </c>
      <c r="O912" s="117"/>
      <c r="P912" s="117"/>
      <c r="Q912" s="117"/>
      <c r="R912" s="117"/>
    </row>
    <row r="913" spans="1:18" ht="27" customHeight="1">
      <c r="A913" s="117">
        <v>908</v>
      </c>
      <c r="B913" s="117" t="s">
        <v>1826</v>
      </c>
      <c r="C913" s="117" t="s">
        <v>1192</v>
      </c>
      <c r="D913" s="117" t="s">
        <v>1829</v>
      </c>
      <c r="E913" s="117" t="s">
        <v>0</v>
      </c>
      <c r="F913" s="117">
        <v>3103</v>
      </c>
      <c r="G913" s="117">
        <v>1292</v>
      </c>
      <c r="H913" s="117">
        <v>1292</v>
      </c>
      <c r="I913" s="117"/>
      <c r="J913" s="117"/>
      <c r="K913" s="117" t="s">
        <v>2148</v>
      </c>
      <c r="L913" s="117" t="s">
        <v>1830</v>
      </c>
      <c r="M913" s="117" t="s">
        <v>17</v>
      </c>
      <c r="N913" s="117" t="s">
        <v>18</v>
      </c>
      <c r="O913" s="117"/>
      <c r="P913" s="117"/>
      <c r="Q913" s="117"/>
      <c r="R913" s="117"/>
    </row>
    <row r="914" spans="1:18" ht="27" customHeight="1">
      <c r="A914" s="117">
        <v>909</v>
      </c>
      <c r="B914" s="117" t="s">
        <v>1826</v>
      </c>
      <c r="C914" s="117" t="s">
        <v>1193</v>
      </c>
      <c r="D914" s="117" t="s">
        <v>1831</v>
      </c>
      <c r="E914" s="117" t="s">
        <v>2</v>
      </c>
      <c r="F914" s="117">
        <v>14161</v>
      </c>
      <c r="G914" s="117">
        <v>573</v>
      </c>
      <c r="H914" s="117">
        <v>573</v>
      </c>
      <c r="I914" s="117"/>
      <c r="J914" s="117"/>
      <c r="K914" s="117" t="s">
        <v>17</v>
      </c>
      <c r="L914" s="117" t="s">
        <v>78</v>
      </c>
      <c r="M914" s="117" t="s">
        <v>17</v>
      </c>
      <c r="N914" s="117" t="s">
        <v>78</v>
      </c>
      <c r="O914" s="117"/>
      <c r="P914" s="117"/>
      <c r="Q914" s="117"/>
      <c r="R914" s="117"/>
    </row>
    <row r="915" spans="1:18" ht="27" customHeight="1">
      <c r="A915" s="117">
        <v>910</v>
      </c>
      <c r="B915" s="117" t="s">
        <v>1826</v>
      </c>
      <c r="C915" s="117" t="s">
        <v>1194</v>
      </c>
      <c r="D915" s="117" t="s">
        <v>1832</v>
      </c>
      <c r="E915" s="117" t="s">
        <v>3</v>
      </c>
      <c r="F915" s="117">
        <v>11288</v>
      </c>
      <c r="G915" s="117">
        <v>440</v>
      </c>
      <c r="H915" s="117">
        <v>440</v>
      </c>
      <c r="I915" s="117"/>
      <c r="J915" s="117"/>
      <c r="K915" s="117" t="s">
        <v>17</v>
      </c>
      <c r="L915" s="117" t="s">
        <v>78</v>
      </c>
      <c r="M915" s="117" t="s">
        <v>17</v>
      </c>
      <c r="N915" s="117" t="s">
        <v>78</v>
      </c>
      <c r="O915" s="117"/>
      <c r="P915" s="117"/>
      <c r="Q915" s="117"/>
      <c r="R915" s="117"/>
    </row>
    <row r="916" spans="1:18" ht="27" customHeight="1">
      <c r="A916" s="117">
        <v>911</v>
      </c>
      <c r="B916" s="117" t="s">
        <v>1826</v>
      </c>
      <c r="C916" s="117" t="s">
        <v>1195</v>
      </c>
      <c r="D916" s="117" t="s">
        <v>1833</v>
      </c>
      <c r="E916" s="117" t="s">
        <v>0</v>
      </c>
      <c r="F916" s="117">
        <v>2326</v>
      </c>
      <c r="G916" s="117">
        <v>1026</v>
      </c>
      <c r="H916" s="117">
        <v>1026</v>
      </c>
      <c r="I916" s="117"/>
      <c r="J916" s="117"/>
      <c r="K916" s="117" t="s">
        <v>2149</v>
      </c>
      <c r="L916" s="117" t="s">
        <v>1834</v>
      </c>
      <c r="M916" s="117" t="s">
        <v>17</v>
      </c>
      <c r="N916" s="117" t="s">
        <v>18</v>
      </c>
      <c r="O916" s="117"/>
      <c r="P916" s="117"/>
      <c r="Q916" s="117"/>
      <c r="R916" s="117"/>
    </row>
    <row r="917" spans="1:18" ht="27" customHeight="1">
      <c r="A917" s="117">
        <v>912</v>
      </c>
      <c r="B917" s="117" t="s">
        <v>1826</v>
      </c>
      <c r="C917" s="117" t="s">
        <v>1196</v>
      </c>
      <c r="D917" s="117" t="s">
        <v>1835</v>
      </c>
      <c r="E917" s="117" t="s">
        <v>0</v>
      </c>
      <c r="F917" s="117">
        <v>1441</v>
      </c>
      <c r="G917" s="117">
        <v>759</v>
      </c>
      <c r="H917" s="117">
        <v>759</v>
      </c>
      <c r="I917" s="117"/>
      <c r="J917" s="117"/>
      <c r="K917" s="117" t="s">
        <v>2150</v>
      </c>
      <c r="L917" s="117" t="s">
        <v>1836</v>
      </c>
      <c r="M917" s="117" t="s">
        <v>17</v>
      </c>
      <c r="N917" s="117" t="s">
        <v>18</v>
      </c>
      <c r="O917" s="117"/>
      <c r="P917" s="117"/>
      <c r="Q917" s="117"/>
      <c r="R917" s="117"/>
    </row>
    <row r="918" spans="1:18" ht="27" customHeight="1">
      <c r="A918" s="117">
        <v>913</v>
      </c>
      <c r="B918" s="117" t="s">
        <v>1826</v>
      </c>
      <c r="C918" s="117" t="s">
        <v>1197</v>
      </c>
      <c r="D918" s="117" t="s">
        <v>1837</v>
      </c>
      <c r="E918" s="117" t="s">
        <v>0</v>
      </c>
      <c r="F918" s="117">
        <v>3174</v>
      </c>
      <c r="G918" s="117">
        <v>1605</v>
      </c>
      <c r="H918" s="117">
        <v>1605</v>
      </c>
      <c r="I918" s="117"/>
      <c r="J918" s="117"/>
      <c r="K918" s="117" t="s">
        <v>2150</v>
      </c>
      <c r="L918" s="117" t="s">
        <v>1836</v>
      </c>
      <c r="M918" s="117" t="s">
        <v>17</v>
      </c>
      <c r="N918" s="117" t="s">
        <v>18</v>
      </c>
      <c r="O918" s="117"/>
      <c r="P918" s="117"/>
      <c r="Q918" s="117"/>
      <c r="R918" s="117"/>
    </row>
    <row r="919" spans="1:18" ht="27" customHeight="1">
      <c r="A919" s="117">
        <v>914</v>
      </c>
      <c r="B919" s="117" t="s">
        <v>1826</v>
      </c>
      <c r="C919" s="117" t="s">
        <v>1198</v>
      </c>
      <c r="D919" s="117" t="s">
        <v>1838</v>
      </c>
      <c r="E919" s="117" t="s">
        <v>0</v>
      </c>
      <c r="F919" s="117">
        <v>824</v>
      </c>
      <c r="G919" s="117">
        <v>393</v>
      </c>
      <c r="H919" s="117">
        <v>393</v>
      </c>
      <c r="I919" s="117"/>
      <c r="J919" s="117"/>
      <c r="K919" s="117" t="s">
        <v>2129</v>
      </c>
      <c r="L919" s="117" t="s">
        <v>1839</v>
      </c>
      <c r="M919" s="117" t="s">
        <v>17</v>
      </c>
      <c r="N919" s="117" t="s">
        <v>18</v>
      </c>
      <c r="O919" s="117"/>
      <c r="P919" s="117"/>
      <c r="Q919" s="117"/>
      <c r="R919" s="117"/>
    </row>
    <row r="920" spans="1:18" ht="27" customHeight="1">
      <c r="A920" s="117">
        <v>915</v>
      </c>
      <c r="B920" s="117" t="s">
        <v>1826</v>
      </c>
      <c r="C920" s="117" t="s">
        <v>1199</v>
      </c>
      <c r="D920" s="117" t="s">
        <v>1840</v>
      </c>
      <c r="E920" s="117" t="s">
        <v>0</v>
      </c>
      <c r="F920" s="117">
        <v>1162</v>
      </c>
      <c r="G920" s="117">
        <v>590</v>
      </c>
      <c r="H920" s="117">
        <v>590</v>
      </c>
      <c r="I920" s="117"/>
      <c r="J920" s="117"/>
      <c r="K920" s="117" t="s">
        <v>2151</v>
      </c>
      <c r="L920" s="117" t="s">
        <v>1841</v>
      </c>
      <c r="M920" s="117" t="s">
        <v>17</v>
      </c>
      <c r="N920" s="117" t="s">
        <v>18</v>
      </c>
      <c r="O920" s="117"/>
      <c r="P920" s="117"/>
      <c r="Q920" s="117"/>
      <c r="R920" s="117"/>
    </row>
    <row r="921" spans="1:18" ht="27" customHeight="1">
      <c r="A921" s="117">
        <v>916</v>
      </c>
      <c r="B921" s="117" t="s">
        <v>1826</v>
      </c>
      <c r="C921" s="117" t="s">
        <v>1200</v>
      </c>
      <c r="D921" s="117" t="s">
        <v>1842</v>
      </c>
      <c r="E921" s="117" t="s">
        <v>0</v>
      </c>
      <c r="F921" s="117">
        <v>1497</v>
      </c>
      <c r="G921" s="117">
        <v>723</v>
      </c>
      <c r="H921" s="117">
        <v>723</v>
      </c>
      <c r="I921" s="117"/>
      <c r="J921" s="117"/>
      <c r="K921" s="117" t="s">
        <v>2152</v>
      </c>
      <c r="L921" s="117" t="s">
        <v>1843</v>
      </c>
      <c r="M921" s="117" t="s">
        <v>17</v>
      </c>
      <c r="N921" s="117" t="s">
        <v>18</v>
      </c>
      <c r="O921" s="117"/>
      <c r="P921" s="117"/>
      <c r="Q921" s="117"/>
      <c r="R921" s="117"/>
    </row>
    <row r="922" spans="1:18" ht="27" customHeight="1">
      <c r="A922" s="117">
        <v>917</v>
      </c>
      <c r="B922" s="117" t="s">
        <v>1826</v>
      </c>
      <c r="C922" s="117" t="s">
        <v>1201</v>
      </c>
      <c r="D922" s="117" t="s">
        <v>1844</v>
      </c>
      <c r="E922" s="117" t="s">
        <v>0</v>
      </c>
      <c r="F922" s="117">
        <v>3280</v>
      </c>
      <c r="G922" s="117">
        <v>1391</v>
      </c>
      <c r="H922" s="117">
        <v>1391</v>
      </c>
      <c r="I922" s="117"/>
      <c r="J922" s="117"/>
      <c r="K922" s="117" t="s">
        <v>2152</v>
      </c>
      <c r="L922" s="117" t="s">
        <v>1843</v>
      </c>
      <c r="M922" s="117" t="s">
        <v>17</v>
      </c>
      <c r="N922" s="117" t="s">
        <v>18</v>
      </c>
      <c r="O922" s="117"/>
      <c r="P922" s="117"/>
      <c r="Q922" s="117"/>
      <c r="R922" s="117"/>
    </row>
    <row r="923" spans="1:18" ht="27" customHeight="1">
      <c r="A923" s="117">
        <v>918</v>
      </c>
      <c r="B923" s="117" t="s">
        <v>1826</v>
      </c>
      <c r="C923" s="117" t="s">
        <v>1202</v>
      </c>
      <c r="D923" s="117" t="s">
        <v>1845</v>
      </c>
      <c r="E923" s="117" t="s">
        <v>0</v>
      </c>
      <c r="F923" s="117">
        <v>3189</v>
      </c>
      <c r="G923" s="117">
        <v>1127</v>
      </c>
      <c r="H923" s="117">
        <v>1127</v>
      </c>
      <c r="I923" s="117"/>
      <c r="J923" s="117"/>
      <c r="K923" s="117" t="s">
        <v>2152</v>
      </c>
      <c r="L923" s="117" t="s">
        <v>1843</v>
      </c>
      <c r="M923" s="117" t="s">
        <v>17</v>
      </c>
      <c r="N923" s="117" t="s">
        <v>18</v>
      </c>
      <c r="O923" s="117"/>
      <c r="P923" s="117"/>
      <c r="Q923" s="117"/>
      <c r="R923" s="117"/>
    </row>
    <row r="924" spans="1:18" ht="27" customHeight="1">
      <c r="A924" s="117">
        <v>919</v>
      </c>
      <c r="B924" s="117" t="s">
        <v>1826</v>
      </c>
      <c r="C924" s="117" t="s">
        <v>1203</v>
      </c>
      <c r="D924" s="117" t="s">
        <v>1846</v>
      </c>
      <c r="E924" s="117" t="s">
        <v>0</v>
      </c>
      <c r="F924" s="117">
        <v>2987</v>
      </c>
      <c r="G924" s="117">
        <v>819</v>
      </c>
      <c r="H924" s="117">
        <v>819</v>
      </c>
      <c r="I924" s="117"/>
      <c r="J924" s="117"/>
      <c r="K924" s="117" t="s">
        <v>2153</v>
      </c>
      <c r="L924" s="117" t="s">
        <v>1847</v>
      </c>
      <c r="M924" s="117" t="s">
        <v>17</v>
      </c>
      <c r="N924" s="117" t="s">
        <v>18</v>
      </c>
      <c r="O924" s="117"/>
      <c r="P924" s="117"/>
      <c r="Q924" s="117"/>
      <c r="R924" s="117"/>
    </row>
    <row r="925" spans="1:18" ht="27" customHeight="1">
      <c r="A925" s="117">
        <v>920</v>
      </c>
      <c r="B925" s="117" t="s">
        <v>1826</v>
      </c>
      <c r="C925" s="117" t="s">
        <v>1204</v>
      </c>
      <c r="D925" s="117" t="s">
        <v>1848</v>
      </c>
      <c r="E925" s="117" t="s">
        <v>0</v>
      </c>
      <c r="F925" s="117">
        <v>3568</v>
      </c>
      <c r="G925" s="117">
        <v>755</v>
      </c>
      <c r="H925" s="117">
        <v>755</v>
      </c>
      <c r="I925" s="117"/>
      <c r="J925" s="117"/>
      <c r="K925" s="117" t="s">
        <v>2129</v>
      </c>
      <c r="L925" s="117" t="s">
        <v>1849</v>
      </c>
      <c r="M925" s="117" t="s">
        <v>17</v>
      </c>
      <c r="N925" s="117" t="s">
        <v>18</v>
      </c>
      <c r="O925" s="117"/>
      <c r="P925" s="117"/>
      <c r="Q925" s="117"/>
      <c r="R925" s="117"/>
    </row>
    <row r="926" spans="1:18" ht="27" customHeight="1">
      <c r="A926" s="117">
        <v>921</v>
      </c>
      <c r="B926" s="117" t="s">
        <v>1826</v>
      </c>
      <c r="C926" s="117" t="s">
        <v>1205</v>
      </c>
      <c r="D926" s="117" t="s">
        <v>1850</v>
      </c>
      <c r="E926" s="117" t="s">
        <v>0</v>
      </c>
      <c r="F926" s="117">
        <v>1081</v>
      </c>
      <c r="G926" s="117">
        <v>49</v>
      </c>
      <c r="H926" s="117">
        <v>49</v>
      </c>
      <c r="I926" s="117"/>
      <c r="J926" s="117"/>
      <c r="K926" s="117" t="s">
        <v>2148</v>
      </c>
      <c r="L926" s="117" t="s">
        <v>1830</v>
      </c>
      <c r="M926" s="117" t="s">
        <v>17</v>
      </c>
      <c r="N926" s="117" t="s">
        <v>18</v>
      </c>
      <c r="O926" s="117"/>
      <c r="P926" s="117"/>
      <c r="Q926" s="117"/>
      <c r="R926" s="117"/>
    </row>
    <row r="927" spans="1:18" ht="27" customHeight="1">
      <c r="A927" s="117">
        <v>922</v>
      </c>
      <c r="B927" s="117" t="s">
        <v>1826</v>
      </c>
      <c r="C927" s="117" t="s">
        <v>160</v>
      </c>
      <c r="D927" s="117" t="s">
        <v>158</v>
      </c>
      <c r="E927" s="117" t="s">
        <v>11</v>
      </c>
      <c r="F927" s="117">
        <v>9035</v>
      </c>
      <c r="G927" s="117">
        <v>151</v>
      </c>
      <c r="H927" s="117">
        <v>151</v>
      </c>
      <c r="I927" s="117"/>
      <c r="J927" s="117"/>
      <c r="K927" s="117" t="s">
        <v>2154</v>
      </c>
      <c r="L927" s="117" t="s">
        <v>1851</v>
      </c>
      <c r="M927" s="117" t="s">
        <v>17</v>
      </c>
      <c r="N927" s="117" t="s">
        <v>18</v>
      </c>
      <c r="O927" s="117"/>
      <c r="P927" s="117"/>
      <c r="Q927" s="117"/>
      <c r="R927" s="117"/>
    </row>
    <row r="928" spans="1:18" ht="27" customHeight="1">
      <c r="A928" s="117">
        <v>923</v>
      </c>
      <c r="B928" s="117" t="s">
        <v>1826</v>
      </c>
      <c r="C928" s="117" t="s">
        <v>1206</v>
      </c>
      <c r="D928" s="117" t="s">
        <v>1852</v>
      </c>
      <c r="E928" s="117" t="s">
        <v>0</v>
      </c>
      <c r="F928" s="117">
        <v>4390</v>
      </c>
      <c r="G928" s="117">
        <v>176</v>
      </c>
      <c r="H928" s="117">
        <v>176</v>
      </c>
      <c r="I928" s="117"/>
      <c r="J928" s="117"/>
      <c r="K928" s="117" t="s">
        <v>2155</v>
      </c>
      <c r="L928" s="117" t="s">
        <v>1853</v>
      </c>
      <c r="M928" s="117" t="s">
        <v>17</v>
      </c>
      <c r="N928" s="117" t="s">
        <v>18</v>
      </c>
      <c r="O928" s="117"/>
      <c r="P928" s="117"/>
      <c r="Q928" s="117"/>
      <c r="R928" s="117"/>
    </row>
    <row r="929" spans="1:18" ht="27" customHeight="1">
      <c r="A929" s="117">
        <v>924</v>
      </c>
      <c r="B929" s="117" t="s">
        <v>1826</v>
      </c>
      <c r="C929" s="117" t="s">
        <v>1207</v>
      </c>
      <c r="D929" s="117" t="s">
        <v>1854</v>
      </c>
      <c r="E929" s="117" t="s">
        <v>0</v>
      </c>
      <c r="F929" s="117">
        <v>880</v>
      </c>
      <c r="G929" s="117">
        <v>123</v>
      </c>
      <c r="H929" s="117">
        <v>123</v>
      </c>
      <c r="I929" s="117"/>
      <c r="J929" s="117"/>
      <c r="K929" s="117" t="s">
        <v>2156</v>
      </c>
      <c r="L929" s="117" t="s">
        <v>1855</v>
      </c>
      <c r="M929" s="117" t="s">
        <v>17</v>
      </c>
      <c r="N929" s="117" t="s">
        <v>18</v>
      </c>
      <c r="O929" s="117"/>
      <c r="P929" s="117"/>
      <c r="Q929" s="117"/>
      <c r="R929" s="117"/>
    </row>
    <row r="930" spans="1:18" ht="27" customHeight="1">
      <c r="A930" s="117">
        <v>925</v>
      </c>
      <c r="B930" s="117" t="s">
        <v>1826</v>
      </c>
      <c r="C930" s="117" t="s">
        <v>1208</v>
      </c>
      <c r="D930" s="117" t="s">
        <v>1856</v>
      </c>
      <c r="E930" s="117" t="s">
        <v>2</v>
      </c>
      <c r="F930" s="117">
        <v>1205</v>
      </c>
      <c r="G930" s="117">
        <v>1063</v>
      </c>
      <c r="H930" s="117">
        <v>1063</v>
      </c>
      <c r="I930" s="117"/>
      <c r="J930" s="117"/>
      <c r="K930" s="117" t="s">
        <v>17</v>
      </c>
      <c r="L930" s="117" t="s">
        <v>78</v>
      </c>
      <c r="M930" s="117" t="s">
        <v>17</v>
      </c>
      <c r="N930" s="117" t="s">
        <v>78</v>
      </c>
      <c r="O930" s="117"/>
      <c r="P930" s="117"/>
      <c r="Q930" s="117"/>
      <c r="R930" s="117"/>
    </row>
    <row r="931" spans="1:18" ht="27" customHeight="1">
      <c r="A931" s="117">
        <v>926</v>
      </c>
      <c r="B931" s="117" t="s">
        <v>1826</v>
      </c>
      <c r="C931" s="117" t="s">
        <v>1209</v>
      </c>
      <c r="D931" s="117" t="s">
        <v>1857</v>
      </c>
      <c r="E931" s="117" t="s">
        <v>0</v>
      </c>
      <c r="F931" s="117">
        <v>2087</v>
      </c>
      <c r="G931" s="117">
        <v>391</v>
      </c>
      <c r="H931" s="117">
        <v>391</v>
      </c>
      <c r="I931" s="117"/>
      <c r="J931" s="117"/>
      <c r="K931" s="117" t="s">
        <v>2157</v>
      </c>
      <c r="L931" s="117" t="s">
        <v>1858</v>
      </c>
      <c r="M931" s="117" t="s">
        <v>17</v>
      </c>
      <c r="N931" s="117" t="s">
        <v>18</v>
      </c>
      <c r="O931" s="117"/>
      <c r="P931" s="117"/>
      <c r="Q931" s="117"/>
      <c r="R931" s="117"/>
    </row>
    <row r="932" spans="1:18" ht="27" customHeight="1">
      <c r="A932" s="117">
        <v>927</v>
      </c>
      <c r="B932" s="117" t="s">
        <v>1826</v>
      </c>
      <c r="C932" s="117" t="s">
        <v>1210</v>
      </c>
      <c r="D932" s="117" t="s">
        <v>1859</v>
      </c>
      <c r="E932" s="117" t="s">
        <v>0</v>
      </c>
      <c r="F932" s="117">
        <v>2834</v>
      </c>
      <c r="G932" s="117">
        <v>809</v>
      </c>
      <c r="H932" s="117">
        <v>809</v>
      </c>
      <c r="I932" s="117"/>
      <c r="J932" s="117"/>
      <c r="K932" s="117" t="s">
        <v>1947</v>
      </c>
      <c r="L932" s="117" t="s">
        <v>1860</v>
      </c>
      <c r="M932" s="117" t="s">
        <v>17</v>
      </c>
      <c r="N932" s="117" t="s">
        <v>18</v>
      </c>
      <c r="O932" s="117"/>
      <c r="P932" s="117"/>
      <c r="Q932" s="117"/>
      <c r="R932" s="117"/>
    </row>
    <row r="933" spans="1:18" ht="27" customHeight="1">
      <c r="A933" s="117">
        <v>928</v>
      </c>
      <c r="B933" s="117" t="s">
        <v>1826</v>
      </c>
      <c r="C933" s="117" t="s">
        <v>1211</v>
      </c>
      <c r="D933" s="117" t="s">
        <v>1861</v>
      </c>
      <c r="E933" s="117" t="s">
        <v>0</v>
      </c>
      <c r="F933" s="117">
        <v>2278</v>
      </c>
      <c r="G933" s="117">
        <v>1147</v>
      </c>
      <c r="H933" s="117">
        <v>1147</v>
      </c>
      <c r="I933" s="117"/>
      <c r="J933" s="117"/>
      <c r="K933" s="117" t="s">
        <v>1947</v>
      </c>
      <c r="L933" s="117" t="s">
        <v>1860</v>
      </c>
      <c r="M933" s="117" t="s">
        <v>17</v>
      </c>
      <c r="N933" s="117" t="s">
        <v>18</v>
      </c>
      <c r="O933" s="117"/>
      <c r="P933" s="117"/>
      <c r="Q933" s="117"/>
      <c r="R933" s="117"/>
    </row>
    <row r="934" spans="1:18" ht="27" customHeight="1">
      <c r="A934" s="117">
        <v>929</v>
      </c>
      <c r="B934" s="117" t="s">
        <v>1826</v>
      </c>
      <c r="C934" s="117" t="s">
        <v>1212</v>
      </c>
      <c r="D934" s="117" t="s">
        <v>1335</v>
      </c>
      <c r="E934" s="117" t="s">
        <v>3</v>
      </c>
      <c r="F934" s="117">
        <v>748</v>
      </c>
      <c r="G934" s="117">
        <v>125</v>
      </c>
      <c r="H934" s="117">
        <v>187</v>
      </c>
      <c r="I934" s="117"/>
      <c r="J934" s="117"/>
      <c r="K934" s="117" t="s">
        <v>17</v>
      </c>
      <c r="L934" s="117" t="s">
        <v>72</v>
      </c>
      <c r="M934" s="117" t="s">
        <v>17</v>
      </c>
      <c r="N934" s="117" t="s">
        <v>72</v>
      </c>
      <c r="O934" s="117"/>
      <c r="P934" s="117"/>
      <c r="Q934" s="117"/>
      <c r="R934" s="117"/>
    </row>
    <row r="935" spans="1:18" ht="27" customHeight="1">
      <c r="A935" s="117">
        <v>930</v>
      </c>
      <c r="B935" s="117" t="s">
        <v>1826</v>
      </c>
      <c r="C935" s="117" t="s">
        <v>1213</v>
      </c>
      <c r="D935" s="117" t="s">
        <v>1862</v>
      </c>
      <c r="E935" s="117" t="s">
        <v>0</v>
      </c>
      <c r="F935" s="117">
        <v>2664</v>
      </c>
      <c r="G935" s="117">
        <v>148</v>
      </c>
      <c r="H935" s="117">
        <v>148</v>
      </c>
      <c r="I935" s="117"/>
      <c r="J935" s="117"/>
      <c r="K935" s="117" t="s">
        <v>2158</v>
      </c>
      <c r="L935" s="117" t="s">
        <v>1863</v>
      </c>
      <c r="M935" s="117" t="s">
        <v>17</v>
      </c>
      <c r="N935" s="117" t="s">
        <v>18</v>
      </c>
      <c r="O935" s="117"/>
      <c r="P935" s="117"/>
      <c r="Q935" s="117"/>
      <c r="R935" s="117"/>
    </row>
    <row r="936" spans="1:18" ht="27" customHeight="1">
      <c r="A936" s="117">
        <v>931</v>
      </c>
      <c r="B936" s="117" t="s">
        <v>1826</v>
      </c>
      <c r="C936" s="117" t="s">
        <v>1214</v>
      </c>
      <c r="D936" s="117" t="s">
        <v>126</v>
      </c>
      <c r="E936" s="117" t="s">
        <v>0</v>
      </c>
      <c r="F936" s="117">
        <v>863</v>
      </c>
      <c r="G936" s="117">
        <v>809</v>
      </c>
      <c r="H936" s="117">
        <v>809</v>
      </c>
      <c r="I936" s="117"/>
      <c r="J936" s="117"/>
      <c r="K936" s="117" t="s">
        <v>2159</v>
      </c>
      <c r="L936" s="117" t="s">
        <v>1864</v>
      </c>
      <c r="M936" s="117" t="s">
        <v>17</v>
      </c>
      <c r="N936" s="117" t="s">
        <v>18</v>
      </c>
      <c r="O936" s="117"/>
      <c r="P936" s="117"/>
      <c r="Q936" s="117"/>
      <c r="R936" s="117"/>
    </row>
    <row r="937" spans="1:18" ht="27" customHeight="1">
      <c r="A937" s="117">
        <v>932</v>
      </c>
      <c r="B937" s="117" t="s">
        <v>1826</v>
      </c>
      <c r="C937" s="117" t="s">
        <v>1215</v>
      </c>
      <c r="D937" s="117" t="s">
        <v>1215</v>
      </c>
      <c r="E937" s="117" t="s">
        <v>23</v>
      </c>
      <c r="F937" s="117">
        <v>500</v>
      </c>
      <c r="G937" s="117">
        <v>500</v>
      </c>
      <c r="H937" s="117">
        <v>500</v>
      </c>
      <c r="I937" s="117"/>
      <c r="J937" s="117"/>
      <c r="K937" s="117" t="s">
        <v>2160</v>
      </c>
      <c r="L937" s="117" t="s">
        <v>1865</v>
      </c>
      <c r="M937" s="117" t="s">
        <v>17</v>
      </c>
      <c r="N937" s="117" t="s">
        <v>18</v>
      </c>
      <c r="O937" s="117"/>
      <c r="P937" s="117"/>
      <c r="Q937" s="117"/>
      <c r="R937" s="117"/>
    </row>
    <row r="938" spans="1:18" ht="27" customHeight="1">
      <c r="A938" s="117">
        <v>933</v>
      </c>
      <c r="B938" s="117" t="s">
        <v>1826</v>
      </c>
      <c r="C938" s="117" t="s">
        <v>1319</v>
      </c>
      <c r="D938" s="117" t="s">
        <v>1320</v>
      </c>
      <c r="E938" s="117" t="s">
        <v>23</v>
      </c>
      <c r="F938" s="117">
        <v>1553</v>
      </c>
      <c r="G938" s="117">
        <v>311</v>
      </c>
      <c r="H938" s="117">
        <v>289</v>
      </c>
      <c r="I938" s="117"/>
      <c r="J938" s="117"/>
      <c r="K938" s="117" t="s">
        <v>2128</v>
      </c>
      <c r="L938" s="117" t="s">
        <v>1866</v>
      </c>
      <c r="M938" s="117" t="s">
        <v>17</v>
      </c>
      <c r="N938" s="117" t="s">
        <v>1269</v>
      </c>
      <c r="O938" s="117"/>
      <c r="P938" s="117"/>
      <c r="Q938" s="117"/>
      <c r="R938" s="117"/>
    </row>
    <row r="939" spans="1:18" ht="27" customHeight="1">
      <c r="A939" s="117">
        <v>934</v>
      </c>
      <c r="B939" s="117" t="s">
        <v>1826</v>
      </c>
      <c r="C939" s="117" t="s">
        <v>1321</v>
      </c>
      <c r="D939" s="117" t="s">
        <v>1321</v>
      </c>
      <c r="E939" s="117" t="s">
        <v>0</v>
      </c>
      <c r="F939" s="117">
        <v>241</v>
      </c>
      <c r="G939" s="117">
        <v>241</v>
      </c>
      <c r="H939" s="117">
        <v>241</v>
      </c>
      <c r="I939" s="117"/>
      <c r="J939" s="117"/>
      <c r="K939" s="117" t="s">
        <v>2128</v>
      </c>
      <c r="L939" s="117" t="s">
        <v>1867</v>
      </c>
      <c r="M939" s="117" t="s">
        <v>17</v>
      </c>
      <c r="N939" s="117"/>
      <c r="O939" s="117"/>
      <c r="P939" s="117"/>
      <c r="Q939" s="117"/>
      <c r="R939" s="117"/>
    </row>
    <row r="940" spans="1:18" ht="27" customHeight="1">
      <c r="A940" s="117">
        <v>935</v>
      </c>
      <c r="B940" s="117" t="s">
        <v>1826</v>
      </c>
      <c r="C940" s="117" t="s">
        <v>1322</v>
      </c>
      <c r="D940" s="117" t="s">
        <v>1323</v>
      </c>
      <c r="E940" s="117" t="s">
        <v>6</v>
      </c>
      <c r="F940" s="117">
        <v>110</v>
      </c>
      <c r="G940" s="117">
        <v>90</v>
      </c>
      <c r="H940" s="117">
        <v>77</v>
      </c>
      <c r="I940" s="117"/>
      <c r="J940" s="117"/>
      <c r="K940" s="117" t="s">
        <v>2128</v>
      </c>
      <c r="L940" s="117" t="s">
        <v>1866</v>
      </c>
      <c r="M940" s="117" t="s">
        <v>17</v>
      </c>
      <c r="N940" s="117" t="s">
        <v>1269</v>
      </c>
      <c r="O940" s="117"/>
      <c r="P940" s="117"/>
      <c r="Q940" s="117"/>
      <c r="R940" s="117"/>
    </row>
    <row r="941" spans="1:18" ht="27" customHeight="1">
      <c r="A941" s="117">
        <v>936</v>
      </c>
      <c r="B941" s="117" t="s">
        <v>1826</v>
      </c>
      <c r="C941" s="117" t="s">
        <v>1324</v>
      </c>
      <c r="D941" s="117" t="s">
        <v>1324</v>
      </c>
      <c r="E941" s="117" t="s">
        <v>6</v>
      </c>
      <c r="F941" s="117">
        <v>209</v>
      </c>
      <c r="G941" s="117">
        <v>209</v>
      </c>
      <c r="H941" s="117">
        <v>209</v>
      </c>
      <c r="I941" s="117"/>
      <c r="J941" s="117"/>
      <c r="K941" s="117" t="s">
        <v>2161</v>
      </c>
      <c r="L941" s="117" t="s">
        <v>1868</v>
      </c>
      <c r="M941" s="117" t="s">
        <v>17</v>
      </c>
      <c r="N941" s="117" t="s">
        <v>18</v>
      </c>
      <c r="O941" s="117"/>
      <c r="P941" s="117"/>
      <c r="Q941" s="117"/>
      <c r="R941" s="117"/>
    </row>
    <row r="942" spans="1:18" ht="27" customHeight="1">
      <c r="A942" s="117">
        <v>937</v>
      </c>
      <c r="B942" s="117" t="s">
        <v>1826</v>
      </c>
      <c r="C942" s="117" t="s">
        <v>1325</v>
      </c>
      <c r="D942" s="117" t="s">
        <v>1326</v>
      </c>
      <c r="E942" s="117" t="s">
        <v>2</v>
      </c>
      <c r="F942" s="117">
        <v>974</v>
      </c>
      <c r="G942" s="117">
        <v>692</v>
      </c>
      <c r="H942" s="117">
        <v>660</v>
      </c>
      <c r="I942" s="117"/>
      <c r="J942" s="117"/>
      <c r="K942" s="117" t="s">
        <v>12</v>
      </c>
      <c r="L942" s="117" t="s">
        <v>1690</v>
      </c>
      <c r="M942" s="117" t="s">
        <v>17</v>
      </c>
      <c r="N942" s="117" t="s">
        <v>1269</v>
      </c>
      <c r="O942" s="117"/>
      <c r="P942" s="117"/>
      <c r="Q942" s="117"/>
      <c r="R942" s="117"/>
    </row>
    <row r="943" spans="1:18" ht="27" customHeight="1">
      <c r="A943" s="117">
        <v>938</v>
      </c>
      <c r="B943" s="117" t="s">
        <v>1826</v>
      </c>
      <c r="C943" s="117" t="s">
        <v>1327</v>
      </c>
      <c r="D943" s="117" t="s">
        <v>1328</v>
      </c>
      <c r="E943" s="117" t="s">
        <v>0</v>
      </c>
      <c r="F943" s="117">
        <v>1850</v>
      </c>
      <c r="G943" s="117">
        <v>906</v>
      </c>
      <c r="H943" s="117">
        <v>828</v>
      </c>
      <c r="I943" s="117"/>
      <c r="J943" s="117"/>
      <c r="K943" s="117" t="s">
        <v>2128</v>
      </c>
      <c r="L943" s="117" t="s">
        <v>1867</v>
      </c>
      <c r="M943" s="117" t="s">
        <v>17</v>
      </c>
      <c r="N943" s="117" t="s">
        <v>1269</v>
      </c>
      <c r="O943" s="117"/>
      <c r="P943" s="117"/>
      <c r="Q943" s="117"/>
      <c r="R943" s="117"/>
    </row>
    <row r="944" spans="1:18" ht="27" customHeight="1">
      <c r="A944" s="117">
        <v>939</v>
      </c>
      <c r="B944" s="117" t="s">
        <v>1826</v>
      </c>
      <c r="C944" s="117" t="s">
        <v>1329</v>
      </c>
      <c r="D944" s="117" t="s">
        <v>1330</v>
      </c>
      <c r="E944" s="117" t="s">
        <v>11</v>
      </c>
      <c r="F944" s="117">
        <v>5392</v>
      </c>
      <c r="G944" s="117">
        <v>4075</v>
      </c>
      <c r="H944" s="117">
        <v>4075</v>
      </c>
      <c r="I944" s="117"/>
      <c r="J944" s="117"/>
      <c r="K944" s="117" t="s">
        <v>2162</v>
      </c>
      <c r="L944" s="117" t="s">
        <v>1869</v>
      </c>
      <c r="M944" s="117" t="s">
        <v>17</v>
      </c>
      <c r="N944" s="117" t="s">
        <v>18</v>
      </c>
      <c r="O944" s="117"/>
      <c r="P944" s="117"/>
      <c r="Q944" s="117"/>
      <c r="R944" s="117"/>
    </row>
    <row r="945" spans="1:18" ht="27" customHeight="1">
      <c r="A945" s="117">
        <v>940</v>
      </c>
      <c r="B945" s="117" t="s">
        <v>1826</v>
      </c>
      <c r="C945" s="117" t="s">
        <v>1216</v>
      </c>
      <c r="D945" s="117" t="s">
        <v>1870</v>
      </c>
      <c r="E945" s="117" t="s">
        <v>11</v>
      </c>
      <c r="F945" s="117">
        <v>2906</v>
      </c>
      <c r="G945" s="117">
        <v>278</v>
      </c>
      <c r="H945" s="117">
        <v>278</v>
      </c>
      <c r="I945" s="117"/>
      <c r="J945" s="117"/>
      <c r="K945" s="117" t="s">
        <v>2163</v>
      </c>
      <c r="L945" s="117" t="s">
        <v>1871</v>
      </c>
      <c r="M945" s="117" t="s">
        <v>17</v>
      </c>
      <c r="N945" s="117" t="s">
        <v>18</v>
      </c>
      <c r="O945" s="117"/>
      <c r="P945" s="117"/>
      <c r="Q945" s="117"/>
      <c r="R945" s="117"/>
    </row>
    <row r="946" spans="1:18" ht="27" customHeight="1">
      <c r="A946" s="117">
        <v>941</v>
      </c>
      <c r="B946" s="117" t="s">
        <v>1826</v>
      </c>
      <c r="C946" s="117" t="s">
        <v>1217</v>
      </c>
      <c r="D946" s="117" t="s">
        <v>1872</v>
      </c>
      <c r="E946" s="117" t="s">
        <v>11</v>
      </c>
      <c r="F946" s="117">
        <v>163</v>
      </c>
      <c r="G946" s="117">
        <v>43</v>
      </c>
      <c r="H946" s="117">
        <v>43</v>
      </c>
      <c r="I946" s="117"/>
      <c r="J946" s="117"/>
      <c r="K946" s="117" t="s">
        <v>1915</v>
      </c>
      <c r="L946" s="117" t="s">
        <v>1873</v>
      </c>
      <c r="M946" s="117" t="s">
        <v>17</v>
      </c>
      <c r="N946" s="117" t="s">
        <v>18</v>
      </c>
      <c r="O946" s="117"/>
      <c r="P946" s="117"/>
      <c r="Q946" s="117"/>
      <c r="R946" s="117"/>
    </row>
    <row r="947" spans="1:18" ht="27" customHeight="1">
      <c r="A947" s="117">
        <v>942</v>
      </c>
      <c r="B947" s="117" t="s">
        <v>1826</v>
      </c>
      <c r="C947" s="117" t="s">
        <v>1218</v>
      </c>
      <c r="D947" s="117" t="s">
        <v>1874</v>
      </c>
      <c r="E947" s="117" t="s">
        <v>11</v>
      </c>
      <c r="F947" s="117">
        <v>1654</v>
      </c>
      <c r="G947" s="117">
        <v>515</v>
      </c>
      <c r="H947" s="117">
        <v>515</v>
      </c>
      <c r="I947" s="117"/>
      <c r="J947" s="117"/>
      <c r="K947" s="117" t="s">
        <v>2164</v>
      </c>
      <c r="L947" s="117" t="s">
        <v>1875</v>
      </c>
      <c r="M947" s="117" t="s">
        <v>17</v>
      </c>
      <c r="N947" s="117" t="s">
        <v>18</v>
      </c>
      <c r="O947" s="117"/>
      <c r="P947" s="117"/>
      <c r="Q947" s="117"/>
      <c r="R947" s="117"/>
    </row>
    <row r="948" spans="1:18" ht="27" customHeight="1">
      <c r="A948" s="117">
        <v>943</v>
      </c>
      <c r="B948" s="117" t="s">
        <v>1826</v>
      </c>
      <c r="C948" s="117" t="s">
        <v>1219</v>
      </c>
      <c r="D948" s="117" t="s">
        <v>1876</v>
      </c>
      <c r="E948" s="117" t="s">
        <v>3</v>
      </c>
      <c r="F948" s="117">
        <v>1287</v>
      </c>
      <c r="G948" s="117">
        <v>477</v>
      </c>
      <c r="H948" s="117">
        <v>477</v>
      </c>
      <c r="I948" s="117"/>
      <c r="J948" s="117"/>
      <c r="K948" s="117" t="s">
        <v>17</v>
      </c>
      <c r="L948" s="117" t="s">
        <v>72</v>
      </c>
      <c r="M948" s="117" t="s">
        <v>17</v>
      </c>
      <c r="N948" s="117" t="s">
        <v>72</v>
      </c>
      <c r="O948" s="117"/>
      <c r="P948" s="117"/>
      <c r="Q948" s="117"/>
      <c r="R948" s="117"/>
    </row>
    <row r="949" spans="1:18" ht="27" customHeight="1">
      <c r="A949" s="117">
        <v>944</v>
      </c>
      <c r="B949" s="117" t="s">
        <v>1826</v>
      </c>
      <c r="C949" s="117" t="s">
        <v>1220</v>
      </c>
      <c r="D949" s="117" t="s">
        <v>1220</v>
      </c>
      <c r="E949" s="117" t="s">
        <v>6</v>
      </c>
      <c r="F949" s="117">
        <v>645</v>
      </c>
      <c r="G949" s="117">
        <v>645</v>
      </c>
      <c r="H949" s="117">
        <v>645</v>
      </c>
      <c r="I949" s="117"/>
      <c r="J949" s="117"/>
      <c r="K949" s="117" t="s">
        <v>1915</v>
      </c>
      <c r="L949" s="117" t="s">
        <v>1877</v>
      </c>
      <c r="M949" s="117" t="s">
        <v>17</v>
      </c>
      <c r="N949" s="117" t="s">
        <v>18</v>
      </c>
      <c r="O949" s="117"/>
      <c r="P949" s="117"/>
      <c r="Q949" s="117"/>
      <c r="R949" s="117"/>
    </row>
    <row r="950" spans="1:18" ht="27" customHeight="1">
      <c r="A950" s="117">
        <v>945</v>
      </c>
      <c r="B950" s="117" t="s">
        <v>1826</v>
      </c>
      <c r="C950" s="117" t="s">
        <v>1221</v>
      </c>
      <c r="D950" s="117" t="s">
        <v>1878</v>
      </c>
      <c r="E950" s="117" t="s">
        <v>6</v>
      </c>
      <c r="F950" s="117">
        <v>4707</v>
      </c>
      <c r="G950" s="117">
        <v>1720</v>
      </c>
      <c r="H950" s="117">
        <v>1720</v>
      </c>
      <c r="I950" s="117"/>
      <c r="J950" s="117"/>
      <c r="K950" s="117" t="s">
        <v>2129</v>
      </c>
      <c r="L950" s="117" t="s">
        <v>1879</v>
      </c>
      <c r="M950" s="117" t="s">
        <v>17</v>
      </c>
      <c r="N950" s="117" t="s">
        <v>18</v>
      </c>
      <c r="O950" s="117"/>
      <c r="P950" s="117"/>
      <c r="Q950" s="117"/>
      <c r="R950" s="117"/>
    </row>
    <row r="951" spans="1:18" ht="27" customHeight="1">
      <c r="A951" s="117">
        <v>946</v>
      </c>
      <c r="B951" s="117" t="s">
        <v>1826</v>
      </c>
      <c r="C951" s="117" t="s">
        <v>1221</v>
      </c>
      <c r="D951" s="117" t="s">
        <v>1880</v>
      </c>
      <c r="E951" s="117" t="s">
        <v>6</v>
      </c>
      <c r="F951" s="117">
        <v>4707</v>
      </c>
      <c r="G951" s="117">
        <v>31</v>
      </c>
      <c r="H951" s="117">
        <v>31</v>
      </c>
      <c r="I951" s="117"/>
      <c r="J951" s="117"/>
      <c r="K951" s="117" t="s">
        <v>2129</v>
      </c>
      <c r="L951" s="117" t="s">
        <v>1879</v>
      </c>
      <c r="M951" s="117" t="s">
        <v>17</v>
      </c>
      <c r="N951" s="117" t="s">
        <v>18</v>
      </c>
      <c r="O951" s="117"/>
      <c r="P951" s="117"/>
      <c r="Q951" s="117"/>
      <c r="R951" s="117"/>
    </row>
    <row r="952" spans="1:18" ht="27" customHeight="1">
      <c r="A952" s="117">
        <v>947</v>
      </c>
      <c r="B952" s="117" t="s">
        <v>1826</v>
      </c>
      <c r="C952" s="117" t="s">
        <v>1222</v>
      </c>
      <c r="D952" s="117" t="s">
        <v>1881</v>
      </c>
      <c r="E952" s="117" t="s">
        <v>159</v>
      </c>
      <c r="F952" s="117">
        <v>971</v>
      </c>
      <c r="G952" s="117">
        <v>207</v>
      </c>
      <c r="H952" s="117">
        <v>207</v>
      </c>
      <c r="I952" s="117"/>
      <c r="J952" s="117"/>
      <c r="K952" s="117" t="s">
        <v>2129</v>
      </c>
      <c r="L952" s="117" t="s">
        <v>1879</v>
      </c>
      <c r="M952" s="117" t="s">
        <v>17</v>
      </c>
      <c r="N952" s="117" t="s">
        <v>18</v>
      </c>
      <c r="O952" s="117"/>
      <c r="P952" s="117"/>
      <c r="Q952" s="117"/>
      <c r="R952" s="117"/>
    </row>
    <row r="953" spans="1:18" ht="27" customHeight="1">
      <c r="A953" s="117">
        <v>948</v>
      </c>
      <c r="B953" s="117" t="s">
        <v>1826</v>
      </c>
      <c r="C953" s="117" t="s">
        <v>1412</v>
      </c>
      <c r="D953" s="117" t="s">
        <v>1412</v>
      </c>
      <c r="E953" s="117" t="s">
        <v>11</v>
      </c>
      <c r="F953" s="117">
        <v>810</v>
      </c>
      <c r="G953" s="117">
        <v>810</v>
      </c>
      <c r="H953" s="117">
        <v>810</v>
      </c>
      <c r="I953" s="117"/>
      <c r="J953" s="117"/>
      <c r="K953" s="117" t="s">
        <v>2170</v>
      </c>
      <c r="L953" s="117" t="s">
        <v>1413</v>
      </c>
      <c r="M953" s="117" t="s">
        <v>2170</v>
      </c>
      <c r="N953" s="117" t="s">
        <v>1413</v>
      </c>
      <c r="O953" s="117"/>
      <c r="P953" s="117"/>
      <c r="Q953" s="117" t="s">
        <v>1882</v>
      </c>
      <c r="R953" s="117"/>
    </row>
    <row r="954" spans="1:18" ht="27" customHeight="1">
      <c r="A954" s="117">
        <v>949</v>
      </c>
      <c r="B954" s="117" t="s">
        <v>1826</v>
      </c>
      <c r="C954" s="117" t="s">
        <v>1414</v>
      </c>
      <c r="D954" s="117" t="s">
        <v>1883</v>
      </c>
      <c r="E954" s="117" t="s">
        <v>11</v>
      </c>
      <c r="F954" s="117">
        <v>2267</v>
      </c>
      <c r="G954" s="117">
        <v>213</v>
      </c>
      <c r="H954" s="117">
        <v>213</v>
      </c>
      <c r="I954" s="117"/>
      <c r="J954" s="117"/>
      <c r="K954" s="117" t="s">
        <v>2129</v>
      </c>
      <c r="L954" s="117" t="s">
        <v>1879</v>
      </c>
      <c r="M954" s="117" t="s">
        <v>17</v>
      </c>
      <c r="N954" s="117" t="s">
        <v>18</v>
      </c>
      <c r="O954" s="117"/>
      <c r="P954" s="117"/>
      <c r="Q954" s="117"/>
      <c r="R954" s="117"/>
    </row>
    <row r="955" spans="1:18" ht="27" customHeight="1">
      <c r="A955" s="117">
        <v>950</v>
      </c>
      <c r="B955" s="117" t="s">
        <v>1826</v>
      </c>
      <c r="C955" s="117" t="s">
        <v>1223</v>
      </c>
      <c r="D955" s="117" t="s">
        <v>1223</v>
      </c>
      <c r="E955" s="117" t="s">
        <v>3</v>
      </c>
      <c r="F955" s="117">
        <v>44</v>
      </c>
      <c r="G955" s="117">
        <v>45</v>
      </c>
      <c r="H955" s="117">
        <v>44</v>
      </c>
      <c r="I955" s="117"/>
      <c r="J955" s="117"/>
      <c r="K955" s="117" t="s">
        <v>205</v>
      </c>
      <c r="L955" s="117"/>
      <c r="M955" s="117" t="s">
        <v>17</v>
      </c>
      <c r="N955" s="117" t="s">
        <v>205</v>
      </c>
      <c r="O955" s="117"/>
      <c r="P955" s="117"/>
      <c r="Q955" s="117"/>
      <c r="R955" s="117"/>
    </row>
    <row r="956" spans="1:18" ht="27" customHeight="1">
      <c r="A956" s="117">
        <v>951</v>
      </c>
      <c r="B956" s="117" t="s">
        <v>1826</v>
      </c>
      <c r="C956" s="117" t="s">
        <v>1224</v>
      </c>
      <c r="D956" s="117" t="s">
        <v>1884</v>
      </c>
      <c r="E956" s="117" t="s">
        <v>0</v>
      </c>
      <c r="F956" s="117">
        <v>985</v>
      </c>
      <c r="G956" s="117">
        <v>961</v>
      </c>
      <c r="H956" s="117">
        <v>961</v>
      </c>
      <c r="I956" s="117"/>
      <c r="J956" s="117"/>
      <c r="K956" s="117" t="s">
        <v>2159</v>
      </c>
      <c r="L956" s="117" t="s">
        <v>1864</v>
      </c>
      <c r="M956" s="117" t="s">
        <v>17</v>
      </c>
      <c r="N956" s="117" t="s">
        <v>18</v>
      </c>
      <c r="O956" s="117"/>
      <c r="P956" s="117"/>
      <c r="Q956" s="117"/>
      <c r="R956" s="117"/>
    </row>
    <row r="957" spans="1:18" ht="27" customHeight="1">
      <c r="A957" s="117">
        <v>952</v>
      </c>
      <c r="B957" s="117" t="s">
        <v>1826</v>
      </c>
      <c r="C957" s="117" t="s">
        <v>1225</v>
      </c>
      <c r="D957" s="117" t="s">
        <v>1885</v>
      </c>
      <c r="E957" s="117" t="s">
        <v>0</v>
      </c>
      <c r="F957" s="117">
        <v>1144</v>
      </c>
      <c r="G957" s="117">
        <v>267</v>
      </c>
      <c r="H957" s="117">
        <v>267</v>
      </c>
      <c r="I957" s="117"/>
      <c r="J957" s="117"/>
      <c r="K957" s="117" t="s">
        <v>2165</v>
      </c>
      <c r="L957" s="117" t="s">
        <v>1886</v>
      </c>
      <c r="M957" s="117" t="s">
        <v>17</v>
      </c>
      <c r="N957" s="117" t="s">
        <v>18</v>
      </c>
      <c r="O957" s="117"/>
      <c r="P957" s="117"/>
      <c r="Q957" s="117"/>
      <c r="R957" s="117"/>
    </row>
    <row r="958" spans="1:18" ht="27" customHeight="1">
      <c r="A958" s="117">
        <v>953</v>
      </c>
      <c r="B958" s="117" t="s">
        <v>1826</v>
      </c>
      <c r="C958" s="117" t="s">
        <v>1226</v>
      </c>
      <c r="D958" s="117" t="s">
        <v>1226</v>
      </c>
      <c r="E958" s="117" t="s">
        <v>0</v>
      </c>
      <c r="F958" s="117">
        <v>693</v>
      </c>
      <c r="G958" s="117">
        <v>693</v>
      </c>
      <c r="H958" s="117">
        <v>693</v>
      </c>
      <c r="I958" s="117"/>
      <c r="J958" s="117"/>
      <c r="K958" s="117" t="s">
        <v>2160</v>
      </c>
      <c r="L958" s="117" t="s">
        <v>1865</v>
      </c>
      <c r="M958" s="117" t="s">
        <v>17</v>
      </c>
      <c r="N958" s="117" t="s">
        <v>18</v>
      </c>
      <c r="O958" s="117"/>
      <c r="P958" s="117"/>
      <c r="Q958" s="117"/>
      <c r="R958" s="117"/>
    </row>
    <row r="959" spans="1:18" ht="27" customHeight="1">
      <c r="A959" s="117">
        <v>954</v>
      </c>
      <c r="B959" s="117" t="s">
        <v>1826</v>
      </c>
      <c r="C959" s="117" t="s">
        <v>1227</v>
      </c>
      <c r="D959" s="117" t="s">
        <v>1887</v>
      </c>
      <c r="E959" s="117" t="s">
        <v>23</v>
      </c>
      <c r="F959" s="117">
        <v>417</v>
      </c>
      <c r="G959" s="117">
        <v>92</v>
      </c>
      <c r="H959" s="117">
        <v>92</v>
      </c>
      <c r="I959" s="117"/>
      <c r="J959" s="117"/>
      <c r="K959" s="117" t="s">
        <v>2165</v>
      </c>
      <c r="L959" s="117" t="s">
        <v>1886</v>
      </c>
      <c r="M959" s="117" t="s">
        <v>17</v>
      </c>
      <c r="N959" s="117" t="s">
        <v>18</v>
      </c>
      <c r="O959" s="117"/>
      <c r="P959" s="117"/>
      <c r="Q959" s="117"/>
      <c r="R959" s="117"/>
    </row>
    <row r="960" spans="1:18" ht="27" customHeight="1">
      <c r="A960" s="117">
        <v>955</v>
      </c>
      <c r="B960" s="117" t="s">
        <v>1826</v>
      </c>
      <c r="C960" s="117" t="s">
        <v>1398</v>
      </c>
      <c r="D960" s="117" t="s">
        <v>1888</v>
      </c>
      <c r="E960" s="117" t="s">
        <v>6</v>
      </c>
      <c r="F960" s="117">
        <v>638</v>
      </c>
      <c r="G960" s="117">
        <v>107</v>
      </c>
      <c r="H960" s="117">
        <v>107</v>
      </c>
      <c r="I960" s="117"/>
      <c r="J960" s="117"/>
      <c r="K960" s="117" t="s">
        <v>2161</v>
      </c>
      <c r="L960" s="117" t="s">
        <v>1868</v>
      </c>
      <c r="M960" s="117" t="s">
        <v>17</v>
      </c>
      <c r="N960" s="117" t="s">
        <v>18</v>
      </c>
      <c r="O960" s="117"/>
      <c r="P960" s="117"/>
      <c r="Q960" s="117"/>
      <c r="R960" s="117"/>
    </row>
    <row r="961" spans="1:18" ht="27" customHeight="1">
      <c r="A961" s="117">
        <v>956</v>
      </c>
      <c r="B961" s="117" t="s">
        <v>1826</v>
      </c>
      <c r="C961" s="117" t="s">
        <v>1399</v>
      </c>
      <c r="D961" s="117" t="s">
        <v>1889</v>
      </c>
      <c r="E961" s="117" t="s">
        <v>3</v>
      </c>
      <c r="F961" s="117">
        <v>212</v>
      </c>
      <c r="G961" s="117">
        <v>89</v>
      </c>
      <c r="H961" s="117">
        <v>89</v>
      </c>
      <c r="I961" s="117"/>
      <c r="J961" s="117"/>
      <c r="K961" s="117" t="s">
        <v>17</v>
      </c>
      <c r="L961" s="117" t="s">
        <v>72</v>
      </c>
      <c r="M961" s="117" t="s">
        <v>17</v>
      </c>
      <c r="N961" s="117" t="s">
        <v>72</v>
      </c>
      <c r="O961" s="117"/>
      <c r="P961" s="117"/>
      <c r="Q961" s="117"/>
      <c r="R961" s="117"/>
    </row>
    <row r="962" spans="1:18" ht="27" customHeight="1">
      <c r="A962" s="117">
        <v>957</v>
      </c>
      <c r="B962" s="117" t="s">
        <v>1826</v>
      </c>
      <c r="C962" s="117" t="s">
        <v>1400</v>
      </c>
      <c r="D962" s="117" t="s">
        <v>1890</v>
      </c>
      <c r="E962" s="117" t="s">
        <v>0</v>
      </c>
      <c r="F962" s="117">
        <v>1353</v>
      </c>
      <c r="G962" s="117">
        <v>1298</v>
      </c>
      <c r="H962" s="117">
        <v>1298</v>
      </c>
      <c r="I962" s="117"/>
      <c r="J962" s="117"/>
      <c r="K962" s="117" t="s">
        <v>2161</v>
      </c>
      <c r="L962" s="117" t="s">
        <v>1891</v>
      </c>
      <c r="M962" s="117" t="s">
        <v>17</v>
      </c>
      <c r="N962" s="117" t="s">
        <v>18</v>
      </c>
      <c r="O962" s="117"/>
      <c r="P962" s="117"/>
      <c r="Q962" s="117"/>
      <c r="R962" s="117"/>
    </row>
    <row r="963" spans="1:18" ht="27" customHeight="1">
      <c r="A963" s="117">
        <v>958</v>
      </c>
      <c r="B963" s="117" t="s">
        <v>1826</v>
      </c>
      <c r="C963" s="117" t="s">
        <v>1401</v>
      </c>
      <c r="D963" s="117" t="s">
        <v>1892</v>
      </c>
      <c r="E963" s="117" t="s">
        <v>1347</v>
      </c>
      <c r="F963" s="117">
        <v>1116</v>
      </c>
      <c r="G963" s="117">
        <v>11</v>
      </c>
      <c r="H963" s="117"/>
      <c r="I963" s="117"/>
      <c r="J963" s="117"/>
      <c r="K963" s="117" t="s">
        <v>2166</v>
      </c>
      <c r="L963" s="117" t="s">
        <v>1893</v>
      </c>
      <c r="M963" s="117" t="s">
        <v>2166</v>
      </c>
      <c r="N963" s="117" t="s">
        <v>1894</v>
      </c>
      <c r="O963" s="117"/>
      <c r="P963" s="117"/>
      <c r="Q963" s="117"/>
      <c r="R963" s="117" t="s">
        <v>1245</v>
      </c>
    </row>
    <row r="964" spans="1:18" ht="27" customHeight="1">
      <c r="A964" s="117">
        <v>959</v>
      </c>
      <c r="B964" s="117" t="s">
        <v>1826</v>
      </c>
      <c r="C964" s="117" t="s">
        <v>1401</v>
      </c>
      <c r="D964" s="117" t="s">
        <v>1895</v>
      </c>
      <c r="E964" s="117" t="s">
        <v>1347</v>
      </c>
      <c r="F964" s="117">
        <v>1116</v>
      </c>
      <c r="G964" s="117">
        <v>2</v>
      </c>
      <c r="H964" s="117"/>
      <c r="I964" s="117"/>
      <c r="J964" s="117"/>
      <c r="K964" s="117" t="s">
        <v>2166</v>
      </c>
      <c r="L964" s="117" t="s">
        <v>1893</v>
      </c>
      <c r="M964" s="117" t="s">
        <v>2166</v>
      </c>
      <c r="N964" s="117" t="s">
        <v>1894</v>
      </c>
      <c r="O964" s="117"/>
      <c r="P964" s="117"/>
      <c r="Q964" s="117"/>
      <c r="R964" s="117" t="s">
        <v>1245</v>
      </c>
    </row>
    <row r="965" spans="1:18" ht="27" customHeight="1">
      <c r="A965" s="117">
        <v>960</v>
      </c>
      <c r="B965" s="117" t="s">
        <v>1826</v>
      </c>
      <c r="C965" s="117" t="s">
        <v>1401</v>
      </c>
      <c r="D965" s="117" t="s">
        <v>391</v>
      </c>
      <c r="E965" s="117" t="s">
        <v>1347</v>
      </c>
      <c r="F965" s="117">
        <v>1116</v>
      </c>
      <c r="G965" s="117">
        <v>3</v>
      </c>
      <c r="H965" s="117"/>
      <c r="I965" s="117"/>
      <c r="J965" s="117"/>
      <c r="K965" s="117" t="s">
        <v>2166</v>
      </c>
      <c r="L965" s="117" t="s">
        <v>1893</v>
      </c>
      <c r="M965" s="117" t="s">
        <v>2166</v>
      </c>
      <c r="N965" s="117" t="s">
        <v>1894</v>
      </c>
      <c r="O965" s="117"/>
      <c r="P965" s="117"/>
      <c r="Q965" s="117"/>
      <c r="R965" s="117" t="s">
        <v>1245</v>
      </c>
    </row>
    <row r="966" spans="1:18" ht="27" customHeight="1">
      <c r="A966" s="117">
        <v>961</v>
      </c>
      <c r="B966" s="117" t="s">
        <v>1826</v>
      </c>
      <c r="C966" s="117" t="s">
        <v>392</v>
      </c>
      <c r="D966" s="117" t="s">
        <v>1896</v>
      </c>
      <c r="E966" s="117" t="s">
        <v>11</v>
      </c>
      <c r="F966" s="117">
        <v>74</v>
      </c>
      <c r="G966" s="117">
        <v>7</v>
      </c>
      <c r="H966" s="117">
        <v>7</v>
      </c>
      <c r="I966" s="117"/>
      <c r="J966" s="117"/>
      <c r="K966" s="117" t="s">
        <v>12</v>
      </c>
      <c r="L966" s="117" t="s">
        <v>564</v>
      </c>
      <c r="M966" s="117" t="s">
        <v>17</v>
      </c>
      <c r="N966" s="117" t="s">
        <v>1269</v>
      </c>
      <c r="O966" s="117"/>
      <c r="P966" s="117"/>
      <c r="Q966" s="117"/>
      <c r="R966" s="117"/>
    </row>
    <row r="967" spans="1:18" ht="27" customHeight="1">
      <c r="A967" s="117">
        <v>962</v>
      </c>
      <c r="B967" s="117" t="s">
        <v>1826</v>
      </c>
      <c r="C967" s="117" t="s">
        <v>1402</v>
      </c>
      <c r="D967" s="117" t="s">
        <v>1402</v>
      </c>
      <c r="E967" s="117" t="s">
        <v>0</v>
      </c>
      <c r="F967" s="117">
        <v>348</v>
      </c>
      <c r="G967" s="117">
        <v>348</v>
      </c>
      <c r="H967" s="117">
        <v>348</v>
      </c>
      <c r="I967" s="117"/>
      <c r="J967" s="117"/>
      <c r="K967" s="117" t="s">
        <v>2161</v>
      </c>
      <c r="L967" s="117" t="s">
        <v>1868</v>
      </c>
      <c r="M967" s="117" t="s">
        <v>17</v>
      </c>
      <c r="N967" s="117" t="s">
        <v>18</v>
      </c>
      <c r="O967" s="117"/>
      <c r="P967" s="117"/>
      <c r="Q967" s="117"/>
      <c r="R967" s="117"/>
    </row>
    <row r="968" spans="1:18" ht="27" customHeight="1">
      <c r="A968" s="117">
        <v>963</v>
      </c>
      <c r="B968" s="117" t="s">
        <v>1826</v>
      </c>
      <c r="C968" s="117" t="s">
        <v>1403</v>
      </c>
      <c r="D968" s="117" t="s">
        <v>1897</v>
      </c>
      <c r="E968" s="117" t="s">
        <v>1347</v>
      </c>
      <c r="F968" s="117">
        <v>2713</v>
      </c>
      <c r="G968" s="117">
        <v>107</v>
      </c>
      <c r="H968" s="117"/>
      <c r="I968" s="117"/>
      <c r="J968" s="117"/>
      <c r="K968" s="117" t="s">
        <v>2166</v>
      </c>
      <c r="L968" s="117">
        <v>269</v>
      </c>
      <c r="M968" s="117" t="s">
        <v>2166</v>
      </c>
      <c r="N968" s="117" t="s">
        <v>1898</v>
      </c>
      <c r="O968" s="117"/>
      <c r="P968" s="117"/>
      <c r="Q968" s="117"/>
      <c r="R968" s="117" t="s">
        <v>1245</v>
      </c>
    </row>
    <row r="969" spans="1:18" ht="27" customHeight="1">
      <c r="A969" s="117">
        <v>964</v>
      </c>
      <c r="B969" s="117" t="s">
        <v>1826</v>
      </c>
      <c r="C969" s="117" t="s">
        <v>1404</v>
      </c>
      <c r="D969" s="117" t="s">
        <v>1404</v>
      </c>
      <c r="E969" s="117" t="s">
        <v>11</v>
      </c>
      <c r="F969" s="117">
        <v>147</v>
      </c>
      <c r="G969" s="117">
        <v>147</v>
      </c>
      <c r="H969" s="117">
        <v>147</v>
      </c>
      <c r="I969" s="117"/>
      <c r="J969" s="117"/>
      <c r="K969" s="117" t="s">
        <v>2167</v>
      </c>
      <c r="L969" s="117" t="s">
        <v>1899</v>
      </c>
      <c r="M969" s="117" t="s">
        <v>17</v>
      </c>
      <c r="N969" s="117" t="s">
        <v>18</v>
      </c>
      <c r="O969" s="117"/>
      <c r="P969" s="117"/>
      <c r="Q969" s="117"/>
      <c r="R969" s="117"/>
    </row>
    <row r="970" spans="1:18" ht="27" customHeight="1">
      <c r="A970" s="117">
        <v>965</v>
      </c>
      <c r="B970" s="117" t="s">
        <v>1826</v>
      </c>
      <c r="C970" s="117" t="s">
        <v>1405</v>
      </c>
      <c r="D970" s="117" t="s">
        <v>1405</v>
      </c>
      <c r="E970" s="117" t="s">
        <v>3</v>
      </c>
      <c r="F970" s="117">
        <v>71</v>
      </c>
      <c r="G970" s="117">
        <v>71</v>
      </c>
      <c r="H970" s="117">
        <v>71</v>
      </c>
      <c r="I970" s="117"/>
      <c r="J970" s="117"/>
      <c r="K970" s="117" t="s">
        <v>205</v>
      </c>
      <c r="L970" s="117"/>
      <c r="M970" s="117" t="s">
        <v>17</v>
      </c>
      <c r="N970" s="117" t="s">
        <v>205</v>
      </c>
      <c r="O970" s="117"/>
      <c r="P970" s="117"/>
      <c r="Q970" s="117"/>
      <c r="R970" s="117"/>
    </row>
    <row r="971" spans="1:18" ht="27" customHeight="1">
      <c r="A971" s="117">
        <v>966</v>
      </c>
      <c r="B971" s="117" t="s">
        <v>1826</v>
      </c>
      <c r="C971" s="117" t="s">
        <v>1406</v>
      </c>
      <c r="D971" s="117" t="s">
        <v>1406</v>
      </c>
      <c r="E971" s="117" t="s">
        <v>11</v>
      </c>
      <c r="F971" s="117">
        <v>227</v>
      </c>
      <c r="G971" s="117">
        <v>227</v>
      </c>
      <c r="H971" s="117">
        <v>227</v>
      </c>
      <c r="I971" s="117"/>
      <c r="J971" s="117"/>
      <c r="K971" s="117" t="s">
        <v>2129</v>
      </c>
      <c r="L971" s="117" t="s">
        <v>1879</v>
      </c>
      <c r="M971" s="117" t="s">
        <v>17</v>
      </c>
      <c r="N971" s="117" t="s">
        <v>18</v>
      </c>
      <c r="O971" s="117"/>
      <c r="P971" s="117"/>
      <c r="Q971" s="117"/>
      <c r="R971" s="117"/>
    </row>
    <row r="972" spans="1:18" ht="27" customHeight="1">
      <c r="A972" s="117">
        <v>967</v>
      </c>
      <c r="B972" s="117" t="s">
        <v>1826</v>
      </c>
      <c r="C972" s="117" t="s">
        <v>1407</v>
      </c>
      <c r="D972" s="117" t="s">
        <v>1407</v>
      </c>
      <c r="E972" s="117" t="s">
        <v>3</v>
      </c>
      <c r="F972" s="117">
        <v>30</v>
      </c>
      <c r="G972" s="117">
        <v>30</v>
      </c>
      <c r="H972" s="117">
        <v>30</v>
      </c>
      <c r="I972" s="117"/>
      <c r="J972" s="117"/>
      <c r="K972" s="117" t="s">
        <v>205</v>
      </c>
      <c r="L972" s="117"/>
      <c r="M972" s="117" t="s">
        <v>17</v>
      </c>
      <c r="N972" s="117" t="s">
        <v>205</v>
      </c>
      <c r="O972" s="117"/>
      <c r="P972" s="117"/>
      <c r="Q972" s="117"/>
      <c r="R972" s="117"/>
    </row>
    <row r="973" spans="1:18" ht="27" customHeight="1">
      <c r="A973" s="117">
        <v>968</v>
      </c>
      <c r="B973" s="117" t="s">
        <v>1826</v>
      </c>
      <c r="C973" s="117" t="s">
        <v>1408</v>
      </c>
      <c r="D973" s="117" t="s">
        <v>1408</v>
      </c>
      <c r="E973" s="117" t="s">
        <v>3</v>
      </c>
      <c r="F973" s="117">
        <v>504</v>
      </c>
      <c r="G973" s="117">
        <v>504</v>
      </c>
      <c r="H973" s="117">
        <v>504</v>
      </c>
      <c r="I973" s="117"/>
      <c r="J973" s="117"/>
      <c r="K973" s="117" t="s">
        <v>205</v>
      </c>
      <c r="L973" s="117"/>
      <c r="M973" s="117" t="s">
        <v>17</v>
      </c>
      <c r="N973" s="117" t="s">
        <v>205</v>
      </c>
      <c r="O973" s="117"/>
      <c r="P973" s="117"/>
      <c r="Q973" s="117"/>
      <c r="R973" s="117"/>
    </row>
    <row r="974" spans="1:18" ht="27" customHeight="1">
      <c r="A974" s="117">
        <v>969</v>
      </c>
      <c r="B974" s="117" t="s">
        <v>1826</v>
      </c>
      <c r="C974" s="117" t="s">
        <v>1409</v>
      </c>
      <c r="D974" s="117" t="s">
        <v>1409</v>
      </c>
      <c r="E974" s="117" t="s">
        <v>3</v>
      </c>
      <c r="F974" s="117">
        <v>303</v>
      </c>
      <c r="G974" s="117"/>
      <c r="H974" s="117">
        <v>303</v>
      </c>
      <c r="I974" s="117"/>
      <c r="J974" s="117"/>
      <c r="K974" s="117" t="s">
        <v>205</v>
      </c>
      <c r="L974" s="117"/>
      <c r="M974" s="117" t="s">
        <v>17</v>
      </c>
      <c r="N974" s="117" t="s">
        <v>205</v>
      </c>
      <c r="O974" s="117"/>
      <c r="P974" s="117"/>
      <c r="Q974" s="117"/>
      <c r="R974" s="117" t="s">
        <v>1900</v>
      </c>
    </row>
    <row r="975" spans="1:18" ht="27" customHeight="1">
      <c r="A975" s="117">
        <v>970</v>
      </c>
      <c r="B975" s="117" t="s">
        <v>1826</v>
      </c>
      <c r="C975" s="117" t="s">
        <v>1410</v>
      </c>
      <c r="D975" s="117" t="s">
        <v>1410</v>
      </c>
      <c r="E975" s="117" t="s">
        <v>6</v>
      </c>
      <c r="F975" s="117">
        <v>89</v>
      </c>
      <c r="G975" s="117"/>
      <c r="H975" s="117">
        <v>89</v>
      </c>
      <c r="I975" s="117"/>
      <c r="J975" s="117"/>
      <c r="K975" s="117" t="s">
        <v>17</v>
      </c>
      <c r="L975" s="117"/>
      <c r="M975" s="117" t="s">
        <v>17</v>
      </c>
      <c r="N975" s="117" t="s">
        <v>1269</v>
      </c>
      <c r="O975" s="117"/>
      <c r="P975" s="117"/>
      <c r="Q975" s="117"/>
      <c r="R975" s="117" t="s">
        <v>1900</v>
      </c>
    </row>
    <row r="976" spans="1:18" ht="27" customHeight="1">
      <c r="A976" s="117">
        <v>971</v>
      </c>
      <c r="B976" s="117" t="s">
        <v>1826</v>
      </c>
      <c r="C976" s="117" t="s">
        <v>1411</v>
      </c>
      <c r="D976" s="117" t="s">
        <v>1411</v>
      </c>
      <c r="E976" s="117" t="s">
        <v>6</v>
      </c>
      <c r="F976" s="117">
        <v>99</v>
      </c>
      <c r="G976" s="117"/>
      <c r="H976" s="117">
        <v>99</v>
      </c>
      <c r="I976" s="117"/>
      <c r="J976" s="117"/>
      <c r="K976" s="117" t="s">
        <v>205</v>
      </c>
      <c r="L976" s="117"/>
      <c r="M976" s="117" t="s">
        <v>17</v>
      </c>
      <c r="N976" s="117" t="s">
        <v>205</v>
      </c>
      <c r="O976" s="117"/>
      <c r="P976" s="117"/>
      <c r="Q976" s="117"/>
      <c r="R976" s="117" t="s">
        <v>1900</v>
      </c>
    </row>
    <row r="977" spans="1:18" ht="27" customHeight="1">
      <c r="A977" s="117">
        <v>972</v>
      </c>
      <c r="B977" s="117" t="s">
        <v>1826</v>
      </c>
      <c r="C977" s="117" t="s">
        <v>1331</v>
      </c>
      <c r="D977" s="117" t="s">
        <v>1331</v>
      </c>
      <c r="E977" s="117" t="s">
        <v>6</v>
      </c>
      <c r="F977" s="117">
        <v>5</v>
      </c>
      <c r="G977" s="117"/>
      <c r="H977" s="117">
        <v>5</v>
      </c>
      <c r="I977" s="117"/>
      <c r="J977" s="117"/>
      <c r="K977" s="117" t="s">
        <v>17</v>
      </c>
      <c r="L977" s="117"/>
      <c r="M977" s="117" t="s">
        <v>17</v>
      </c>
      <c r="N977" s="117" t="s">
        <v>1269</v>
      </c>
      <c r="O977" s="117"/>
      <c r="P977" s="117"/>
      <c r="Q977" s="117"/>
      <c r="R977" s="117" t="s">
        <v>1900</v>
      </c>
    </row>
    <row r="978" spans="1:18" ht="27" customHeight="1">
      <c r="A978" s="117">
        <v>973</v>
      </c>
      <c r="B978" s="117" t="s">
        <v>1826</v>
      </c>
      <c r="C978" s="117" t="s">
        <v>1332</v>
      </c>
      <c r="D978" s="117" t="s">
        <v>1332</v>
      </c>
      <c r="E978" s="117" t="s">
        <v>6</v>
      </c>
      <c r="F978" s="117">
        <v>51</v>
      </c>
      <c r="G978" s="117"/>
      <c r="H978" s="117">
        <v>51</v>
      </c>
      <c r="I978" s="117"/>
      <c r="J978" s="117"/>
      <c r="K978" s="117" t="s">
        <v>205</v>
      </c>
      <c r="L978" s="117"/>
      <c r="M978" s="117" t="s">
        <v>17</v>
      </c>
      <c r="N978" s="117" t="s">
        <v>205</v>
      </c>
      <c r="O978" s="117"/>
      <c r="P978" s="117"/>
      <c r="Q978" s="117"/>
      <c r="R978" s="117" t="s">
        <v>1900</v>
      </c>
    </row>
    <row r="979" spans="1:18" ht="27" customHeight="1">
      <c r="A979" s="117">
        <v>974</v>
      </c>
      <c r="B979" s="117" t="s">
        <v>1826</v>
      </c>
      <c r="C979" s="117" t="s">
        <v>1333</v>
      </c>
      <c r="D979" s="117" t="s">
        <v>1333</v>
      </c>
      <c r="E979" s="117" t="s">
        <v>6</v>
      </c>
      <c r="F979" s="117">
        <v>14</v>
      </c>
      <c r="G979" s="117"/>
      <c r="H979" s="117">
        <v>14</v>
      </c>
      <c r="I979" s="117"/>
      <c r="J979" s="117"/>
      <c r="K979" s="117" t="s">
        <v>205</v>
      </c>
      <c r="L979" s="117"/>
      <c r="M979" s="117" t="s">
        <v>17</v>
      </c>
      <c r="N979" s="117" t="s">
        <v>205</v>
      </c>
      <c r="O979" s="117"/>
      <c r="P979" s="117"/>
      <c r="Q979" s="117"/>
      <c r="R979" s="117" t="s">
        <v>1900</v>
      </c>
    </row>
    <row r="980" spans="1:18" ht="27" customHeight="1">
      <c r="A980" s="117">
        <v>975</v>
      </c>
      <c r="B980" s="117" t="s">
        <v>1826</v>
      </c>
      <c r="C980" s="117" t="s">
        <v>1334</v>
      </c>
      <c r="D980" s="117" t="s">
        <v>1334</v>
      </c>
      <c r="E980" s="117" t="s">
        <v>11</v>
      </c>
      <c r="F980" s="117">
        <v>115</v>
      </c>
      <c r="G980" s="117"/>
      <c r="H980" s="117">
        <v>115</v>
      </c>
      <c r="I980" s="117"/>
      <c r="J980" s="117"/>
      <c r="K980" s="117" t="s">
        <v>18</v>
      </c>
      <c r="L980" s="117"/>
      <c r="M980" s="117" t="s">
        <v>17</v>
      </c>
      <c r="N980" s="117" t="s">
        <v>18</v>
      </c>
      <c r="O980" s="117"/>
      <c r="P980" s="117"/>
      <c r="Q980" s="117"/>
      <c r="R980" s="117" t="s">
        <v>1900</v>
      </c>
    </row>
    <row r="981" spans="1:18" ht="27" customHeight="1">
      <c r="A981" s="117">
        <v>976</v>
      </c>
      <c r="B981" s="117" t="s">
        <v>1826</v>
      </c>
      <c r="C981" s="117" t="s">
        <v>1335</v>
      </c>
      <c r="D981" s="117" t="s">
        <v>1335</v>
      </c>
      <c r="E981" s="117" t="s">
        <v>3</v>
      </c>
      <c r="F981" s="117">
        <v>187</v>
      </c>
      <c r="G981" s="117"/>
      <c r="H981" s="117">
        <v>187</v>
      </c>
      <c r="I981" s="117"/>
      <c r="J981" s="117"/>
      <c r="K981" s="117" t="s">
        <v>1285</v>
      </c>
      <c r="L981" s="117"/>
      <c r="M981" s="117" t="s">
        <v>17</v>
      </c>
      <c r="N981" s="117" t="s">
        <v>1269</v>
      </c>
      <c r="O981" s="117"/>
      <c r="P981" s="117"/>
      <c r="Q981" s="117"/>
      <c r="R981" s="117" t="s">
        <v>1900</v>
      </c>
    </row>
    <row r="982" spans="1:18" ht="27" customHeight="1">
      <c r="A982" s="117">
        <v>977</v>
      </c>
      <c r="B982" s="117" t="s">
        <v>1826</v>
      </c>
      <c r="C982" s="117" t="s">
        <v>1336</v>
      </c>
      <c r="D982" s="117" t="s">
        <v>1336</v>
      </c>
      <c r="E982" s="117" t="s">
        <v>23</v>
      </c>
      <c r="F982" s="117">
        <v>13</v>
      </c>
      <c r="G982" s="117"/>
      <c r="H982" s="117">
        <v>13</v>
      </c>
      <c r="I982" s="117"/>
      <c r="J982" s="117"/>
      <c r="K982" s="117" t="s">
        <v>205</v>
      </c>
      <c r="L982" s="117"/>
      <c r="M982" s="117" t="s">
        <v>17</v>
      </c>
      <c r="N982" s="117" t="s">
        <v>205</v>
      </c>
      <c r="O982" s="117"/>
      <c r="P982" s="117"/>
      <c r="Q982" s="117"/>
      <c r="R982" s="117" t="s">
        <v>1900</v>
      </c>
    </row>
    <row r="983" spans="1:18" ht="27" customHeight="1">
      <c r="A983" s="117">
        <v>978</v>
      </c>
      <c r="B983" s="117" t="s">
        <v>1826</v>
      </c>
      <c r="C983" s="117" t="s">
        <v>1901</v>
      </c>
      <c r="D983" s="117"/>
      <c r="E983" s="117" t="s">
        <v>11</v>
      </c>
      <c r="F983" s="117">
        <v>302</v>
      </c>
      <c r="G983" s="117"/>
      <c r="H983" s="117">
        <v>21</v>
      </c>
      <c r="I983" s="117"/>
      <c r="J983" s="117"/>
      <c r="K983" s="117" t="s">
        <v>2178</v>
      </c>
      <c r="L983" s="117" t="s">
        <v>1902</v>
      </c>
      <c r="M983" s="117" t="s">
        <v>2168</v>
      </c>
      <c r="N983" s="117" t="s">
        <v>1902</v>
      </c>
      <c r="O983" s="117" t="s">
        <v>1903</v>
      </c>
      <c r="P983" s="117" t="s">
        <v>1904</v>
      </c>
      <c r="Q983" s="117" t="s">
        <v>1905</v>
      </c>
      <c r="R983" s="117" t="s">
        <v>1900</v>
      </c>
    </row>
    <row r="984" spans="1:18" ht="27" customHeight="1">
      <c r="A984" s="117">
        <v>979</v>
      </c>
      <c r="B984" s="117" t="s">
        <v>1826</v>
      </c>
      <c r="C984" s="117" t="s">
        <v>1906</v>
      </c>
      <c r="D984" s="117"/>
      <c r="E984" s="117" t="s">
        <v>11</v>
      </c>
      <c r="F984" s="117">
        <v>916</v>
      </c>
      <c r="G984" s="117"/>
      <c r="H984" s="117">
        <v>916</v>
      </c>
      <c r="I984" s="117"/>
      <c r="J984" s="117"/>
      <c r="K984" s="117" t="s">
        <v>2169</v>
      </c>
      <c r="L984" s="117" t="s">
        <v>1907</v>
      </c>
      <c r="M984" s="117" t="s">
        <v>2169</v>
      </c>
      <c r="N984" s="117" t="s">
        <v>1907</v>
      </c>
      <c r="O984" s="117"/>
      <c r="P984" s="117"/>
      <c r="Q984" s="117"/>
      <c r="R984" s="117" t="s">
        <v>1900</v>
      </c>
    </row>
    <row r="985" spans="1:18" ht="27" customHeight="1">
      <c r="A985" s="117">
        <v>980</v>
      </c>
      <c r="B985" s="117" t="s">
        <v>1826</v>
      </c>
      <c r="C985" s="117" t="s">
        <v>1908</v>
      </c>
      <c r="D985" s="117"/>
      <c r="E985" s="117" t="s">
        <v>23</v>
      </c>
      <c r="F985" s="117">
        <v>377</v>
      </c>
      <c r="G985" s="117"/>
      <c r="H985" s="117">
        <v>377</v>
      </c>
      <c r="I985" s="117"/>
      <c r="J985" s="117"/>
      <c r="K985" s="117" t="s">
        <v>2169</v>
      </c>
      <c r="L985" s="117" t="s">
        <v>1907</v>
      </c>
      <c r="M985" s="117" t="s">
        <v>2169</v>
      </c>
      <c r="N985" s="117" t="s">
        <v>1907</v>
      </c>
      <c r="O985" s="117"/>
      <c r="P985" s="117"/>
      <c r="Q985" s="117"/>
      <c r="R985" s="117" t="s">
        <v>1900</v>
      </c>
    </row>
    <row r="986" spans="1:18" ht="27" customHeight="1">
      <c r="A986" s="117">
        <v>981</v>
      </c>
      <c r="B986" s="117" t="s">
        <v>1826</v>
      </c>
      <c r="C986" s="117" t="s">
        <v>1909</v>
      </c>
      <c r="D986" s="117"/>
      <c r="E986" s="117" t="s">
        <v>11</v>
      </c>
      <c r="F986" s="117">
        <v>10</v>
      </c>
      <c r="G986" s="117"/>
      <c r="H986" s="117">
        <v>10</v>
      </c>
      <c r="I986" s="117"/>
      <c r="J986" s="117"/>
      <c r="K986" s="117" t="s">
        <v>2169</v>
      </c>
      <c r="L986" s="117" t="s">
        <v>1907</v>
      </c>
      <c r="M986" s="117" t="s">
        <v>2169</v>
      </c>
      <c r="N986" s="117" t="s">
        <v>1907</v>
      </c>
      <c r="O986" s="117"/>
      <c r="P986" s="117"/>
      <c r="Q986" s="117"/>
      <c r="R986" s="117" t="s">
        <v>1900</v>
      </c>
    </row>
    <row r="987" spans="1:18" ht="27" customHeight="1">
      <c r="A987" s="117">
        <v>982</v>
      </c>
      <c r="B987" s="117" t="s">
        <v>1826</v>
      </c>
      <c r="C987" s="117" t="s">
        <v>1291</v>
      </c>
      <c r="D987" s="117"/>
      <c r="E987" s="117" t="s">
        <v>3</v>
      </c>
      <c r="F987" s="117">
        <v>26</v>
      </c>
      <c r="G987" s="117"/>
      <c r="H987" s="117">
        <v>26</v>
      </c>
      <c r="I987" s="117"/>
      <c r="J987" s="117"/>
      <c r="K987" s="117" t="s">
        <v>17</v>
      </c>
      <c r="L987" s="117" t="s">
        <v>1285</v>
      </c>
      <c r="M987" s="117" t="s">
        <v>17</v>
      </c>
      <c r="N987" s="117" t="s">
        <v>1285</v>
      </c>
      <c r="O987" s="117"/>
      <c r="P987" s="117"/>
      <c r="Q987" s="117"/>
      <c r="R987" s="117" t="s">
        <v>1900</v>
      </c>
    </row>
    <row r="988" spans="1:18" ht="27" customHeight="1">
      <c r="A988" s="117">
        <v>983</v>
      </c>
      <c r="B988" s="117" t="s">
        <v>1826</v>
      </c>
      <c r="C988" s="117" t="s">
        <v>1910</v>
      </c>
      <c r="D988" s="117"/>
      <c r="E988" s="117" t="s">
        <v>23</v>
      </c>
      <c r="F988" s="117">
        <v>204</v>
      </c>
      <c r="G988" s="117"/>
      <c r="H988" s="117">
        <v>204</v>
      </c>
      <c r="I988" s="117"/>
      <c r="J988" s="117"/>
      <c r="K988" s="117" t="s">
        <v>2169</v>
      </c>
      <c r="L988" s="117" t="s">
        <v>1907</v>
      </c>
      <c r="M988" s="117" t="s">
        <v>2169</v>
      </c>
      <c r="N988" s="117" t="s">
        <v>1907</v>
      </c>
      <c r="O988" s="117"/>
      <c r="P988" s="117"/>
      <c r="Q988" s="117"/>
      <c r="R988" s="117" t="s">
        <v>1900</v>
      </c>
    </row>
    <row r="989" spans="1:18" ht="27" customHeight="1">
      <c r="A989" s="117">
        <v>984</v>
      </c>
      <c r="B989" s="117" t="s">
        <v>1826</v>
      </c>
      <c r="C989" s="117" t="s">
        <v>1911</v>
      </c>
      <c r="D989" s="117"/>
      <c r="E989" s="117" t="s">
        <v>23</v>
      </c>
      <c r="F989" s="117">
        <v>328</v>
      </c>
      <c r="G989" s="117"/>
      <c r="H989" s="117">
        <v>328</v>
      </c>
      <c r="I989" s="117"/>
      <c r="J989" s="117"/>
      <c r="K989" s="117" t="s">
        <v>2169</v>
      </c>
      <c r="L989" s="117" t="s">
        <v>1907</v>
      </c>
      <c r="M989" s="117" t="s">
        <v>2169</v>
      </c>
      <c r="N989" s="117" t="s">
        <v>1907</v>
      </c>
      <c r="O989" s="117"/>
      <c r="P989" s="117"/>
      <c r="Q989" s="117"/>
      <c r="R989" s="117" t="s">
        <v>1900</v>
      </c>
    </row>
    <row r="990" spans="1:18" ht="27" customHeight="1">
      <c r="A990" s="117"/>
      <c r="B990" s="117" t="s">
        <v>1912</v>
      </c>
      <c r="C990" s="117"/>
      <c r="D990" s="117"/>
      <c r="E990" s="117"/>
      <c r="F990" s="212">
        <f>SUM(F6:F989)</f>
        <v>1806095.3000000003</v>
      </c>
      <c r="G990" s="212">
        <f>SUM(G6:G989)</f>
        <v>550086.5</v>
      </c>
      <c r="H990" s="212">
        <f>SUM(H6:H989)</f>
        <v>553565.5</v>
      </c>
      <c r="I990" s="117"/>
      <c r="J990" s="117"/>
      <c r="K990" s="117"/>
      <c r="L990" s="117"/>
      <c r="M990" s="117"/>
      <c r="N990" s="117"/>
      <c r="O990" s="117"/>
      <c r="P990" s="117"/>
      <c r="Q990" s="117"/>
      <c r="R990" s="117"/>
    </row>
  </sheetData>
  <mergeCells count="9">
    <mergeCell ref="A1:R1"/>
    <mergeCell ref="K4:L4"/>
    <mergeCell ref="O4:Q4"/>
    <mergeCell ref="C4:D4"/>
    <mergeCell ref="G4:H4"/>
    <mergeCell ref="E4:E5"/>
    <mergeCell ref="R4:R5"/>
    <mergeCell ref="M4:N4"/>
    <mergeCell ref="B4:B5"/>
  </mergeCells>
  <phoneticPr fontId="6" type="noConversion"/>
  <printOptions horizontalCentered="1"/>
  <pageMargins left="0.19685039370078741" right="0.19685039370078741" top="0.6692913385826772" bottom="0.59055118110236227" header="0.59055118110236227" footer="0.19685039370078741"/>
  <pageSetup paperSize="9" scale="72" fitToHeight="100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37"/>
  <sheetViews>
    <sheetView showGridLines="0" showZeros="0" view="pageBreakPreview" topLeftCell="A13" zoomScaleNormal="100" zoomScaleSheetLayoutView="100" workbookViewId="0">
      <selection activeCell="G139" sqref="G139"/>
    </sheetView>
  </sheetViews>
  <sheetFormatPr defaultRowHeight="11.25"/>
  <cols>
    <col min="1" max="1" width="3.88671875" style="56" customWidth="1"/>
    <col min="2" max="3" width="5.77734375" style="98" customWidth="1"/>
    <col min="4" max="4" width="3.77734375" style="56" customWidth="1"/>
    <col min="5" max="5" width="7.21875" style="99" customWidth="1"/>
    <col min="6" max="7" width="6.77734375" style="100" customWidth="1"/>
    <col min="8" max="8" width="4" style="56" hidden="1" customWidth="1"/>
    <col min="9" max="9" width="5.21875" style="56" hidden="1" customWidth="1"/>
    <col min="10" max="10" width="5.77734375" style="101" customWidth="1"/>
    <col min="11" max="11" width="11.6640625" style="101" customWidth="1"/>
    <col min="12" max="12" width="5.77734375" style="101" customWidth="1"/>
    <col min="13" max="13" width="11.6640625" style="101" customWidth="1"/>
    <col min="14" max="14" width="5.21875" style="56" customWidth="1"/>
    <col min="15" max="16" width="8.6640625" style="101" customWidth="1"/>
    <col min="17" max="17" width="4" style="56" customWidth="1"/>
    <col min="18" max="18" width="20.77734375" style="142" customWidth="1"/>
    <col min="19" max="25" width="9.77734375" style="56" customWidth="1"/>
    <col min="26" max="26" width="10.77734375" style="56" customWidth="1"/>
    <col min="27" max="16384" width="8.88671875" style="56"/>
  </cols>
  <sheetData>
    <row r="1" spans="1:26" ht="30" customHeight="1">
      <c r="A1" s="74" t="s">
        <v>45</v>
      </c>
      <c r="B1" s="75"/>
      <c r="C1" s="75"/>
      <c r="D1" s="76"/>
      <c r="E1" s="77"/>
      <c r="F1" s="78"/>
      <c r="G1" s="78"/>
      <c r="H1" s="76"/>
      <c r="I1" s="76"/>
      <c r="J1" s="79"/>
      <c r="K1" s="79"/>
      <c r="L1" s="79"/>
      <c r="M1" s="79"/>
      <c r="N1" s="76"/>
      <c r="O1" s="79"/>
      <c r="P1" s="79"/>
      <c r="Q1" s="76"/>
      <c r="R1" s="131"/>
      <c r="S1" s="80"/>
      <c r="T1" s="79"/>
      <c r="U1" s="80"/>
      <c r="V1" s="80"/>
      <c r="W1" s="80"/>
      <c r="X1" s="80"/>
      <c r="Y1" s="80"/>
      <c r="Z1" s="80"/>
    </row>
    <row r="2" spans="1:26" ht="19.899999999999999" customHeight="1">
      <c r="A2" s="80"/>
      <c r="B2" s="81"/>
      <c r="C2" s="81"/>
      <c r="D2" s="80"/>
      <c r="E2" s="82"/>
      <c r="F2" s="83"/>
      <c r="G2" s="83"/>
      <c r="H2" s="80"/>
      <c r="I2" s="80"/>
      <c r="J2" s="84"/>
      <c r="K2" s="84"/>
      <c r="L2" s="84"/>
      <c r="M2" s="84"/>
      <c r="N2" s="85"/>
      <c r="O2" s="79"/>
      <c r="P2" s="123" t="s">
        <v>1228</v>
      </c>
      <c r="Q2" s="76"/>
      <c r="R2" s="115"/>
      <c r="S2" s="80"/>
      <c r="T2" s="84"/>
      <c r="U2" s="80"/>
      <c r="V2" s="80"/>
      <c r="W2" s="80"/>
      <c r="X2" s="80"/>
      <c r="Y2" s="80"/>
      <c r="Z2" s="80"/>
    </row>
    <row r="3" spans="1:26" ht="10.15" customHeight="1">
      <c r="A3" s="80"/>
      <c r="B3" s="81"/>
      <c r="C3" s="81"/>
      <c r="D3" s="80"/>
      <c r="E3" s="82"/>
      <c r="F3" s="83"/>
      <c r="G3" s="83"/>
      <c r="H3" s="80"/>
      <c r="I3" s="80"/>
      <c r="J3" s="84"/>
      <c r="K3" s="84"/>
      <c r="L3" s="84"/>
      <c r="M3" s="84"/>
      <c r="N3" s="80"/>
      <c r="O3" s="84"/>
      <c r="P3" s="84"/>
      <c r="Q3" s="80"/>
      <c r="R3" s="132"/>
      <c r="S3" s="80"/>
      <c r="T3" s="84"/>
      <c r="U3" s="80"/>
      <c r="V3" s="80"/>
      <c r="W3" s="80"/>
      <c r="X3" s="80"/>
      <c r="Y3" s="80"/>
      <c r="Z3" s="80"/>
    </row>
    <row r="4" spans="1:26" s="135" customFormat="1" ht="27" customHeight="1">
      <c r="A4" s="107" t="s">
        <v>31</v>
      </c>
      <c r="B4" s="218" t="s">
        <v>32</v>
      </c>
      <c r="C4" s="218"/>
      <c r="D4" s="220" t="s">
        <v>33</v>
      </c>
      <c r="E4" s="108" t="s">
        <v>34</v>
      </c>
      <c r="F4" s="224" t="s">
        <v>35</v>
      </c>
      <c r="G4" s="224"/>
      <c r="H4" s="109" t="s">
        <v>36</v>
      </c>
      <c r="I4" s="109"/>
      <c r="J4" s="220" t="s">
        <v>1230</v>
      </c>
      <c r="K4" s="220"/>
      <c r="L4" s="220" t="s">
        <v>1231</v>
      </c>
      <c r="M4" s="220"/>
      <c r="N4" s="110" t="s">
        <v>38</v>
      </c>
      <c r="O4" s="109"/>
      <c r="P4" s="109"/>
      <c r="Q4" s="221" t="s">
        <v>13</v>
      </c>
      <c r="R4" s="133"/>
      <c r="S4" s="134"/>
      <c r="T4" s="134"/>
      <c r="U4" s="134"/>
      <c r="V4" s="134"/>
      <c r="W4" s="134"/>
      <c r="X4" s="134"/>
      <c r="Y4" s="134"/>
      <c r="Z4" s="134"/>
    </row>
    <row r="5" spans="1:26" s="135" customFormat="1" ht="27" customHeight="1">
      <c r="A5" s="107" t="s">
        <v>39</v>
      </c>
      <c r="B5" s="106" t="s">
        <v>14</v>
      </c>
      <c r="C5" s="106" t="s">
        <v>15</v>
      </c>
      <c r="D5" s="220"/>
      <c r="E5" s="112" t="s">
        <v>63</v>
      </c>
      <c r="F5" s="106" t="s">
        <v>1233</v>
      </c>
      <c r="G5" s="106" t="s">
        <v>1235</v>
      </c>
      <c r="H5" s="107" t="s">
        <v>33</v>
      </c>
      <c r="I5" s="111" t="s">
        <v>40</v>
      </c>
      <c r="J5" s="111" t="s">
        <v>41</v>
      </c>
      <c r="K5" s="107" t="s">
        <v>42</v>
      </c>
      <c r="L5" s="111" t="s">
        <v>41</v>
      </c>
      <c r="M5" s="107" t="s">
        <v>42</v>
      </c>
      <c r="N5" s="111" t="s">
        <v>41</v>
      </c>
      <c r="O5" s="111" t="s">
        <v>42</v>
      </c>
      <c r="P5" s="107" t="s">
        <v>43</v>
      </c>
      <c r="Q5" s="221"/>
      <c r="R5" s="136"/>
      <c r="S5" s="137"/>
      <c r="T5" s="138" t="s">
        <v>41</v>
      </c>
      <c r="U5" s="139"/>
      <c r="V5" s="139"/>
      <c r="W5" s="139"/>
      <c r="X5" s="139"/>
      <c r="Y5" s="139"/>
      <c r="Z5" s="140"/>
    </row>
    <row r="6" spans="1:26" ht="27" customHeight="1">
      <c r="A6" s="106">
        <v>1</v>
      </c>
      <c r="B6" s="106" t="s">
        <v>1338</v>
      </c>
      <c r="C6" s="106"/>
      <c r="D6" s="106" t="s">
        <v>1339</v>
      </c>
      <c r="E6" s="121">
        <v>4701</v>
      </c>
      <c r="F6" s="121"/>
      <c r="G6" s="121">
        <v>0</v>
      </c>
      <c r="H6" s="106"/>
      <c r="I6" s="106"/>
      <c r="J6" s="117" t="s">
        <v>1340</v>
      </c>
      <c r="K6" s="117" t="s">
        <v>1341</v>
      </c>
      <c r="L6" s="117"/>
      <c r="M6" s="117"/>
      <c r="N6" s="117"/>
      <c r="O6" s="117"/>
      <c r="P6" s="117"/>
      <c r="Q6" s="117" t="s">
        <v>1245</v>
      </c>
      <c r="R6" s="125" t="str">
        <f>CONCATENATE(D6,T6)</f>
        <v>임안기재</v>
      </c>
      <c r="S6" s="126" t="str">
        <f t="shared" ref="S6:S11" si="0">IF(E6&gt;=F6,"-","ERR")</f>
        <v>-</v>
      </c>
      <c r="T6" s="211" t="str">
        <f>J6</f>
        <v>안기재</v>
      </c>
      <c r="U6" s="126"/>
      <c r="V6" s="126"/>
      <c r="W6" s="126"/>
      <c r="X6" s="126"/>
      <c r="Y6" s="126"/>
      <c r="Z6" s="126"/>
    </row>
    <row r="7" spans="1:26" ht="27" customHeight="1">
      <c r="A7" s="106"/>
      <c r="B7" s="106"/>
      <c r="C7" s="106"/>
      <c r="D7" s="106"/>
      <c r="E7" s="121"/>
      <c r="F7" s="121"/>
      <c r="G7" s="121"/>
      <c r="H7" s="106"/>
      <c r="I7" s="106"/>
      <c r="J7" s="117"/>
      <c r="K7" s="117"/>
      <c r="L7" s="117"/>
      <c r="M7" s="117"/>
      <c r="N7" s="117"/>
      <c r="O7" s="117"/>
      <c r="P7" s="117"/>
      <c r="Q7" s="117"/>
      <c r="R7" s="125" t="str">
        <f t="shared" ref="R7:R52" si="1">CONCATENATE(D7,T7)</f>
        <v/>
      </c>
      <c r="S7" s="126" t="str">
        <f t="shared" si="0"/>
        <v>-</v>
      </c>
      <c r="T7" s="69"/>
      <c r="U7" s="126"/>
      <c r="V7" s="126"/>
      <c r="W7" s="126"/>
      <c r="X7" s="126"/>
      <c r="Y7" s="126"/>
      <c r="Z7" s="126"/>
    </row>
    <row r="8" spans="1:26" ht="27" customHeight="1">
      <c r="A8" s="106"/>
      <c r="B8" s="106"/>
      <c r="C8" s="106"/>
      <c r="D8" s="106"/>
      <c r="E8" s="121"/>
      <c r="F8" s="121"/>
      <c r="G8" s="121"/>
      <c r="H8" s="106"/>
      <c r="I8" s="106"/>
      <c r="J8" s="117"/>
      <c r="K8" s="117"/>
      <c r="L8" s="117"/>
      <c r="M8" s="117"/>
      <c r="N8" s="117"/>
      <c r="O8" s="117"/>
      <c r="P8" s="117"/>
      <c r="Q8" s="117"/>
      <c r="R8" s="125" t="str">
        <f t="shared" si="1"/>
        <v/>
      </c>
      <c r="S8" s="126" t="str">
        <f t="shared" si="0"/>
        <v>-</v>
      </c>
      <c r="T8" s="69"/>
      <c r="U8" s="126"/>
      <c r="V8" s="126"/>
      <c r="W8" s="126"/>
      <c r="X8" s="126"/>
      <c r="Y8" s="126"/>
      <c r="Z8" s="126"/>
    </row>
    <row r="9" spans="1:26" ht="27" customHeight="1">
      <c r="A9" s="106"/>
      <c r="B9" s="106"/>
      <c r="C9" s="106"/>
      <c r="D9" s="106"/>
      <c r="E9" s="121"/>
      <c r="F9" s="121"/>
      <c r="G9" s="121"/>
      <c r="H9" s="106"/>
      <c r="I9" s="106"/>
      <c r="J9" s="117"/>
      <c r="K9" s="117"/>
      <c r="L9" s="117"/>
      <c r="M9" s="117"/>
      <c r="N9" s="117"/>
      <c r="O9" s="117"/>
      <c r="P9" s="117"/>
      <c r="Q9" s="117"/>
      <c r="R9" s="125" t="str">
        <f t="shared" si="1"/>
        <v/>
      </c>
      <c r="S9" s="126" t="str">
        <f t="shared" si="0"/>
        <v>-</v>
      </c>
      <c r="T9" s="69"/>
      <c r="U9" s="126"/>
      <c r="V9" s="126"/>
      <c r="W9" s="126"/>
      <c r="X9" s="126"/>
      <c r="Y9" s="126"/>
      <c r="Z9" s="126"/>
    </row>
    <row r="10" spans="1:26" ht="27" customHeight="1">
      <c r="A10" s="106"/>
      <c r="B10" s="106"/>
      <c r="C10" s="106"/>
      <c r="D10" s="106"/>
      <c r="E10" s="121"/>
      <c r="F10" s="121"/>
      <c r="G10" s="121"/>
      <c r="H10" s="106"/>
      <c r="I10" s="106"/>
      <c r="J10" s="117"/>
      <c r="K10" s="117"/>
      <c r="L10" s="117"/>
      <c r="M10" s="117"/>
      <c r="N10" s="117"/>
      <c r="O10" s="117"/>
      <c r="P10" s="117"/>
      <c r="Q10" s="117"/>
      <c r="R10" s="125" t="str">
        <f t="shared" si="1"/>
        <v/>
      </c>
      <c r="S10" s="126" t="str">
        <f t="shared" si="0"/>
        <v>-</v>
      </c>
      <c r="T10" s="69"/>
      <c r="U10" s="126"/>
      <c r="V10" s="126"/>
      <c r="W10" s="126"/>
      <c r="X10" s="126"/>
      <c r="Y10" s="126"/>
      <c r="Z10" s="126"/>
    </row>
    <row r="11" spans="1:26" ht="27" customHeight="1">
      <c r="A11" s="106"/>
      <c r="B11" s="106"/>
      <c r="C11" s="106"/>
      <c r="D11" s="106"/>
      <c r="E11" s="121"/>
      <c r="F11" s="121"/>
      <c r="G11" s="121"/>
      <c r="H11" s="106"/>
      <c r="I11" s="106"/>
      <c r="J11" s="117"/>
      <c r="K11" s="117"/>
      <c r="L11" s="117"/>
      <c r="M11" s="117"/>
      <c r="N11" s="117"/>
      <c r="O11" s="117"/>
      <c r="P11" s="117"/>
      <c r="Q11" s="117"/>
      <c r="R11" s="125" t="str">
        <f t="shared" si="1"/>
        <v/>
      </c>
      <c r="S11" s="126" t="str">
        <f t="shared" si="0"/>
        <v>-</v>
      </c>
      <c r="T11" s="69"/>
      <c r="U11" s="126"/>
      <c r="V11" s="126"/>
      <c r="W11" s="126"/>
      <c r="X11" s="126"/>
      <c r="Y11" s="126"/>
      <c r="Z11" s="126"/>
    </row>
    <row r="12" spans="1:26" ht="27" customHeight="1">
      <c r="A12" s="103"/>
      <c r="B12" s="104"/>
      <c r="C12" s="104"/>
      <c r="D12" s="105"/>
      <c r="E12" s="102"/>
      <c r="F12" s="102"/>
      <c r="G12" s="102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25" t="str">
        <f t="shared" si="1"/>
        <v/>
      </c>
      <c r="S12" s="126" t="str">
        <f t="shared" ref="S12:S25" si="2">IF(E13&gt;=F13,"-","ERR")</f>
        <v>-</v>
      </c>
      <c r="T12" s="69"/>
      <c r="U12" s="126"/>
      <c r="V12" s="126"/>
      <c r="W12" s="126"/>
      <c r="X12" s="126"/>
      <c r="Y12" s="126"/>
      <c r="Z12" s="126"/>
    </row>
    <row r="13" spans="1:26" ht="27" customHeight="1">
      <c r="A13" s="103"/>
      <c r="B13" s="104"/>
      <c r="C13" s="104"/>
      <c r="D13" s="105"/>
      <c r="E13" s="102"/>
      <c r="F13" s="102"/>
      <c r="G13" s="10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25" t="str">
        <f t="shared" si="1"/>
        <v/>
      </c>
      <c r="S13" s="126" t="str">
        <f t="shared" si="2"/>
        <v>-</v>
      </c>
      <c r="T13" s="69"/>
      <c r="U13" s="126"/>
      <c r="V13" s="126"/>
      <c r="W13" s="126"/>
      <c r="X13" s="126"/>
      <c r="Y13" s="126"/>
      <c r="Z13" s="126"/>
    </row>
    <row r="14" spans="1:26" ht="27" customHeight="1">
      <c r="A14" s="103"/>
      <c r="B14" s="104"/>
      <c r="C14" s="104"/>
      <c r="D14" s="105"/>
      <c r="E14" s="102"/>
      <c r="F14" s="102"/>
      <c r="G14" s="102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25" t="str">
        <f t="shared" si="1"/>
        <v/>
      </c>
      <c r="S14" s="126" t="str">
        <f t="shared" si="2"/>
        <v>-</v>
      </c>
      <c r="T14" s="69"/>
      <c r="U14" s="126"/>
      <c r="V14" s="126"/>
      <c r="W14" s="126"/>
      <c r="X14" s="126"/>
      <c r="Y14" s="126"/>
      <c r="Z14" s="126"/>
    </row>
    <row r="15" spans="1:26" ht="27" customHeight="1">
      <c r="A15" s="103"/>
      <c r="B15" s="104"/>
      <c r="C15" s="104"/>
      <c r="D15" s="105"/>
      <c r="E15" s="102"/>
      <c r="F15" s="102"/>
      <c r="G15" s="102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25" t="str">
        <f t="shared" si="1"/>
        <v/>
      </c>
      <c r="S15" s="126" t="str">
        <f t="shared" si="2"/>
        <v>-</v>
      </c>
      <c r="T15" s="69"/>
      <c r="U15" s="126"/>
      <c r="V15" s="126"/>
      <c r="W15" s="126"/>
      <c r="X15" s="126"/>
      <c r="Y15" s="126"/>
      <c r="Z15" s="126"/>
    </row>
    <row r="16" spans="1:26" ht="27" customHeight="1">
      <c r="A16" s="103"/>
      <c r="B16" s="104"/>
      <c r="C16" s="104"/>
      <c r="D16" s="105"/>
      <c r="E16" s="102"/>
      <c r="F16" s="102"/>
      <c r="G16" s="102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25" t="str">
        <f t="shared" si="1"/>
        <v/>
      </c>
      <c r="S16" s="126" t="str">
        <f t="shared" si="2"/>
        <v>-</v>
      </c>
      <c r="T16" s="69"/>
      <c r="U16" s="126"/>
      <c r="V16" s="126"/>
      <c r="W16" s="126"/>
      <c r="X16" s="126"/>
      <c r="Y16" s="126"/>
      <c r="Z16" s="126"/>
    </row>
    <row r="17" spans="1:29" ht="27" customHeight="1">
      <c r="A17" s="103"/>
      <c r="B17" s="104"/>
      <c r="C17" s="104"/>
      <c r="D17" s="105"/>
      <c r="E17" s="102"/>
      <c r="F17" s="102"/>
      <c r="G17" s="10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25" t="str">
        <f t="shared" si="1"/>
        <v/>
      </c>
      <c r="S17" s="126" t="str">
        <f t="shared" si="2"/>
        <v>-</v>
      </c>
      <c r="T17" s="69"/>
      <c r="U17" s="126"/>
      <c r="V17" s="126"/>
      <c r="W17" s="126"/>
      <c r="X17" s="126"/>
      <c r="Y17" s="126"/>
      <c r="Z17" s="126"/>
    </row>
    <row r="18" spans="1:29" ht="27" customHeight="1">
      <c r="A18" s="103"/>
      <c r="B18" s="104"/>
      <c r="C18" s="104"/>
      <c r="D18" s="105"/>
      <c r="E18" s="102"/>
      <c r="F18" s="102"/>
      <c r="G18" s="102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25" t="str">
        <f t="shared" si="1"/>
        <v/>
      </c>
      <c r="S18" s="126" t="str">
        <f t="shared" si="2"/>
        <v>-</v>
      </c>
      <c r="T18" s="69"/>
      <c r="U18" s="126"/>
      <c r="V18" s="126"/>
      <c r="W18" s="126"/>
      <c r="X18" s="126"/>
      <c r="Y18" s="126"/>
      <c r="Z18" s="126"/>
    </row>
    <row r="19" spans="1:29" ht="27" customHeight="1">
      <c r="A19" s="103"/>
      <c r="B19" s="104"/>
      <c r="C19" s="104"/>
      <c r="D19" s="105"/>
      <c r="E19" s="102"/>
      <c r="F19" s="102"/>
      <c r="G19" s="102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25" t="str">
        <f t="shared" si="1"/>
        <v/>
      </c>
      <c r="S19" s="126" t="str">
        <f t="shared" si="2"/>
        <v>-</v>
      </c>
      <c r="T19" s="69"/>
      <c r="U19" s="126"/>
      <c r="V19" s="126"/>
      <c r="W19" s="126"/>
      <c r="X19" s="126"/>
      <c r="Y19" s="126"/>
      <c r="Z19" s="126"/>
    </row>
    <row r="20" spans="1:29" ht="27" customHeight="1">
      <c r="A20" s="103"/>
      <c r="B20" s="104"/>
      <c r="C20" s="104"/>
      <c r="D20" s="105"/>
      <c r="E20" s="102"/>
      <c r="F20" s="102"/>
      <c r="G20" s="102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25" t="str">
        <f t="shared" si="1"/>
        <v/>
      </c>
      <c r="S20" s="126" t="str">
        <f t="shared" si="2"/>
        <v>-</v>
      </c>
      <c r="T20" s="69"/>
      <c r="U20" s="126"/>
      <c r="V20" s="126"/>
      <c r="W20" s="126"/>
      <c r="X20" s="126"/>
      <c r="Y20" s="126"/>
      <c r="Z20" s="126"/>
    </row>
    <row r="21" spans="1:29" ht="27" customHeight="1">
      <c r="A21" s="103"/>
      <c r="B21" s="104"/>
      <c r="C21" s="104"/>
      <c r="D21" s="105"/>
      <c r="E21" s="102"/>
      <c r="F21" s="102"/>
      <c r="G21" s="102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25" t="str">
        <f t="shared" si="1"/>
        <v/>
      </c>
      <c r="S21" s="126" t="str">
        <f t="shared" si="2"/>
        <v>-</v>
      </c>
      <c r="T21" s="69"/>
      <c r="U21" s="126"/>
      <c r="V21" s="126"/>
      <c r="W21" s="126"/>
      <c r="X21" s="126"/>
      <c r="Y21" s="126"/>
      <c r="Z21" s="127"/>
    </row>
    <row r="22" spans="1:29" ht="27" customHeight="1">
      <c r="A22" s="103"/>
      <c r="B22" s="104"/>
      <c r="C22" s="104"/>
      <c r="D22" s="105"/>
      <c r="E22" s="102"/>
      <c r="F22" s="102"/>
      <c r="G22" s="102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25" t="str">
        <f t="shared" si="1"/>
        <v/>
      </c>
      <c r="S22" s="126" t="str">
        <f t="shared" si="2"/>
        <v>-</v>
      </c>
      <c r="T22" s="69"/>
      <c r="U22" s="126"/>
      <c r="V22" s="126"/>
      <c r="W22" s="126"/>
      <c r="X22" s="126"/>
      <c r="Y22" s="126"/>
      <c r="Z22" s="127"/>
    </row>
    <row r="23" spans="1:29" ht="27" customHeight="1">
      <c r="A23" s="103"/>
      <c r="B23" s="104"/>
      <c r="C23" s="104"/>
      <c r="D23" s="105"/>
      <c r="E23" s="102"/>
      <c r="F23" s="102"/>
      <c r="G23" s="102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25" t="str">
        <f t="shared" si="1"/>
        <v/>
      </c>
      <c r="S23" s="126" t="str">
        <f t="shared" si="2"/>
        <v>-</v>
      </c>
      <c r="T23" s="69"/>
      <c r="U23" s="126"/>
      <c r="V23" s="126"/>
      <c r="W23" s="126"/>
      <c r="X23" s="126"/>
      <c r="Y23" s="126"/>
      <c r="Z23" s="127"/>
    </row>
    <row r="24" spans="1:29" ht="27" customHeight="1">
      <c r="A24" s="103"/>
      <c r="B24" s="104"/>
      <c r="C24" s="104"/>
      <c r="D24" s="105"/>
      <c r="E24" s="102"/>
      <c r="F24" s="102"/>
      <c r="G24" s="102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25" t="str">
        <f t="shared" si="1"/>
        <v/>
      </c>
      <c r="S24" s="126" t="str">
        <f t="shared" si="2"/>
        <v>-</v>
      </c>
      <c r="T24" s="69"/>
      <c r="U24" s="126"/>
      <c r="V24" s="126"/>
      <c r="W24" s="126"/>
      <c r="X24" s="126"/>
      <c r="Y24" s="126"/>
      <c r="Z24" s="127"/>
    </row>
    <row r="25" spans="1:29" ht="27" customHeight="1">
      <c r="A25" s="103"/>
      <c r="B25" s="104"/>
      <c r="C25" s="104"/>
      <c r="D25" s="105"/>
      <c r="E25" s="102"/>
      <c r="F25" s="102"/>
      <c r="G25" s="102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25" t="str">
        <f t="shared" si="1"/>
        <v/>
      </c>
      <c r="S25" s="126" t="str">
        <f t="shared" si="2"/>
        <v>-</v>
      </c>
      <c r="T25" s="69"/>
      <c r="U25" s="126"/>
      <c r="V25" s="126"/>
      <c r="W25" s="126"/>
      <c r="X25" s="126"/>
      <c r="Y25" s="126"/>
      <c r="Z25" s="141"/>
      <c r="AA25" s="126"/>
      <c r="AB25" s="126"/>
      <c r="AC25" s="126"/>
    </row>
    <row r="26" spans="1:29" ht="27" customHeight="1">
      <c r="A26" s="103"/>
      <c r="B26" s="104"/>
      <c r="C26" s="104"/>
      <c r="D26" s="105"/>
      <c r="E26" s="102"/>
      <c r="F26" s="102"/>
      <c r="G26" s="102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25" t="str">
        <f t="shared" si="1"/>
        <v/>
      </c>
      <c r="S26" s="126"/>
      <c r="T26" s="69"/>
      <c r="U26" s="126"/>
      <c r="V26" s="126"/>
      <c r="W26" s="126"/>
      <c r="X26" s="126"/>
      <c r="Y26" s="126"/>
      <c r="Z26" s="141"/>
      <c r="AA26" s="126"/>
      <c r="AB26" s="126"/>
      <c r="AC26" s="126"/>
    </row>
    <row r="27" spans="1:29" ht="27" customHeight="1">
      <c r="A27" s="103"/>
      <c r="B27" s="104"/>
      <c r="C27" s="104"/>
      <c r="D27" s="105"/>
      <c r="E27" s="102"/>
      <c r="F27" s="102"/>
      <c r="G27" s="10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25" t="str">
        <f t="shared" si="1"/>
        <v/>
      </c>
      <c r="S27" s="126" t="str">
        <f>IF(E27&gt;=F27,"-","ERR")</f>
        <v>-</v>
      </c>
      <c r="T27" s="69"/>
      <c r="U27" s="126"/>
      <c r="V27" s="126"/>
      <c r="W27" s="126"/>
      <c r="X27" s="126"/>
      <c r="Y27" s="126"/>
      <c r="Z27" s="126"/>
    </row>
    <row r="28" spans="1:29" ht="27" customHeight="1">
      <c r="A28" s="103"/>
      <c r="B28" s="104" t="s">
        <v>1087</v>
      </c>
      <c r="C28" s="104"/>
      <c r="D28" s="105"/>
      <c r="E28" s="102">
        <f>SUM(E6:E27)</f>
        <v>4701</v>
      </c>
      <c r="F28" s="102">
        <f>SUM(F6:F27)</f>
        <v>0</v>
      </c>
      <c r="G28" s="102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25" t="str">
        <f t="shared" si="1"/>
        <v/>
      </c>
      <c r="S28" s="126" t="str">
        <f t="shared" ref="S28:S46" si="3">IF(E28&gt;=F28,"-","ERR")</f>
        <v>-</v>
      </c>
      <c r="T28" s="69"/>
      <c r="U28" s="126"/>
      <c r="V28" s="126"/>
      <c r="W28" s="126"/>
      <c r="X28" s="126"/>
      <c r="Y28" s="126"/>
      <c r="Z28" s="126"/>
    </row>
    <row r="29" spans="1:29" ht="27" customHeight="1">
      <c r="A29" s="103"/>
      <c r="B29" s="104"/>
      <c r="C29" s="104"/>
      <c r="D29" s="105"/>
      <c r="E29" s="102"/>
      <c r="F29" s="102"/>
      <c r="G29" s="102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25" t="str">
        <f t="shared" si="1"/>
        <v/>
      </c>
      <c r="S29" s="126" t="str">
        <f t="shared" si="3"/>
        <v>-</v>
      </c>
      <c r="T29" s="69"/>
      <c r="U29" s="126"/>
      <c r="V29" s="126"/>
      <c r="W29" s="126"/>
      <c r="X29" s="126"/>
      <c r="Y29" s="126"/>
      <c r="Z29" s="126"/>
    </row>
    <row r="30" spans="1:29" ht="27" customHeight="1">
      <c r="A30" s="103"/>
      <c r="B30" s="104"/>
      <c r="C30" s="104"/>
      <c r="D30" s="105"/>
      <c r="E30" s="102"/>
      <c r="F30" s="102"/>
      <c r="G30" s="102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25" t="str">
        <f t="shared" si="1"/>
        <v/>
      </c>
      <c r="S30" s="126" t="str">
        <f t="shared" si="3"/>
        <v>-</v>
      </c>
      <c r="T30" s="69"/>
      <c r="U30" s="126"/>
      <c r="V30" s="126"/>
      <c r="W30" s="126"/>
      <c r="X30" s="126"/>
      <c r="Y30" s="126"/>
      <c r="Z30" s="126"/>
    </row>
    <row r="31" spans="1:29" ht="27" customHeight="1">
      <c r="A31" s="103"/>
      <c r="B31" s="104"/>
      <c r="C31" s="104"/>
      <c r="D31" s="105"/>
      <c r="E31" s="102"/>
      <c r="F31" s="102"/>
      <c r="G31" s="102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25" t="str">
        <f t="shared" si="1"/>
        <v/>
      </c>
      <c r="S31" s="126" t="str">
        <f t="shared" si="3"/>
        <v>-</v>
      </c>
      <c r="T31" s="69"/>
      <c r="U31" s="126"/>
      <c r="V31" s="126"/>
      <c r="W31" s="126"/>
      <c r="X31" s="126"/>
      <c r="Y31" s="126"/>
      <c r="Z31" s="126"/>
    </row>
    <row r="32" spans="1:29" ht="27" customHeight="1">
      <c r="A32" s="103"/>
      <c r="B32" s="104"/>
      <c r="C32" s="104"/>
      <c r="D32" s="105"/>
      <c r="E32" s="102"/>
      <c r="F32" s="102"/>
      <c r="G32" s="102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25" t="str">
        <f t="shared" si="1"/>
        <v/>
      </c>
      <c r="S32" s="126" t="str">
        <f t="shared" si="3"/>
        <v>-</v>
      </c>
      <c r="T32" s="69"/>
      <c r="U32" s="126"/>
      <c r="V32" s="126"/>
      <c r="W32" s="126"/>
      <c r="X32" s="126"/>
      <c r="Y32" s="126"/>
      <c r="Z32" s="126"/>
    </row>
    <row r="33" spans="1:29" ht="27" customHeight="1">
      <c r="A33" s="103"/>
      <c r="B33" s="104"/>
      <c r="C33" s="104"/>
      <c r="D33" s="105"/>
      <c r="E33" s="102"/>
      <c r="F33" s="102"/>
      <c r="G33" s="102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25" t="str">
        <f t="shared" si="1"/>
        <v/>
      </c>
      <c r="S33" s="126" t="str">
        <f t="shared" si="3"/>
        <v>-</v>
      </c>
      <c r="T33" s="69"/>
      <c r="U33" s="126"/>
      <c r="V33" s="126"/>
      <c r="W33" s="126"/>
      <c r="X33" s="126"/>
      <c r="Y33" s="126"/>
      <c r="Z33" s="126"/>
    </row>
    <row r="34" spans="1:29" ht="27" customHeight="1">
      <c r="A34" s="103"/>
      <c r="B34" s="104"/>
      <c r="C34" s="104"/>
      <c r="D34" s="105"/>
      <c r="E34" s="102"/>
      <c r="F34" s="102"/>
      <c r="G34" s="102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25" t="str">
        <f t="shared" si="1"/>
        <v/>
      </c>
      <c r="S34" s="126" t="str">
        <f t="shared" si="3"/>
        <v>-</v>
      </c>
      <c r="T34" s="69"/>
      <c r="U34" s="126"/>
      <c r="V34" s="126"/>
      <c r="W34" s="126"/>
      <c r="X34" s="126"/>
      <c r="Y34" s="126"/>
      <c r="Z34" s="126"/>
    </row>
    <row r="35" spans="1:29" ht="27" customHeight="1">
      <c r="A35" s="103"/>
      <c r="B35" s="104"/>
      <c r="C35" s="104"/>
      <c r="D35" s="105"/>
      <c r="E35" s="102"/>
      <c r="F35" s="102"/>
      <c r="G35" s="102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25" t="str">
        <f t="shared" si="1"/>
        <v/>
      </c>
      <c r="S35" s="126" t="str">
        <f t="shared" si="3"/>
        <v>-</v>
      </c>
      <c r="T35" s="69"/>
      <c r="U35" s="126"/>
      <c r="V35" s="126"/>
      <c r="W35" s="126"/>
      <c r="X35" s="126"/>
      <c r="Y35" s="126"/>
      <c r="Z35" s="126"/>
    </row>
    <row r="36" spans="1:29" ht="27" customHeight="1">
      <c r="A36" s="103"/>
      <c r="B36" s="104"/>
      <c r="C36" s="104"/>
      <c r="D36" s="105"/>
      <c r="E36" s="102"/>
      <c r="F36" s="102"/>
      <c r="G36" s="102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25" t="str">
        <f t="shared" si="1"/>
        <v/>
      </c>
      <c r="S36" s="126" t="str">
        <f t="shared" si="3"/>
        <v>-</v>
      </c>
      <c r="T36" s="69"/>
      <c r="U36" s="126"/>
      <c r="V36" s="126"/>
      <c r="W36" s="126"/>
      <c r="X36" s="126"/>
      <c r="Y36" s="126"/>
      <c r="Z36" s="126"/>
    </row>
    <row r="37" spans="1:29" ht="27" customHeight="1">
      <c r="A37" s="103"/>
      <c r="B37" s="104"/>
      <c r="C37" s="104"/>
      <c r="D37" s="105"/>
      <c r="E37" s="102"/>
      <c r="F37" s="102"/>
      <c r="G37" s="102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25" t="str">
        <f t="shared" si="1"/>
        <v/>
      </c>
      <c r="S37" s="126" t="str">
        <f t="shared" si="3"/>
        <v>-</v>
      </c>
      <c r="T37" s="69"/>
      <c r="U37" s="126"/>
      <c r="V37" s="126"/>
      <c r="W37" s="126"/>
      <c r="X37" s="126"/>
      <c r="Y37" s="126"/>
      <c r="Z37" s="126"/>
    </row>
    <row r="38" spans="1:29" ht="27" customHeight="1">
      <c r="A38" s="103"/>
      <c r="B38" s="104"/>
      <c r="C38" s="104"/>
      <c r="D38" s="105"/>
      <c r="E38" s="102"/>
      <c r="F38" s="102"/>
      <c r="G38" s="102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25" t="str">
        <f t="shared" si="1"/>
        <v/>
      </c>
      <c r="S38" s="126" t="str">
        <f t="shared" si="3"/>
        <v>-</v>
      </c>
      <c r="T38" s="69"/>
      <c r="U38" s="126"/>
      <c r="V38" s="126"/>
      <c r="W38" s="126"/>
      <c r="X38" s="126"/>
      <c r="Y38" s="126"/>
      <c r="Z38" s="126"/>
    </row>
    <row r="39" spans="1:29" ht="27" customHeight="1">
      <c r="A39" s="103"/>
      <c r="B39" s="104"/>
      <c r="C39" s="104"/>
      <c r="D39" s="105"/>
      <c r="E39" s="102"/>
      <c r="F39" s="102"/>
      <c r="G39" s="10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25" t="str">
        <f t="shared" si="1"/>
        <v/>
      </c>
      <c r="S39" s="126" t="str">
        <f t="shared" si="3"/>
        <v>-</v>
      </c>
      <c r="T39" s="69"/>
      <c r="U39" s="126"/>
      <c r="V39" s="126"/>
      <c r="W39" s="126"/>
      <c r="X39" s="126"/>
      <c r="Y39" s="126"/>
      <c r="Z39" s="126"/>
    </row>
    <row r="40" spans="1:29" ht="27" customHeight="1">
      <c r="A40" s="103"/>
      <c r="B40" s="104"/>
      <c r="C40" s="104"/>
      <c r="D40" s="105"/>
      <c r="E40" s="102"/>
      <c r="F40" s="102"/>
      <c r="G40" s="102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25" t="str">
        <f t="shared" si="1"/>
        <v/>
      </c>
      <c r="S40" s="126" t="str">
        <f t="shared" si="3"/>
        <v>-</v>
      </c>
      <c r="T40" s="69"/>
      <c r="U40" s="126"/>
      <c r="V40" s="126"/>
      <c r="W40" s="126"/>
      <c r="X40" s="126"/>
      <c r="Y40" s="126"/>
      <c r="Z40" s="126"/>
    </row>
    <row r="41" spans="1:29" ht="27" customHeight="1">
      <c r="A41" s="103"/>
      <c r="B41" s="104"/>
      <c r="C41" s="104"/>
      <c r="D41" s="105"/>
      <c r="E41" s="102"/>
      <c r="F41" s="102"/>
      <c r="G41" s="102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25" t="str">
        <f t="shared" si="1"/>
        <v/>
      </c>
      <c r="S41" s="126" t="str">
        <f t="shared" si="3"/>
        <v>-</v>
      </c>
      <c r="T41" s="69"/>
      <c r="U41" s="126"/>
      <c r="V41" s="126"/>
      <c r="W41" s="126"/>
      <c r="X41" s="126"/>
      <c r="Y41" s="126"/>
      <c r="Z41" s="126"/>
    </row>
    <row r="42" spans="1:29" ht="27" customHeight="1">
      <c r="A42" s="103"/>
      <c r="B42" s="104"/>
      <c r="C42" s="104"/>
      <c r="D42" s="105"/>
      <c r="E42" s="102"/>
      <c r="F42" s="102"/>
      <c r="G42" s="102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25" t="str">
        <f t="shared" si="1"/>
        <v/>
      </c>
      <c r="S42" s="126" t="str">
        <f t="shared" si="3"/>
        <v>-</v>
      </c>
      <c r="T42" s="69"/>
      <c r="U42" s="126"/>
      <c r="V42" s="126"/>
      <c r="W42" s="126"/>
      <c r="X42" s="126"/>
      <c r="Y42" s="126"/>
      <c r="Z42" s="127"/>
    </row>
    <row r="43" spans="1:29" ht="27" customHeight="1">
      <c r="A43" s="103"/>
      <c r="B43" s="104"/>
      <c r="C43" s="104"/>
      <c r="D43" s="105"/>
      <c r="E43" s="102"/>
      <c r="F43" s="102"/>
      <c r="G43" s="102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25" t="str">
        <f t="shared" si="1"/>
        <v/>
      </c>
      <c r="S43" s="126" t="str">
        <f t="shared" si="3"/>
        <v>-</v>
      </c>
      <c r="T43" s="69"/>
      <c r="U43" s="126"/>
      <c r="V43" s="126"/>
      <c r="W43" s="126"/>
      <c r="X43" s="126"/>
      <c r="Y43" s="126"/>
      <c r="Z43" s="127"/>
    </row>
    <row r="44" spans="1:29" ht="27" customHeight="1">
      <c r="A44" s="103"/>
      <c r="B44" s="104"/>
      <c r="C44" s="104"/>
      <c r="D44" s="105"/>
      <c r="E44" s="102"/>
      <c r="F44" s="102"/>
      <c r="G44" s="102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25" t="str">
        <f t="shared" si="1"/>
        <v/>
      </c>
      <c r="S44" s="126" t="str">
        <f t="shared" si="3"/>
        <v>-</v>
      </c>
      <c r="T44" s="69"/>
      <c r="U44" s="126"/>
      <c r="V44" s="126"/>
      <c r="W44" s="126"/>
      <c r="X44" s="126"/>
      <c r="Y44" s="126"/>
      <c r="Z44" s="127"/>
    </row>
    <row r="45" spans="1:29" ht="27" customHeight="1">
      <c r="A45" s="103"/>
      <c r="B45" s="104"/>
      <c r="C45" s="104"/>
      <c r="D45" s="105"/>
      <c r="E45" s="102"/>
      <c r="F45" s="102"/>
      <c r="G45" s="102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25" t="str">
        <f t="shared" si="1"/>
        <v/>
      </c>
      <c r="S45" s="126" t="str">
        <f t="shared" si="3"/>
        <v>-</v>
      </c>
      <c r="T45" s="69"/>
      <c r="U45" s="126"/>
      <c r="V45" s="126"/>
      <c r="W45" s="126"/>
      <c r="X45" s="126"/>
      <c r="Y45" s="126"/>
      <c r="Z45" s="127"/>
    </row>
    <row r="46" spans="1:29" ht="27" customHeight="1">
      <c r="A46" s="103"/>
      <c r="B46" s="104"/>
      <c r="C46" s="104"/>
      <c r="D46" s="105"/>
      <c r="E46" s="102"/>
      <c r="F46" s="102"/>
      <c r="G46" s="102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25" t="str">
        <f t="shared" si="1"/>
        <v/>
      </c>
      <c r="S46" s="126" t="str">
        <f t="shared" si="3"/>
        <v>-</v>
      </c>
      <c r="T46" s="69"/>
      <c r="U46" s="126"/>
      <c r="V46" s="126"/>
      <c r="W46" s="126"/>
      <c r="X46" s="126"/>
      <c r="Y46" s="126"/>
      <c r="Z46" s="141"/>
      <c r="AA46" s="126"/>
      <c r="AB46" s="126"/>
      <c r="AC46" s="126"/>
    </row>
    <row r="47" spans="1:29" ht="27" customHeight="1">
      <c r="A47" s="103"/>
      <c r="B47" s="104"/>
      <c r="C47" s="104"/>
      <c r="D47" s="105"/>
      <c r="E47" s="102"/>
      <c r="F47" s="102"/>
      <c r="G47" s="102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25" t="str">
        <f t="shared" si="1"/>
        <v/>
      </c>
      <c r="S47" s="126"/>
      <c r="T47" s="69"/>
      <c r="U47" s="126"/>
      <c r="V47" s="126"/>
      <c r="W47" s="126"/>
      <c r="X47" s="126"/>
      <c r="Y47" s="126"/>
      <c r="Z47" s="141"/>
      <c r="AA47" s="126"/>
      <c r="AB47" s="126"/>
      <c r="AC47" s="126"/>
    </row>
    <row r="48" spans="1:29" ht="27" customHeight="1">
      <c r="A48" s="103"/>
      <c r="B48" s="104"/>
      <c r="C48" s="104"/>
      <c r="D48" s="105"/>
      <c r="E48" s="102"/>
      <c r="F48" s="102"/>
      <c r="G48" s="102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25" t="str">
        <f t="shared" si="1"/>
        <v/>
      </c>
      <c r="S48" s="126" t="str">
        <f>IF(E48&gt;=F48,"-","ERR")</f>
        <v>-</v>
      </c>
      <c r="T48" s="69"/>
      <c r="U48" s="126"/>
      <c r="V48" s="126"/>
      <c r="W48" s="126"/>
      <c r="X48" s="126"/>
      <c r="Y48" s="126"/>
      <c r="Z48" s="126"/>
    </row>
    <row r="49" spans="1:26" ht="27" customHeight="1">
      <c r="A49" s="103"/>
      <c r="B49" s="104"/>
      <c r="C49" s="104"/>
      <c r="D49" s="105"/>
      <c r="E49" s="102"/>
      <c r="F49" s="102"/>
      <c r="G49" s="102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25" t="str">
        <f t="shared" si="1"/>
        <v/>
      </c>
      <c r="S49" s="126" t="str">
        <f t="shared" ref="S49:S67" si="4">IF(E49&gt;=F49,"-","ERR")</f>
        <v>-</v>
      </c>
      <c r="T49" s="69"/>
      <c r="U49" s="126"/>
      <c r="V49" s="126"/>
      <c r="W49" s="126"/>
      <c r="X49" s="126"/>
      <c r="Y49" s="126"/>
      <c r="Z49" s="126"/>
    </row>
    <row r="50" spans="1:26" ht="27" customHeight="1">
      <c r="A50" s="103"/>
      <c r="B50" s="104"/>
      <c r="C50" s="104"/>
      <c r="D50" s="105"/>
      <c r="E50" s="102"/>
      <c r="F50" s="102"/>
      <c r="G50" s="102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25" t="str">
        <f t="shared" si="1"/>
        <v/>
      </c>
      <c r="S50" s="126" t="str">
        <f t="shared" si="4"/>
        <v>-</v>
      </c>
      <c r="T50" s="69"/>
      <c r="U50" s="126"/>
      <c r="V50" s="126"/>
      <c r="W50" s="126"/>
      <c r="X50" s="126"/>
      <c r="Y50" s="126"/>
      <c r="Z50" s="126"/>
    </row>
    <row r="51" spans="1:26" ht="27" customHeight="1">
      <c r="A51" s="103"/>
      <c r="B51" s="104"/>
      <c r="C51" s="104"/>
      <c r="D51" s="105"/>
      <c r="E51" s="102"/>
      <c r="F51" s="102"/>
      <c r="G51" s="102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25" t="str">
        <f t="shared" si="1"/>
        <v/>
      </c>
      <c r="S51" s="126" t="str">
        <f t="shared" si="4"/>
        <v>-</v>
      </c>
      <c r="T51" s="69"/>
      <c r="U51" s="126"/>
      <c r="V51" s="126"/>
      <c r="W51" s="126"/>
      <c r="X51" s="126"/>
      <c r="Y51" s="126"/>
      <c r="Z51" s="126"/>
    </row>
    <row r="52" spans="1:26" ht="27" customHeight="1">
      <c r="A52" s="103"/>
      <c r="B52" s="104"/>
      <c r="C52" s="104"/>
      <c r="D52" s="105"/>
      <c r="E52" s="102"/>
      <c r="F52" s="102"/>
      <c r="G52" s="102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25" t="str">
        <f t="shared" si="1"/>
        <v/>
      </c>
      <c r="S52" s="126" t="str">
        <f t="shared" si="4"/>
        <v>-</v>
      </c>
      <c r="T52" s="69"/>
      <c r="U52" s="126"/>
      <c r="V52" s="126"/>
      <c r="W52" s="126"/>
      <c r="X52" s="126"/>
      <c r="Y52" s="126"/>
      <c r="Z52" s="126"/>
    </row>
    <row r="53" spans="1:26" ht="27" customHeight="1">
      <c r="A53" s="103"/>
      <c r="B53" s="104"/>
      <c r="C53" s="104"/>
      <c r="D53" s="105"/>
      <c r="E53" s="102"/>
      <c r="F53" s="102"/>
      <c r="G53" s="102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25" t="str">
        <f t="shared" ref="R53:R58" si="5">CONCATENATE(D52,J52)</f>
        <v/>
      </c>
      <c r="S53" s="126" t="str">
        <f t="shared" si="4"/>
        <v>-</v>
      </c>
      <c r="T53" s="69"/>
      <c r="U53" s="126"/>
      <c r="V53" s="126"/>
      <c r="W53" s="126"/>
      <c r="X53" s="126"/>
      <c r="Y53" s="126"/>
      <c r="Z53" s="126"/>
    </row>
    <row r="54" spans="1:26" ht="27" customHeight="1">
      <c r="A54" s="103"/>
      <c r="B54" s="104"/>
      <c r="C54" s="104"/>
      <c r="D54" s="105"/>
      <c r="E54" s="102"/>
      <c r="F54" s="102"/>
      <c r="G54" s="102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25" t="str">
        <f t="shared" si="5"/>
        <v/>
      </c>
      <c r="S54" s="126" t="str">
        <f t="shared" si="4"/>
        <v>-</v>
      </c>
      <c r="T54" s="69"/>
      <c r="U54" s="126"/>
      <c r="V54" s="126"/>
      <c r="W54" s="126"/>
      <c r="X54" s="126"/>
      <c r="Y54" s="126"/>
      <c r="Z54" s="126"/>
    </row>
    <row r="55" spans="1:26" ht="27" customHeight="1">
      <c r="A55" s="103"/>
      <c r="B55" s="104"/>
      <c r="C55" s="104"/>
      <c r="D55" s="105"/>
      <c r="E55" s="102"/>
      <c r="F55" s="102"/>
      <c r="G55" s="102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25" t="str">
        <f t="shared" si="5"/>
        <v/>
      </c>
      <c r="S55" s="126" t="str">
        <f t="shared" si="4"/>
        <v>-</v>
      </c>
      <c r="T55" s="69"/>
      <c r="U55" s="126"/>
      <c r="V55" s="126"/>
      <c r="W55" s="126"/>
      <c r="X55" s="126"/>
      <c r="Y55" s="126"/>
      <c r="Z55" s="126"/>
    </row>
    <row r="56" spans="1:26" ht="27" customHeight="1">
      <c r="A56" s="103"/>
      <c r="B56" s="104"/>
      <c r="C56" s="104"/>
      <c r="D56" s="105"/>
      <c r="E56" s="102"/>
      <c r="F56" s="102"/>
      <c r="G56" s="102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25" t="str">
        <f t="shared" si="5"/>
        <v/>
      </c>
      <c r="S56" s="126" t="str">
        <f t="shared" si="4"/>
        <v>-</v>
      </c>
      <c r="T56" s="69"/>
      <c r="U56" s="126"/>
      <c r="V56" s="126"/>
      <c r="W56" s="126"/>
      <c r="X56" s="126"/>
      <c r="Y56" s="126"/>
      <c r="Z56" s="126"/>
    </row>
    <row r="57" spans="1:26" ht="27" customHeight="1">
      <c r="A57" s="103"/>
      <c r="B57" s="104"/>
      <c r="C57" s="104"/>
      <c r="D57" s="105"/>
      <c r="E57" s="102"/>
      <c r="F57" s="102"/>
      <c r="G57" s="102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25" t="str">
        <f t="shared" si="5"/>
        <v/>
      </c>
      <c r="S57" s="126" t="str">
        <f t="shared" si="4"/>
        <v>-</v>
      </c>
      <c r="T57" s="69"/>
      <c r="U57" s="126"/>
      <c r="V57" s="126"/>
      <c r="W57" s="126"/>
      <c r="X57" s="126"/>
      <c r="Y57" s="126"/>
      <c r="Z57" s="126"/>
    </row>
    <row r="58" spans="1:26" ht="27" customHeight="1">
      <c r="A58" s="103"/>
      <c r="B58" s="104"/>
      <c r="C58" s="104"/>
      <c r="D58" s="105"/>
      <c r="E58" s="102"/>
      <c r="F58" s="102"/>
      <c r="G58" s="102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25" t="str">
        <f t="shared" si="5"/>
        <v/>
      </c>
      <c r="S58" s="126" t="str">
        <f t="shared" si="4"/>
        <v>-</v>
      </c>
      <c r="T58" s="69"/>
      <c r="U58" s="126"/>
      <c r="V58" s="126"/>
      <c r="W58" s="126"/>
      <c r="X58" s="126"/>
      <c r="Y58" s="126"/>
      <c r="Z58" s="126"/>
    </row>
    <row r="59" spans="1:26" ht="27" customHeight="1">
      <c r="A59" s="103"/>
      <c r="B59" s="104"/>
      <c r="C59" s="104"/>
      <c r="D59" s="105"/>
      <c r="E59" s="102"/>
      <c r="F59" s="102"/>
      <c r="G59" s="102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25" t="str">
        <f t="shared" ref="R59:R122" si="6">CONCATENATE(D59,J59)</f>
        <v/>
      </c>
      <c r="S59" s="126" t="str">
        <f t="shared" si="4"/>
        <v>-</v>
      </c>
      <c r="T59" s="69"/>
      <c r="U59" s="126"/>
      <c r="V59" s="126"/>
      <c r="W59" s="126"/>
      <c r="X59" s="126"/>
      <c r="Y59" s="126"/>
      <c r="Z59" s="126"/>
    </row>
    <row r="60" spans="1:26" ht="27" customHeight="1">
      <c r="A60" s="103"/>
      <c r="B60" s="104"/>
      <c r="C60" s="104"/>
      <c r="D60" s="105"/>
      <c r="E60" s="102"/>
      <c r="F60" s="102"/>
      <c r="G60" s="102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25" t="str">
        <f t="shared" si="6"/>
        <v/>
      </c>
      <c r="S60" s="126" t="str">
        <f t="shared" si="4"/>
        <v>-</v>
      </c>
      <c r="T60" s="69"/>
      <c r="U60" s="126"/>
      <c r="V60" s="126"/>
      <c r="W60" s="126"/>
      <c r="X60" s="126"/>
      <c r="Y60" s="126"/>
      <c r="Z60" s="126"/>
    </row>
    <row r="61" spans="1:26" ht="27" customHeight="1">
      <c r="A61" s="103"/>
      <c r="B61" s="104"/>
      <c r="C61" s="104"/>
      <c r="D61" s="105"/>
      <c r="E61" s="102"/>
      <c r="F61" s="102"/>
      <c r="G61" s="102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25" t="str">
        <f t="shared" si="6"/>
        <v/>
      </c>
      <c r="S61" s="126" t="str">
        <f t="shared" si="4"/>
        <v>-</v>
      </c>
      <c r="T61" s="69"/>
      <c r="U61" s="126"/>
      <c r="V61" s="126"/>
      <c r="W61" s="126"/>
      <c r="X61" s="126"/>
      <c r="Y61" s="126"/>
      <c r="Z61" s="126"/>
    </row>
    <row r="62" spans="1:26" ht="27" customHeight="1">
      <c r="A62" s="103"/>
      <c r="B62" s="104"/>
      <c r="C62" s="104"/>
      <c r="D62" s="105"/>
      <c r="E62" s="102"/>
      <c r="F62" s="102"/>
      <c r="G62" s="102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25" t="str">
        <f t="shared" si="6"/>
        <v/>
      </c>
      <c r="S62" s="126" t="str">
        <f t="shared" si="4"/>
        <v>-</v>
      </c>
      <c r="T62" s="69"/>
      <c r="U62" s="126"/>
      <c r="V62" s="126"/>
      <c r="W62" s="126"/>
      <c r="X62" s="126"/>
      <c r="Y62" s="126"/>
      <c r="Z62" s="126"/>
    </row>
    <row r="63" spans="1:26" ht="27" customHeight="1">
      <c r="A63" s="103"/>
      <c r="B63" s="104"/>
      <c r="C63" s="104"/>
      <c r="D63" s="105"/>
      <c r="E63" s="102"/>
      <c r="F63" s="102"/>
      <c r="G63" s="102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25" t="str">
        <f t="shared" si="6"/>
        <v/>
      </c>
      <c r="S63" s="126" t="str">
        <f t="shared" si="4"/>
        <v>-</v>
      </c>
      <c r="T63" s="69"/>
      <c r="U63" s="126"/>
      <c r="V63" s="126"/>
      <c r="W63" s="126"/>
      <c r="X63" s="126"/>
      <c r="Y63" s="126"/>
      <c r="Z63" s="127"/>
    </row>
    <row r="64" spans="1:26" ht="27" customHeight="1">
      <c r="A64" s="103"/>
      <c r="B64" s="104"/>
      <c r="C64" s="104"/>
      <c r="D64" s="105"/>
      <c r="E64" s="102"/>
      <c r="F64" s="102"/>
      <c r="G64" s="102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25" t="str">
        <f t="shared" si="6"/>
        <v/>
      </c>
      <c r="S64" s="126" t="str">
        <f t="shared" si="4"/>
        <v>-</v>
      </c>
      <c r="T64" s="69"/>
      <c r="U64" s="126"/>
      <c r="V64" s="126"/>
      <c r="W64" s="126"/>
      <c r="X64" s="126"/>
      <c r="Y64" s="126"/>
      <c r="Z64" s="127"/>
    </row>
    <row r="65" spans="1:29" ht="27" customHeight="1">
      <c r="A65" s="103"/>
      <c r="B65" s="104"/>
      <c r="C65" s="104"/>
      <c r="D65" s="105"/>
      <c r="E65" s="102"/>
      <c r="F65" s="102"/>
      <c r="G65" s="102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25" t="str">
        <f t="shared" si="6"/>
        <v/>
      </c>
      <c r="S65" s="126" t="str">
        <f t="shared" si="4"/>
        <v>-</v>
      </c>
      <c r="T65" s="69"/>
      <c r="U65" s="126"/>
      <c r="V65" s="126"/>
      <c r="W65" s="126"/>
      <c r="X65" s="126"/>
      <c r="Y65" s="126"/>
      <c r="Z65" s="127"/>
    </row>
    <row r="66" spans="1:29" ht="27" customHeight="1">
      <c r="A66" s="103"/>
      <c r="B66" s="104"/>
      <c r="C66" s="104"/>
      <c r="D66" s="105"/>
      <c r="E66" s="102"/>
      <c r="F66" s="102"/>
      <c r="G66" s="102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25" t="str">
        <f t="shared" si="6"/>
        <v/>
      </c>
      <c r="S66" s="126" t="str">
        <f t="shared" si="4"/>
        <v>-</v>
      </c>
      <c r="T66" s="69"/>
      <c r="U66" s="126"/>
      <c r="V66" s="126"/>
      <c r="W66" s="126"/>
      <c r="X66" s="126"/>
      <c r="Y66" s="126"/>
      <c r="Z66" s="127"/>
    </row>
    <row r="67" spans="1:29" ht="27" customHeight="1">
      <c r="A67" s="103"/>
      <c r="B67" s="104"/>
      <c r="C67" s="104"/>
      <c r="D67" s="105"/>
      <c r="E67" s="102"/>
      <c r="F67" s="102"/>
      <c r="G67" s="102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25" t="str">
        <f t="shared" si="6"/>
        <v/>
      </c>
      <c r="S67" s="126" t="str">
        <f t="shared" si="4"/>
        <v>-</v>
      </c>
      <c r="T67" s="126"/>
      <c r="U67" s="126"/>
      <c r="V67" s="126"/>
      <c r="W67" s="126"/>
      <c r="X67" s="126"/>
      <c r="Y67" s="126"/>
      <c r="Z67" s="141"/>
      <c r="AA67" s="126"/>
      <c r="AB67" s="126"/>
      <c r="AC67" s="126"/>
    </row>
    <row r="68" spans="1:29" ht="27" customHeight="1">
      <c r="A68" s="103"/>
      <c r="B68" s="104"/>
      <c r="C68" s="104"/>
      <c r="D68" s="105"/>
      <c r="E68" s="102"/>
      <c r="F68" s="102"/>
      <c r="G68" s="102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25" t="str">
        <f t="shared" si="6"/>
        <v/>
      </c>
      <c r="S68" s="126"/>
      <c r="T68" s="126"/>
      <c r="U68" s="126"/>
      <c r="V68" s="126"/>
      <c r="W68" s="126"/>
      <c r="X68" s="126"/>
      <c r="Y68" s="126"/>
      <c r="Z68" s="141"/>
      <c r="AA68" s="126"/>
      <c r="AB68" s="126"/>
      <c r="AC68" s="126"/>
    </row>
    <row r="69" spans="1:29" ht="27" customHeight="1">
      <c r="A69" s="103"/>
      <c r="B69" s="104"/>
      <c r="C69" s="104"/>
      <c r="D69" s="105"/>
      <c r="E69" s="102"/>
      <c r="F69" s="102"/>
      <c r="G69" s="102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25" t="str">
        <f t="shared" si="6"/>
        <v/>
      </c>
      <c r="S69" s="126" t="str">
        <f>IF(E69&gt;=F69,"-","ERR")</f>
        <v>-</v>
      </c>
      <c r="T69" s="126"/>
      <c r="U69" s="126"/>
      <c r="V69" s="126"/>
      <c r="W69" s="126"/>
      <c r="X69" s="126"/>
      <c r="Y69" s="126"/>
      <c r="Z69" s="126"/>
    </row>
    <row r="70" spans="1:29" ht="27" customHeight="1">
      <c r="A70" s="103"/>
      <c r="B70" s="104"/>
      <c r="C70" s="104"/>
      <c r="D70" s="105"/>
      <c r="E70" s="102"/>
      <c r="F70" s="102"/>
      <c r="G70" s="102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25" t="str">
        <f t="shared" si="6"/>
        <v/>
      </c>
      <c r="S70" s="126" t="str">
        <f t="shared" ref="S70:S88" si="7">IF(E70&gt;=F70,"-","ERR")</f>
        <v>-</v>
      </c>
      <c r="T70" s="126"/>
      <c r="U70" s="126"/>
      <c r="V70" s="126"/>
      <c r="W70" s="126"/>
      <c r="X70" s="126"/>
      <c r="Y70" s="126"/>
      <c r="Z70" s="126"/>
    </row>
    <row r="71" spans="1:29" ht="27" customHeight="1">
      <c r="A71" s="103"/>
      <c r="B71" s="104"/>
      <c r="C71" s="104"/>
      <c r="D71" s="105"/>
      <c r="E71" s="102"/>
      <c r="F71" s="102"/>
      <c r="G71" s="102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25" t="str">
        <f t="shared" si="6"/>
        <v/>
      </c>
      <c r="S71" s="126" t="str">
        <f t="shared" si="7"/>
        <v>-</v>
      </c>
      <c r="T71" s="126"/>
      <c r="U71" s="126"/>
      <c r="V71" s="126"/>
      <c r="W71" s="126"/>
      <c r="X71" s="126"/>
      <c r="Y71" s="126"/>
      <c r="Z71" s="126"/>
    </row>
    <row r="72" spans="1:29" ht="27" customHeight="1">
      <c r="A72" s="103"/>
      <c r="B72" s="104"/>
      <c r="C72" s="104"/>
      <c r="D72" s="105"/>
      <c r="E72" s="102"/>
      <c r="F72" s="102"/>
      <c r="G72" s="102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25" t="str">
        <f t="shared" si="6"/>
        <v/>
      </c>
      <c r="S72" s="126" t="str">
        <f t="shared" si="7"/>
        <v>-</v>
      </c>
      <c r="T72" s="126"/>
      <c r="U72" s="126"/>
      <c r="V72" s="126"/>
      <c r="W72" s="126"/>
      <c r="X72" s="126"/>
      <c r="Y72" s="126"/>
      <c r="Z72" s="126"/>
    </row>
    <row r="73" spans="1:29" ht="27" customHeight="1">
      <c r="A73" s="103"/>
      <c r="B73" s="104"/>
      <c r="C73" s="104"/>
      <c r="D73" s="105"/>
      <c r="E73" s="102"/>
      <c r="F73" s="102"/>
      <c r="G73" s="102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25" t="str">
        <f t="shared" si="6"/>
        <v/>
      </c>
      <c r="S73" s="126" t="str">
        <f t="shared" si="7"/>
        <v>-</v>
      </c>
      <c r="T73" s="126"/>
      <c r="U73" s="126"/>
      <c r="V73" s="126"/>
      <c r="W73" s="126"/>
      <c r="X73" s="126"/>
      <c r="Y73" s="126"/>
      <c r="Z73" s="126"/>
    </row>
    <row r="74" spans="1:29" ht="27" customHeight="1">
      <c r="A74" s="103"/>
      <c r="B74" s="104"/>
      <c r="C74" s="104"/>
      <c r="D74" s="105"/>
      <c r="E74" s="102"/>
      <c r="F74" s="102"/>
      <c r="G74" s="102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25" t="str">
        <f t="shared" si="6"/>
        <v/>
      </c>
      <c r="S74" s="126" t="str">
        <f t="shared" si="7"/>
        <v>-</v>
      </c>
      <c r="T74" s="126"/>
      <c r="U74" s="126"/>
      <c r="V74" s="126"/>
      <c r="W74" s="126"/>
      <c r="X74" s="126"/>
      <c r="Y74" s="126"/>
      <c r="Z74" s="126"/>
    </row>
    <row r="75" spans="1:29" ht="27" customHeight="1">
      <c r="A75" s="103"/>
      <c r="B75" s="104"/>
      <c r="C75" s="104"/>
      <c r="D75" s="105"/>
      <c r="E75" s="102"/>
      <c r="F75" s="102"/>
      <c r="G75" s="102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25" t="str">
        <f t="shared" si="6"/>
        <v/>
      </c>
      <c r="S75" s="126" t="str">
        <f t="shared" si="7"/>
        <v>-</v>
      </c>
      <c r="T75" s="126"/>
      <c r="U75" s="126"/>
      <c r="V75" s="126"/>
      <c r="W75" s="126"/>
      <c r="X75" s="126"/>
      <c r="Y75" s="126"/>
      <c r="Z75" s="126"/>
    </row>
    <row r="76" spans="1:29" ht="27" customHeight="1">
      <c r="A76" s="103"/>
      <c r="B76" s="104"/>
      <c r="C76" s="104"/>
      <c r="D76" s="105"/>
      <c r="E76" s="102"/>
      <c r="F76" s="102"/>
      <c r="G76" s="102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25" t="str">
        <f t="shared" si="6"/>
        <v/>
      </c>
      <c r="S76" s="126" t="str">
        <f t="shared" si="7"/>
        <v>-</v>
      </c>
      <c r="T76" s="126"/>
      <c r="U76" s="126"/>
      <c r="V76" s="126"/>
      <c r="W76" s="126"/>
      <c r="X76" s="126"/>
      <c r="Y76" s="126"/>
      <c r="Z76" s="126"/>
    </row>
    <row r="77" spans="1:29" ht="27" customHeight="1">
      <c r="A77" s="103"/>
      <c r="B77" s="104"/>
      <c r="C77" s="104"/>
      <c r="D77" s="105"/>
      <c r="E77" s="102"/>
      <c r="F77" s="102"/>
      <c r="G77" s="102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25" t="str">
        <f t="shared" si="6"/>
        <v/>
      </c>
      <c r="S77" s="126" t="str">
        <f t="shared" si="7"/>
        <v>-</v>
      </c>
      <c r="T77" s="126"/>
      <c r="U77" s="126"/>
      <c r="V77" s="126"/>
      <c r="W77" s="126"/>
      <c r="X77" s="126"/>
      <c r="Y77" s="126"/>
      <c r="Z77" s="126"/>
    </row>
    <row r="78" spans="1:29" ht="27" customHeight="1">
      <c r="A78" s="103"/>
      <c r="B78" s="104"/>
      <c r="C78" s="104"/>
      <c r="D78" s="105"/>
      <c r="E78" s="102"/>
      <c r="F78" s="102"/>
      <c r="G78" s="102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25" t="str">
        <f t="shared" si="6"/>
        <v/>
      </c>
      <c r="S78" s="126" t="str">
        <f t="shared" si="7"/>
        <v>-</v>
      </c>
      <c r="T78" s="126"/>
      <c r="U78" s="126"/>
      <c r="V78" s="126"/>
      <c r="W78" s="126"/>
      <c r="X78" s="126"/>
      <c r="Y78" s="126"/>
      <c r="Z78" s="126"/>
    </row>
    <row r="79" spans="1:29" ht="27" customHeight="1">
      <c r="A79" s="103"/>
      <c r="B79" s="104"/>
      <c r="C79" s="104"/>
      <c r="D79" s="105"/>
      <c r="E79" s="102"/>
      <c r="F79" s="102"/>
      <c r="G79" s="102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25" t="str">
        <f t="shared" si="6"/>
        <v/>
      </c>
      <c r="S79" s="126" t="str">
        <f t="shared" si="7"/>
        <v>-</v>
      </c>
      <c r="T79" s="126"/>
      <c r="U79" s="126"/>
      <c r="V79" s="126"/>
      <c r="W79" s="126"/>
      <c r="X79" s="126"/>
      <c r="Y79" s="126"/>
      <c r="Z79" s="126"/>
    </row>
    <row r="80" spans="1:29" ht="27" customHeight="1">
      <c r="A80" s="103"/>
      <c r="B80" s="104"/>
      <c r="C80" s="104"/>
      <c r="D80" s="105"/>
      <c r="E80" s="102"/>
      <c r="F80" s="102"/>
      <c r="G80" s="102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25" t="str">
        <f t="shared" si="6"/>
        <v/>
      </c>
      <c r="S80" s="126" t="str">
        <f t="shared" si="7"/>
        <v>-</v>
      </c>
      <c r="T80" s="126"/>
      <c r="U80" s="126"/>
      <c r="V80" s="126"/>
      <c r="W80" s="126"/>
      <c r="X80" s="126"/>
      <c r="Y80" s="126"/>
      <c r="Z80" s="126"/>
    </row>
    <row r="81" spans="1:29" ht="27" customHeight="1">
      <c r="A81" s="103"/>
      <c r="B81" s="104"/>
      <c r="C81" s="104"/>
      <c r="D81" s="105"/>
      <c r="E81" s="102"/>
      <c r="F81" s="102"/>
      <c r="G81" s="102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25" t="str">
        <f t="shared" si="6"/>
        <v/>
      </c>
      <c r="S81" s="126" t="str">
        <f t="shared" si="7"/>
        <v>-</v>
      </c>
      <c r="T81" s="126"/>
      <c r="U81" s="126"/>
      <c r="V81" s="126"/>
      <c r="W81" s="126"/>
      <c r="X81" s="126"/>
      <c r="Y81" s="126"/>
      <c r="Z81" s="126"/>
    </row>
    <row r="82" spans="1:29" ht="27" customHeight="1">
      <c r="A82" s="103"/>
      <c r="B82" s="104"/>
      <c r="C82" s="104"/>
      <c r="D82" s="105"/>
      <c r="E82" s="102"/>
      <c r="F82" s="102"/>
      <c r="G82" s="102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25" t="str">
        <f t="shared" si="6"/>
        <v/>
      </c>
      <c r="S82" s="126" t="str">
        <f t="shared" si="7"/>
        <v>-</v>
      </c>
      <c r="T82" s="126"/>
      <c r="U82" s="126"/>
      <c r="V82" s="126"/>
      <c r="W82" s="126"/>
      <c r="X82" s="126"/>
      <c r="Y82" s="126"/>
      <c r="Z82" s="126"/>
    </row>
    <row r="83" spans="1:29" ht="27" customHeight="1">
      <c r="A83" s="103"/>
      <c r="B83" s="104"/>
      <c r="C83" s="104"/>
      <c r="D83" s="105"/>
      <c r="E83" s="102"/>
      <c r="F83" s="102"/>
      <c r="G83" s="102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25" t="str">
        <f t="shared" si="6"/>
        <v/>
      </c>
      <c r="S83" s="126" t="str">
        <f t="shared" si="7"/>
        <v>-</v>
      </c>
      <c r="T83" s="126"/>
      <c r="U83" s="126"/>
      <c r="V83" s="126"/>
      <c r="W83" s="126"/>
      <c r="X83" s="126"/>
      <c r="Y83" s="126"/>
      <c r="Z83" s="126"/>
    </row>
    <row r="84" spans="1:29" ht="27" customHeight="1">
      <c r="A84" s="103"/>
      <c r="B84" s="104"/>
      <c r="C84" s="104"/>
      <c r="D84" s="105"/>
      <c r="E84" s="102"/>
      <c r="F84" s="102"/>
      <c r="G84" s="102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25" t="str">
        <f t="shared" si="6"/>
        <v/>
      </c>
      <c r="S84" s="126" t="str">
        <f t="shared" si="7"/>
        <v>-</v>
      </c>
      <c r="T84" s="126"/>
      <c r="U84" s="126"/>
      <c r="V84" s="126"/>
      <c r="W84" s="126"/>
      <c r="X84" s="126"/>
      <c r="Y84" s="126"/>
      <c r="Z84" s="127"/>
    </row>
    <row r="85" spans="1:29" ht="27" customHeight="1">
      <c r="A85" s="103"/>
      <c r="B85" s="104"/>
      <c r="C85" s="104"/>
      <c r="D85" s="105"/>
      <c r="E85" s="102"/>
      <c r="F85" s="102"/>
      <c r="G85" s="102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25" t="str">
        <f t="shared" si="6"/>
        <v/>
      </c>
      <c r="S85" s="126" t="str">
        <f t="shared" si="7"/>
        <v>-</v>
      </c>
      <c r="T85" s="126"/>
      <c r="U85" s="126"/>
      <c r="V85" s="126"/>
      <c r="W85" s="126"/>
      <c r="X85" s="126"/>
      <c r="Y85" s="126"/>
      <c r="Z85" s="127"/>
    </row>
    <row r="86" spans="1:29" ht="27" customHeight="1">
      <c r="A86" s="103"/>
      <c r="B86" s="104"/>
      <c r="C86" s="104"/>
      <c r="D86" s="105"/>
      <c r="E86" s="102"/>
      <c r="F86" s="102"/>
      <c r="G86" s="102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25" t="str">
        <f t="shared" si="6"/>
        <v/>
      </c>
      <c r="S86" s="126" t="str">
        <f t="shared" si="7"/>
        <v>-</v>
      </c>
      <c r="T86" s="126"/>
      <c r="U86" s="126"/>
      <c r="V86" s="126"/>
      <c r="W86" s="126"/>
      <c r="X86" s="126"/>
      <c r="Y86" s="126"/>
      <c r="Z86" s="127"/>
    </row>
    <row r="87" spans="1:29" ht="27" customHeight="1">
      <c r="A87" s="103"/>
      <c r="B87" s="104"/>
      <c r="C87" s="104"/>
      <c r="D87" s="105"/>
      <c r="E87" s="102"/>
      <c r="F87" s="102"/>
      <c r="G87" s="102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25" t="str">
        <f t="shared" si="6"/>
        <v/>
      </c>
      <c r="S87" s="126" t="str">
        <f t="shared" si="7"/>
        <v>-</v>
      </c>
      <c r="T87" s="126"/>
      <c r="U87" s="126"/>
      <c r="V87" s="126"/>
      <c r="W87" s="126"/>
      <c r="X87" s="126"/>
      <c r="Y87" s="126"/>
      <c r="Z87" s="127"/>
    </row>
    <row r="88" spans="1:29" ht="27" customHeight="1">
      <c r="A88" s="103"/>
      <c r="B88" s="104"/>
      <c r="C88" s="104"/>
      <c r="D88" s="105"/>
      <c r="E88" s="102"/>
      <c r="F88" s="102"/>
      <c r="G88" s="102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25" t="str">
        <f t="shared" si="6"/>
        <v/>
      </c>
      <c r="S88" s="126" t="str">
        <f t="shared" si="7"/>
        <v>-</v>
      </c>
      <c r="T88" s="126"/>
      <c r="U88" s="126"/>
      <c r="V88" s="126"/>
      <c r="W88" s="126"/>
      <c r="X88" s="126"/>
      <c r="Y88" s="126"/>
      <c r="Z88" s="141"/>
      <c r="AA88" s="126"/>
      <c r="AB88" s="126"/>
      <c r="AC88" s="126"/>
    </row>
    <row r="89" spans="1:29" ht="27" customHeight="1">
      <c r="A89" s="103"/>
      <c r="B89" s="104"/>
      <c r="C89" s="104"/>
      <c r="D89" s="105"/>
      <c r="E89" s="102"/>
      <c r="F89" s="102"/>
      <c r="G89" s="102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25" t="str">
        <f t="shared" si="6"/>
        <v/>
      </c>
      <c r="S89" s="126"/>
      <c r="T89" s="126"/>
      <c r="U89" s="126"/>
      <c r="V89" s="126"/>
      <c r="W89" s="126"/>
      <c r="X89" s="126"/>
      <c r="Y89" s="126"/>
      <c r="Z89" s="141"/>
      <c r="AA89" s="126"/>
      <c r="AB89" s="126"/>
      <c r="AC89" s="126"/>
    </row>
    <row r="90" spans="1:29" ht="27" customHeight="1">
      <c r="A90" s="103"/>
      <c r="B90" s="104"/>
      <c r="C90" s="104"/>
      <c r="D90" s="105"/>
      <c r="E90" s="102"/>
      <c r="F90" s="102"/>
      <c r="G90" s="102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25" t="str">
        <f t="shared" si="6"/>
        <v/>
      </c>
      <c r="S90" s="126" t="str">
        <f>IF(E90&gt;=F90,"-","ERR")</f>
        <v>-</v>
      </c>
      <c r="T90" s="126"/>
      <c r="U90" s="126"/>
      <c r="V90" s="126"/>
      <c r="W90" s="126"/>
      <c r="X90" s="126"/>
      <c r="Y90" s="126"/>
      <c r="Z90" s="126"/>
    </row>
    <row r="91" spans="1:29" ht="27" customHeight="1">
      <c r="A91" s="103"/>
      <c r="B91" s="104"/>
      <c r="C91" s="104"/>
      <c r="D91" s="105"/>
      <c r="E91" s="102"/>
      <c r="F91" s="102"/>
      <c r="G91" s="102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25" t="str">
        <f t="shared" si="6"/>
        <v/>
      </c>
      <c r="S91" s="126" t="str">
        <f t="shared" ref="S91:S109" si="8">IF(E91&gt;=F91,"-","ERR")</f>
        <v>-</v>
      </c>
      <c r="T91" s="126"/>
      <c r="U91" s="126"/>
      <c r="V91" s="126"/>
      <c r="W91" s="126"/>
      <c r="X91" s="126"/>
      <c r="Y91" s="126"/>
      <c r="Z91" s="126"/>
    </row>
    <row r="92" spans="1:29" ht="27" customHeight="1">
      <c r="A92" s="103"/>
      <c r="B92" s="104"/>
      <c r="C92" s="104"/>
      <c r="D92" s="105"/>
      <c r="E92" s="102"/>
      <c r="F92" s="102"/>
      <c r="G92" s="102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25" t="str">
        <f t="shared" si="6"/>
        <v/>
      </c>
      <c r="S92" s="126" t="str">
        <f t="shared" si="8"/>
        <v>-</v>
      </c>
      <c r="T92" s="126"/>
      <c r="U92" s="126"/>
      <c r="V92" s="126"/>
      <c r="W92" s="126"/>
      <c r="X92" s="126"/>
      <c r="Y92" s="126"/>
      <c r="Z92" s="126"/>
    </row>
    <row r="93" spans="1:29" ht="27" customHeight="1">
      <c r="A93" s="103"/>
      <c r="B93" s="104"/>
      <c r="C93" s="104"/>
      <c r="D93" s="105"/>
      <c r="E93" s="102"/>
      <c r="F93" s="102"/>
      <c r="G93" s="102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25" t="str">
        <f t="shared" si="6"/>
        <v/>
      </c>
      <c r="S93" s="126" t="str">
        <f t="shared" si="8"/>
        <v>-</v>
      </c>
      <c r="T93" s="126"/>
      <c r="U93" s="126"/>
      <c r="V93" s="126"/>
      <c r="W93" s="126"/>
      <c r="X93" s="126"/>
      <c r="Y93" s="126"/>
      <c r="Z93" s="126"/>
    </row>
    <row r="94" spans="1:29" ht="27" customHeight="1">
      <c r="A94" s="103"/>
      <c r="B94" s="104"/>
      <c r="C94" s="104"/>
      <c r="D94" s="105"/>
      <c r="E94" s="102"/>
      <c r="F94" s="102"/>
      <c r="G94" s="102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25" t="str">
        <f t="shared" si="6"/>
        <v/>
      </c>
      <c r="S94" s="126" t="str">
        <f t="shared" si="8"/>
        <v>-</v>
      </c>
      <c r="T94" s="126"/>
      <c r="U94" s="126"/>
      <c r="V94" s="126"/>
      <c r="W94" s="126"/>
      <c r="X94" s="126"/>
      <c r="Y94" s="126"/>
      <c r="Z94" s="126"/>
    </row>
    <row r="95" spans="1:29" ht="27" customHeight="1">
      <c r="A95" s="103"/>
      <c r="B95" s="104"/>
      <c r="C95" s="104"/>
      <c r="D95" s="105"/>
      <c r="E95" s="102"/>
      <c r="F95" s="102"/>
      <c r="G95" s="102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25" t="str">
        <f t="shared" si="6"/>
        <v/>
      </c>
      <c r="S95" s="126" t="str">
        <f t="shared" si="8"/>
        <v>-</v>
      </c>
      <c r="T95" s="126"/>
      <c r="U95" s="126"/>
      <c r="V95" s="126"/>
      <c r="W95" s="126"/>
      <c r="X95" s="126"/>
      <c r="Y95" s="126"/>
      <c r="Z95" s="126"/>
    </row>
    <row r="96" spans="1:29" ht="27" customHeight="1">
      <c r="A96" s="103"/>
      <c r="B96" s="104"/>
      <c r="C96" s="104"/>
      <c r="D96" s="105"/>
      <c r="E96" s="102"/>
      <c r="F96" s="102"/>
      <c r="G96" s="102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25" t="str">
        <f t="shared" si="6"/>
        <v/>
      </c>
      <c r="S96" s="126" t="str">
        <f t="shared" si="8"/>
        <v>-</v>
      </c>
      <c r="T96" s="126"/>
      <c r="U96" s="126"/>
      <c r="V96" s="126"/>
      <c r="W96" s="126"/>
      <c r="X96" s="126"/>
      <c r="Y96" s="126"/>
      <c r="Z96" s="126"/>
    </row>
    <row r="97" spans="1:29" ht="27" customHeight="1">
      <c r="A97" s="103"/>
      <c r="B97" s="104"/>
      <c r="C97" s="104"/>
      <c r="D97" s="105"/>
      <c r="E97" s="102"/>
      <c r="F97" s="102"/>
      <c r="G97" s="102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25" t="str">
        <f t="shared" si="6"/>
        <v/>
      </c>
      <c r="S97" s="126" t="str">
        <f t="shared" si="8"/>
        <v>-</v>
      </c>
      <c r="T97" s="126"/>
      <c r="U97" s="126"/>
      <c r="V97" s="126"/>
      <c r="W97" s="126"/>
      <c r="X97" s="126"/>
      <c r="Y97" s="126"/>
      <c r="Z97" s="126"/>
    </row>
    <row r="98" spans="1:29" ht="27" customHeight="1">
      <c r="A98" s="103"/>
      <c r="B98" s="104"/>
      <c r="C98" s="104"/>
      <c r="D98" s="105"/>
      <c r="E98" s="102"/>
      <c r="F98" s="102"/>
      <c r="G98" s="102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25" t="str">
        <f t="shared" si="6"/>
        <v/>
      </c>
      <c r="S98" s="126" t="str">
        <f t="shared" si="8"/>
        <v>-</v>
      </c>
      <c r="T98" s="126"/>
      <c r="U98" s="126"/>
      <c r="V98" s="126"/>
      <c r="W98" s="126"/>
      <c r="X98" s="126"/>
      <c r="Y98" s="126"/>
      <c r="Z98" s="126"/>
    </row>
    <row r="99" spans="1:29" ht="27" customHeight="1">
      <c r="A99" s="103"/>
      <c r="B99" s="104"/>
      <c r="C99" s="104"/>
      <c r="D99" s="105"/>
      <c r="E99" s="102"/>
      <c r="F99" s="102"/>
      <c r="G99" s="102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25" t="str">
        <f t="shared" si="6"/>
        <v/>
      </c>
      <c r="S99" s="126" t="str">
        <f t="shared" si="8"/>
        <v>-</v>
      </c>
      <c r="T99" s="126"/>
      <c r="U99" s="126"/>
      <c r="V99" s="126"/>
      <c r="W99" s="126"/>
      <c r="X99" s="126"/>
      <c r="Y99" s="126"/>
      <c r="Z99" s="126"/>
    </row>
    <row r="100" spans="1:29" ht="27" customHeight="1">
      <c r="A100" s="103"/>
      <c r="B100" s="104"/>
      <c r="C100" s="104"/>
      <c r="D100" s="105"/>
      <c r="E100" s="102"/>
      <c r="F100" s="102"/>
      <c r="G100" s="102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25" t="str">
        <f t="shared" si="6"/>
        <v/>
      </c>
      <c r="S100" s="126" t="str">
        <f t="shared" si="8"/>
        <v>-</v>
      </c>
      <c r="T100" s="126"/>
      <c r="U100" s="126"/>
      <c r="V100" s="126"/>
      <c r="W100" s="126"/>
      <c r="X100" s="126"/>
      <c r="Y100" s="126"/>
      <c r="Z100" s="126"/>
    </row>
    <row r="101" spans="1:29" ht="27" customHeight="1">
      <c r="A101" s="103"/>
      <c r="B101" s="104"/>
      <c r="C101" s="104"/>
      <c r="D101" s="105"/>
      <c r="E101" s="102"/>
      <c r="F101" s="102"/>
      <c r="G101" s="102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25" t="str">
        <f t="shared" si="6"/>
        <v/>
      </c>
      <c r="S101" s="126" t="str">
        <f t="shared" si="8"/>
        <v>-</v>
      </c>
      <c r="T101" s="126"/>
      <c r="U101" s="126"/>
      <c r="V101" s="126"/>
      <c r="W101" s="126"/>
      <c r="X101" s="126"/>
      <c r="Y101" s="126"/>
      <c r="Z101" s="126"/>
    </row>
    <row r="102" spans="1:29" ht="27" customHeight="1">
      <c r="A102" s="103"/>
      <c r="B102" s="104"/>
      <c r="C102" s="104"/>
      <c r="D102" s="105"/>
      <c r="E102" s="102"/>
      <c r="F102" s="102"/>
      <c r="G102" s="102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25" t="str">
        <f t="shared" si="6"/>
        <v/>
      </c>
      <c r="S102" s="126" t="str">
        <f t="shared" si="8"/>
        <v>-</v>
      </c>
      <c r="T102" s="126"/>
      <c r="U102" s="126"/>
      <c r="V102" s="126"/>
      <c r="W102" s="126"/>
      <c r="X102" s="126"/>
      <c r="Y102" s="126"/>
      <c r="Z102" s="126"/>
    </row>
    <row r="103" spans="1:29" ht="27" customHeight="1">
      <c r="A103" s="103"/>
      <c r="B103" s="104"/>
      <c r="C103" s="104"/>
      <c r="D103" s="105"/>
      <c r="E103" s="102"/>
      <c r="F103" s="102"/>
      <c r="G103" s="102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25" t="str">
        <f t="shared" si="6"/>
        <v/>
      </c>
      <c r="S103" s="126" t="str">
        <f t="shared" si="8"/>
        <v>-</v>
      </c>
      <c r="T103" s="126"/>
      <c r="U103" s="126"/>
      <c r="V103" s="126"/>
      <c r="W103" s="126"/>
      <c r="X103" s="126"/>
      <c r="Y103" s="126"/>
      <c r="Z103" s="126"/>
    </row>
    <row r="104" spans="1:29" ht="27" customHeight="1">
      <c r="A104" s="103"/>
      <c r="B104" s="104"/>
      <c r="C104" s="104"/>
      <c r="D104" s="105"/>
      <c r="E104" s="102"/>
      <c r="F104" s="102"/>
      <c r="G104" s="102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25" t="str">
        <f t="shared" si="6"/>
        <v/>
      </c>
      <c r="S104" s="126" t="str">
        <f t="shared" si="8"/>
        <v>-</v>
      </c>
      <c r="T104" s="126"/>
      <c r="U104" s="126"/>
      <c r="V104" s="126"/>
      <c r="W104" s="126"/>
      <c r="X104" s="126"/>
      <c r="Y104" s="126"/>
      <c r="Z104" s="126"/>
    </row>
    <row r="105" spans="1:29" ht="27" customHeight="1">
      <c r="A105" s="103"/>
      <c r="B105" s="104"/>
      <c r="C105" s="104"/>
      <c r="D105" s="105"/>
      <c r="E105" s="102"/>
      <c r="F105" s="102"/>
      <c r="G105" s="102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25" t="str">
        <f t="shared" si="6"/>
        <v/>
      </c>
      <c r="S105" s="126" t="str">
        <f t="shared" si="8"/>
        <v>-</v>
      </c>
      <c r="T105" s="126"/>
      <c r="U105" s="126"/>
      <c r="V105" s="126"/>
      <c r="W105" s="126"/>
      <c r="X105" s="126"/>
      <c r="Y105" s="126"/>
      <c r="Z105" s="127"/>
    </row>
    <row r="106" spans="1:29" ht="27" customHeight="1">
      <c r="A106" s="103"/>
      <c r="B106" s="104"/>
      <c r="C106" s="104"/>
      <c r="D106" s="105"/>
      <c r="E106" s="102"/>
      <c r="F106" s="102"/>
      <c r="G106" s="102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25" t="str">
        <f t="shared" si="6"/>
        <v/>
      </c>
      <c r="S106" s="126" t="str">
        <f t="shared" si="8"/>
        <v>-</v>
      </c>
      <c r="T106" s="126"/>
      <c r="U106" s="126"/>
      <c r="V106" s="126"/>
      <c r="W106" s="126"/>
      <c r="X106" s="126"/>
      <c r="Y106" s="126"/>
      <c r="Z106" s="127"/>
    </row>
    <row r="107" spans="1:29" ht="27" customHeight="1">
      <c r="A107" s="103"/>
      <c r="B107" s="104"/>
      <c r="C107" s="104"/>
      <c r="D107" s="105"/>
      <c r="E107" s="102"/>
      <c r="F107" s="102"/>
      <c r="G107" s="102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25" t="str">
        <f t="shared" si="6"/>
        <v/>
      </c>
      <c r="S107" s="126" t="str">
        <f t="shared" si="8"/>
        <v>-</v>
      </c>
      <c r="T107" s="126"/>
      <c r="U107" s="126"/>
      <c r="V107" s="126"/>
      <c r="W107" s="126"/>
      <c r="X107" s="126"/>
      <c r="Y107" s="126"/>
      <c r="Z107" s="127"/>
    </row>
    <row r="108" spans="1:29" ht="27" customHeight="1">
      <c r="A108" s="103"/>
      <c r="B108" s="104"/>
      <c r="C108" s="104"/>
      <c r="D108" s="105"/>
      <c r="E108" s="102"/>
      <c r="F108" s="102"/>
      <c r="G108" s="102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25" t="str">
        <f t="shared" si="6"/>
        <v/>
      </c>
      <c r="S108" s="126" t="str">
        <f t="shared" si="8"/>
        <v>-</v>
      </c>
      <c r="T108" s="126"/>
      <c r="U108" s="126"/>
      <c r="V108" s="126"/>
      <c r="W108" s="126"/>
      <c r="X108" s="126"/>
      <c r="Y108" s="126"/>
      <c r="Z108" s="127"/>
    </row>
    <row r="109" spans="1:29" ht="27" customHeight="1">
      <c r="A109" s="103"/>
      <c r="B109" s="104"/>
      <c r="C109" s="104"/>
      <c r="D109" s="105"/>
      <c r="E109" s="102"/>
      <c r="F109" s="102"/>
      <c r="G109" s="102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25" t="str">
        <f t="shared" si="6"/>
        <v/>
      </c>
      <c r="S109" s="126" t="str">
        <f t="shared" si="8"/>
        <v>-</v>
      </c>
      <c r="T109" s="126"/>
      <c r="U109" s="126"/>
      <c r="V109" s="126"/>
      <c r="W109" s="126"/>
      <c r="X109" s="126"/>
      <c r="Y109" s="126"/>
      <c r="Z109" s="141"/>
      <c r="AA109" s="126"/>
      <c r="AB109" s="126"/>
      <c r="AC109" s="126"/>
    </row>
    <row r="110" spans="1:29" ht="27" customHeight="1">
      <c r="A110" s="103"/>
      <c r="B110" s="104"/>
      <c r="C110" s="104"/>
      <c r="D110" s="105"/>
      <c r="E110" s="102"/>
      <c r="F110" s="102"/>
      <c r="G110" s="102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25" t="str">
        <f t="shared" si="6"/>
        <v/>
      </c>
      <c r="S110" s="126"/>
      <c r="T110" s="126"/>
      <c r="U110" s="126"/>
      <c r="V110" s="126"/>
      <c r="W110" s="126"/>
      <c r="X110" s="126"/>
      <c r="Y110" s="126"/>
      <c r="Z110" s="141"/>
      <c r="AA110" s="126"/>
      <c r="AB110" s="126"/>
      <c r="AC110" s="126"/>
    </row>
    <row r="111" spans="1:29" ht="27" customHeight="1">
      <c r="A111" s="103"/>
      <c r="B111" s="104"/>
      <c r="C111" s="104"/>
      <c r="D111" s="105"/>
      <c r="E111" s="102"/>
      <c r="F111" s="102"/>
      <c r="G111" s="102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25" t="str">
        <f t="shared" si="6"/>
        <v/>
      </c>
      <c r="S111" s="126" t="str">
        <f>IF(E111&gt;=F111,"-","ERR")</f>
        <v>-</v>
      </c>
      <c r="T111" s="126"/>
      <c r="U111" s="126"/>
      <c r="V111" s="126"/>
      <c r="W111" s="126"/>
      <c r="X111" s="126"/>
      <c r="Y111" s="126"/>
      <c r="Z111" s="126"/>
    </row>
    <row r="112" spans="1:29" ht="27" customHeight="1">
      <c r="A112" s="103"/>
      <c r="B112" s="104"/>
      <c r="C112" s="104"/>
      <c r="D112" s="105"/>
      <c r="E112" s="102"/>
      <c r="F112" s="102"/>
      <c r="G112" s="102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25" t="str">
        <f t="shared" si="6"/>
        <v/>
      </c>
      <c r="S112" s="126" t="str">
        <f t="shared" ref="S112:S130" si="9">IF(E112&gt;=F112,"-","ERR")</f>
        <v>-</v>
      </c>
      <c r="T112" s="126"/>
      <c r="U112" s="126"/>
      <c r="V112" s="126"/>
      <c r="W112" s="126"/>
      <c r="X112" s="126"/>
      <c r="Y112" s="126"/>
      <c r="Z112" s="126"/>
    </row>
    <row r="113" spans="1:26" ht="27" customHeight="1">
      <c r="A113" s="103"/>
      <c r="B113" s="104"/>
      <c r="C113" s="104"/>
      <c r="D113" s="105"/>
      <c r="E113" s="102"/>
      <c r="F113" s="102"/>
      <c r="G113" s="102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25" t="str">
        <f t="shared" si="6"/>
        <v/>
      </c>
      <c r="S113" s="126" t="str">
        <f t="shared" si="9"/>
        <v>-</v>
      </c>
      <c r="T113" s="126"/>
      <c r="U113" s="126"/>
      <c r="V113" s="126"/>
      <c r="W113" s="126"/>
      <c r="X113" s="126"/>
      <c r="Y113" s="126"/>
      <c r="Z113" s="126"/>
    </row>
    <row r="114" spans="1:26" ht="27" customHeight="1">
      <c r="A114" s="103"/>
      <c r="B114" s="104"/>
      <c r="C114" s="104"/>
      <c r="D114" s="105"/>
      <c r="E114" s="102"/>
      <c r="F114" s="102"/>
      <c r="G114" s="102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25" t="str">
        <f t="shared" si="6"/>
        <v/>
      </c>
      <c r="S114" s="126" t="str">
        <f t="shared" si="9"/>
        <v>-</v>
      </c>
      <c r="T114" s="126"/>
      <c r="U114" s="126"/>
      <c r="V114" s="126"/>
      <c r="W114" s="126"/>
      <c r="X114" s="126"/>
      <c r="Y114" s="126"/>
      <c r="Z114" s="126"/>
    </row>
    <row r="115" spans="1:26" ht="27" customHeight="1">
      <c r="A115" s="103"/>
      <c r="B115" s="104"/>
      <c r="C115" s="104"/>
      <c r="D115" s="105"/>
      <c r="E115" s="102"/>
      <c r="F115" s="102"/>
      <c r="G115" s="102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25" t="str">
        <f t="shared" si="6"/>
        <v/>
      </c>
      <c r="S115" s="126" t="str">
        <f t="shared" si="9"/>
        <v>-</v>
      </c>
      <c r="T115" s="126"/>
      <c r="U115" s="126"/>
      <c r="V115" s="126"/>
      <c r="W115" s="126"/>
      <c r="X115" s="126"/>
      <c r="Y115" s="126"/>
      <c r="Z115" s="126"/>
    </row>
    <row r="116" spans="1:26" ht="27" customHeight="1">
      <c r="A116" s="103"/>
      <c r="B116" s="104"/>
      <c r="C116" s="104"/>
      <c r="D116" s="105"/>
      <c r="E116" s="102"/>
      <c r="F116" s="102"/>
      <c r="G116" s="102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25" t="str">
        <f t="shared" si="6"/>
        <v/>
      </c>
      <c r="S116" s="126" t="str">
        <f t="shared" si="9"/>
        <v>-</v>
      </c>
      <c r="T116" s="126"/>
      <c r="U116" s="126"/>
      <c r="V116" s="126"/>
      <c r="W116" s="126"/>
      <c r="X116" s="126"/>
      <c r="Y116" s="126"/>
      <c r="Z116" s="126"/>
    </row>
    <row r="117" spans="1:26" ht="27" customHeight="1">
      <c r="A117" s="103"/>
      <c r="B117" s="104"/>
      <c r="C117" s="104"/>
      <c r="D117" s="105"/>
      <c r="E117" s="102"/>
      <c r="F117" s="102"/>
      <c r="G117" s="102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25" t="str">
        <f t="shared" si="6"/>
        <v/>
      </c>
      <c r="S117" s="126" t="str">
        <f t="shared" si="9"/>
        <v>-</v>
      </c>
      <c r="T117" s="126"/>
      <c r="U117" s="126"/>
      <c r="V117" s="126"/>
      <c r="W117" s="126"/>
      <c r="X117" s="126"/>
      <c r="Y117" s="126"/>
      <c r="Z117" s="126"/>
    </row>
    <row r="118" spans="1:26" ht="27" customHeight="1">
      <c r="A118" s="103"/>
      <c r="B118" s="104"/>
      <c r="C118" s="104"/>
      <c r="D118" s="105"/>
      <c r="E118" s="102"/>
      <c r="F118" s="102"/>
      <c r="G118" s="102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25" t="str">
        <f t="shared" si="6"/>
        <v/>
      </c>
      <c r="S118" s="126" t="str">
        <f t="shared" si="9"/>
        <v>-</v>
      </c>
      <c r="T118" s="126"/>
      <c r="U118" s="126"/>
      <c r="V118" s="126"/>
      <c r="W118" s="126"/>
      <c r="X118" s="126"/>
      <c r="Y118" s="126"/>
      <c r="Z118" s="126"/>
    </row>
    <row r="119" spans="1:26" ht="27" customHeight="1">
      <c r="A119" s="103"/>
      <c r="B119" s="104"/>
      <c r="C119" s="104"/>
      <c r="D119" s="105"/>
      <c r="E119" s="102"/>
      <c r="F119" s="102"/>
      <c r="G119" s="102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25" t="str">
        <f t="shared" si="6"/>
        <v/>
      </c>
      <c r="S119" s="126" t="str">
        <f t="shared" si="9"/>
        <v>-</v>
      </c>
      <c r="T119" s="126"/>
      <c r="U119" s="126"/>
      <c r="V119" s="126"/>
      <c r="W119" s="126"/>
      <c r="X119" s="126"/>
      <c r="Y119" s="126"/>
      <c r="Z119" s="126"/>
    </row>
    <row r="120" spans="1:26" ht="27" customHeight="1">
      <c r="A120" s="103"/>
      <c r="B120" s="104"/>
      <c r="C120" s="104"/>
      <c r="D120" s="105"/>
      <c r="E120" s="102"/>
      <c r="F120" s="102"/>
      <c r="G120" s="102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25" t="str">
        <f t="shared" si="6"/>
        <v/>
      </c>
      <c r="S120" s="126" t="str">
        <f t="shared" si="9"/>
        <v>-</v>
      </c>
      <c r="T120" s="126"/>
      <c r="U120" s="126"/>
      <c r="V120" s="126"/>
      <c r="W120" s="126"/>
      <c r="X120" s="126"/>
      <c r="Y120" s="126"/>
      <c r="Z120" s="126"/>
    </row>
    <row r="121" spans="1:26" ht="27" customHeight="1">
      <c r="A121" s="103"/>
      <c r="B121" s="104"/>
      <c r="C121" s="104"/>
      <c r="D121" s="105"/>
      <c r="E121" s="102"/>
      <c r="F121" s="102"/>
      <c r="G121" s="102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25" t="str">
        <f t="shared" si="6"/>
        <v/>
      </c>
      <c r="S121" s="126" t="str">
        <f t="shared" si="9"/>
        <v>-</v>
      </c>
      <c r="T121" s="126"/>
      <c r="U121" s="126"/>
      <c r="V121" s="126"/>
      <c r="W121" s="126"/>
      <c r="X121" s="126"/>
      <c r="Y121" s="126"/>
      <c r="Z121" s="126"/>
    </row>
    <row r="122" spans="1:26" ht="27" customHeight="1">
      <c r="A122" s="103"/>
      <c r="B122" s="104"/>
      <c r="C122" s="104"/>
      <c r="D122" s="105"/>
      <c r="E122" s="102"/>
      <c r="F122" s="102"/>
      <c r="G122" s="102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25" t="str">
        <f t="shared" si="6"/>
        <v/>
      </c>
      <c r="S122" s="126" t="str">
        <f t="shared" si="9"/>
        <v>-</v>
      </c>
      <c r="T122" s="126"/>
      <c r="U122" s="126"/>
      <c r="V122" s="126"/>
      <c r="W122" s="126"/>
      <c r="X122" s="126"/>
      <c r="Y122" s="126"/>
      <c r="Z122" s="126"/>
    </row>
    <row r="123" spans="1:26" ht="27" customHeight="1">
      <c r="A123" s="103"/>
      <c r="B123" s="104"/>
      <c r="C123" s="104"/>
      <c r="D123" s="105"/>
      <c r="E123" s="102"/>
      <c r="F123" s="102"/>
      <c r="G123" s="102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25" t="str">
        <f t="shared" ref="R123:R186" si="10">CONCATENATE(D123,J123)</f>
        <v/>
      </c>
      <c r="S123" s="126" t="str">
        <f t="shared" si="9"/>
        <v>-</v>
      </c>
      <c r="T123" s="126"/>
      <c r="U123" s="126"/>
      <c r="V123" s="126"/>
      <c r="W123" s="126"/>
      <c r="X123" s="126"/>
      <c r="Y123" s="126"/>
      <c r="Z123" s="126"/>
    </row>
    <row r="124" spans="1:26" ht="27" customHeight="1">
      <c r="A124" s="103"/>
      <c r="B124" s="104"/>
      <c r="C124" s="104"/>
      <c r="D124" s="105"/>
      <c r="E124" s="102"/>
      <c r="F124" s="102"/>
      <c r="G124" s="102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25" t="str">
        <f t="shared" si="10"/>
        <v/>
      </c>
      <c r="S124" s="126" t="str">
        <f t="shared" si="9"/>
        <v>-</v>
      </c>
      <c r="T124" s="126"/>
      <c r="U124" s="126"/>
      <c r="V124" s="126"/>
      <c r="W124" s="126"/>
      <c r="X124" s="126"/>
      <c r="Y124" s="126"/>
      <c r="Z124" s="126"/>
    </row>
    <row r="125" spans="1:26" ht="27" customHeight="1">
      <c r="A125" s="103"/>
      <c r="B125" s="104"/>
      <c r="C125" s="104"/>
      <c r="D125" s="105"/>
      <c r="E125" s="102"/>
      <c r="F125" s="102"/>
      <c r="G125" s="102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25" t="str">
        <f t="shared" si="10"/>
        <v/>
      </c>
      <c r="S125" s="126" t="str">
        <f t="shared" si="9"/>
        <v>-</v>
      </c>
      <c r="T125" s="126"/>
      <c r="U125" s="126"/>
      <c r="V125" s="126"/>
      <c r="W125" s="126"/>
      <c r="X125" s="126"/>
      <c r="Y125" s="126"/>
      <c r="Z125" s="126"/>
    </row>
    <row r="126" spans="1:26" ht="27" customHeight="1">
      <c r="A126" s="103"/>
      <c r="B126" s="104"/>
      <c r="C126" s="104"/>
      <c r="D126" s="105"/>
      <c r="E126" s="102"/>
      <c r="F126" s="102"/>
      <c r="G126" s="102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25" t="str">
        <f t="shared" si="10"/>
        <v/>
      </c>
      <c r="S126" s="126" t="str">
        <f t="shared" si="9"/>
        <v>-</v>
      </c>
      <c r="T126" s="205"/>
      <c r="U126" s="206"/>
      <c r="V126" s="207"/>
      <c r="W126" s="208"/>
      <c r="X126" s="209"/>
      <c r="Y126" s="209"/>
      <c r="Z126" s="210"/>
    </row>
    <row r="127" spans="1:26" ht="27" customHeight="1">
      <c r="A127" s="103"/>
      <c r="B127" s="104"/>
      <c r="C127" s="104"/>
      <c r="D127" s="105"/>
      <c r="E127" s="102"/>
      <c r="F127" s="102"/>
      <c r="G127" s="102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25" t="str">
        <f t="shared" si="10"/>
        <v/>
      </c>
      <c r="S127" s="126" t="str">
        <f t="shared" si="9"/>
        <v>-</v>
      </c>
      <c r="T127" s="126"/>
      <c r="U127" s="126"/>
      <c r="V127" s="126"/>
      <c r="W127" s="126"/>
      <c r="X127" s="126"/>
      <c r="Y127" s="126"/>
      <c r="Z127" s="127"/>
    </row>
    <row r="128" spans="1:26" ht="27" customHeight="1">
      <c r="A128" s="103"/>
      <c r="B128" s="104"/>
      <c r="C128" s="104"/>
      <c r="D128" s="105"/>
      <c r="E128" s="102"/>
      <c r="F128" s="102"/>
      <c r="G128" s="102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25" t="str">
        <f t="shared" si="10"/>
        <v/>
      </c>
      <c r="S128" s="126" t="str">
        <f t="shared" si="9"/>
        <v>-</v>
      </c>
      <c r="T128" s="126"/>
      <c r="U128" s="126"/>
      <c r="V128" s="126"/>
      <c r="W128" s="126"/>
      <c r="X128" s="126"/>
      <c r="Y128" s="126"/>
      <c r="Z128" s="127"/>
    </row>
    <row r="129" spans="1:29" ht="27" customHeight="1">
      <c r="A129" s="103"/>
      <c r="B129" s="104"/>
      <c r="C129" s="104"/>
      <c r="D129" s="105"/>
      <c r="E129" s="102"/>
      <c r="F129" s="102"/>
      <c r="G129" s="102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25" t="str">
        <f t="shared" si="10"/>
        <v/>
      </c>
      <c r="S129" s="126" t="str">
        <f t="shared" si="9"/>
        <v>-</v>
      </c>
      <c r="T129" s="126"/>
      <c r="U129" s="126"/>
      <c r="V129" s="126"/>
      <c r="W129" s="126"/>
      <c r="X129" s="126"/>
      <c r="Y129" s="126"/>
      <c r="Z129" s="127"/>
    </row>
    <row r="130" spans="1:29" ht="27" customHeight="1">
      <c r="A130" s="103"/>
      <c r="B130" s="104"/>
      <c r="C130" s="104"/>
      <c r="D130" s="105"/>
      <c r="E130" s="102"/>
      <c r="F130" s="102"/>
      <c r="G130" s="102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25" t="str">
        <f t="shared" si="10"/>
        <v/>
      </c>
      <c r="S130" s="126" t="str">
        <f t="shared" si="9"/>
        <v>-</v>
      </c>
      <c r="T130" s="126"/>
      <c r="U130" s="126"/>
      <c r="V130" s="126"/>
      <c r="W130" s="126"/>
      <c r="X130" s="126"/>
      <c r="Y130" s="126"/>
      <c r="Z130" s="141"/>
      <c r="AA130" s="126"/>
      <c r="AB130" s="126"/>
      <c r="AC130" s="126"/>
    </row>
    <row r="131" spans="1:29" ht="27" customHeight="1">
      <c r="A131" s="103"/>
      <c r="B131" s="104"/>
      <c r="C131" s="104"/>
      <c r="D131" s="105"/>
      <c r="E131" s="102"/>
      <c r="F131" s="102"/>
      <c r="G131" s="102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25" t="str">
        <f t="shared" si="10"/>
        <v/>
      </c>
      <c r="S131" s="126"/>
      <c r="T131" s="126"/>
      <c r="U131" s="126"/>
      <c r="V131" s="126"/>
      <c r="W131" s="126"/>
      <c r="X131" s="126"/>
      <c r="Y131" s="126"/>
      <c r="Z131" s="141"/>
      <c r="AA131" s="126"/>
      <c r="AB131" s="126"/>
      <c r="AC131" s="126"/>
    </row>
    <row r="132" spans="1:29" ht="27" customHeight="1">
      <c r="A132" s="103"/>
      <c r="B132" s="104"/>
      <c r="C132" s="104"/>
      <c r="D132" s="105"/>
      <c r="E132" s="102"/>
      <c r="F132" s="102"/>
      <c r="G132" s="102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25" t="str">
        <f t="shared" si="10"/>
        <v/>
      </c>
      <c r="S132" s="126" t="str">
        <f>IF(E132&gt;=F132,"-","ERR")</f>
        <v>-</v>
      </c>
      <c r="T132" s="126"/>
      <c r="U132" s="126"/>
      <c r="V132" s="126"/>
      <c r="W132" s="126"/>
      <c r="X132" s="126"/>
      <c r="Y132" s="126"/>
      <c r="Z132" s="126"/>
    </row>
    <row r="133" spans="1:29" ht="27" customHeight="1">
      <c r="A133" s="103"/>
      <c r="B133" s="104"/>
      <c r="C133" s="104"/>
      <c r="D133" s="105"/>
      <c r="E133" s="102"/>
      <c r="F133" s="102"/>
      <c r="G133" s="102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25" t="str">
        <f t="shared" si="10"/>
        <v/>
      </c>
      <c r="S133" s="126" t="str">
        <f t="shared" ref="S133:S151" si="11">IF(E133&gt;=F133,"-","ERR")</f>
        <v>-</v>
      </c>
      <c r="T133" s="126"/>
      <c r="U133" s="126"/>
      <c r="V133" s="126"/>
      <c r="W133" s="126"/>
      <c r="X133" s="126"/>
      <c r="Y133" s="126"/>
      <c r="Z133" s="126"/>
    </row>
    <row r="134" spans="1:29" ht="27" customHeight="1">
      <c r="A134" s="103"/>
      <c r="B134" s="104"/>
      <c r="C134" s="104"/>
      <c r="D134" s="105"/>
      <c r="E134" s="102"/>
      <c r="F134" s="102"/>
      <c r="G134" s="102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25" t="str">
        <f t="shared" si="10"/>
        <v/>
      </c>
      <c r="S134" s="126" t="str">
        <f t="shared" si="11"/>
        <v>-</v>
      </c>
      <c r="T134" s="126"/>
      <c r="U134" s="126"/>
      <c r="V134" s="126"/>
      <c r="W134" s="126"/>
      <c r="X134" s="126"/>
      <c r="Y134" s="126"/>
      <c r="Z134" s="126"/>
    </row>
    <row r="135" spans="1:29" ht="27" customHeight="1">
      <c r="A135" s="103"/>
      <c r="B135" s="104"/>
      <c r="C135" s="104"/>
      <c r="D135" s="105"/>
      <c r="E135" s="102"/>
      <c r="F135" s="102"/>
      <c r="G135" s="102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25" t="str">
        <f t="shared" si="10"/>
        <v/>
      </c>
      <c r="S135" s="126" t="str">
        <f t="shared" si="11"/>
        <v>-</v>
      </c>
      <c r="T135" s="126"/>
      <c r="U135" s="126"/>
      <c r="V135" s="126"/>
      <c r="W135" s="126"/>
      <c r="X135" s="126"/>
      <c r="Y135" s="126"/>
      <c r="Z135" s="126"/>
    </row>
    <row r="136" spans="1:29" ht="27" customHeight="1">
      <c r="A136" s="103"/>
      <c r="B136" s="104"/>
      <c r="C136" s="104"/>
      <c r="D136" s="105"/>
      <c r="E136" s="102"/>
      <c r="F136" s="102"/>
      <c r="G136" s="102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25" t="str">
        <f t="shared" si="10"/>
        <v/>
      </c>
      <c r="S136" s="126" t="str">
        <f t="shared" si="11"/>
        <v>-</v>
      </c>
      <c r="T136" s="126"/>
      <c r="U136" s="126"/>
      <c r="V136" s="126"/>
      <c r="W136" s="126"/>
      <c r="X136" s="126"/>
      <c r="Y136" s="126"/>
      <c r="Z136" s="126"/>
    </row>
    <row r="137" spans="1:29" ht="27" customHeight="1">
      <c r="A137" s="103"/>
      <c r="B137" s="104"/>
      <c r="C137" s="104"/>
      <c r="D137" s="105"/>
      <c r="E137" s="102"/>
      <c r="F137" s="102"/>
      <c r="G137" s="102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25" t="str">
        <f t="shared" si="10"/>
        <v/>
      </c>
      <c r="S137" s="126" t="str">
        <f t="shared" si="11"/>
        <v>-</v>
      </c>
      <c r="T137" s="126"/>
      <c r="U137" s="126"/>
      <c r="V137" s="126"/>
      <c r="W137" s="126"/>
      <c r="X137" s="126"/>
      <c r="Y137" s="126"/>
      <c r="Z137" s="126"/>
    </row>
    <row r="138" spans="1:29" ht="27" customHeight="1">
      <c r="A138" s="103"/>
      <c r="B138" s="104"/>
      <c r="C138" s="104"/>
      <c r="D138" s="105"/>
      <c r="E138" s="102"/>
      <c r="F138" s="102"/>
      <c r="G138" s="102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25" t="str">
        <f t="shared" si="10"/>
        <v/>
      </c>
      <c r="S138" s="126" t="str">
        <f t="shared" si="11"/>
        <v>-</v>
      </c>
      <c r="T138" s="126"/>
      <c r="U138" s="126"/>
      <c r="V138" s="126"/>
      <c r="W138" s="126"/>
      <c r="X138" s="126"/>
      <c r="Y138" s="126"/>
      <c r="Z138" s="126"/>
    </row>
    <row r="139" spans="1:29" ht="27" customHeight="1">
      <c r="A139" s="103"/>
      <c r="B139" s="104"/>
      <c r="C139" s="104"/>
      <c r="D139" s="105"/>
      <c r="E139" s="102"/>
      <c r="F139" s="102"/>
      <c r="G139" s="102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25" t="str">
        <f t="shared" si="10"/>
        <v/>
      </c>
      <c r="S139" s="126" t="str">
        <f t="shared" si="11"/>
        <v>-</v>
      </c>
      <c r="T139" s="126"/>
      <c r="U139" s="126"/>
      <c r="V139" s="126"/>
      <c r="W139" s="126"/>
      <c r="X139" s="126"/>
      <c r="Y139" s="126"/>
      <c r="Z139" s="126"/>
    </row>
    <row r="140" spans="1:29" ht="27" customHeight="1">
      <c r="A140" s="103"/>
      <c r="B140" s="104"/>
      <c r="C140" s="104"/>
      <c r="D140" s="105"/>
      <c r="E140" s="102"/>
      <c r="F140" s="102"/>
      <c r="G140" s="102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25" t="str">
        <f t="shared" si="10"/>
        <v/>
      </c>
      <c r="S140" s="126" t="str">
        <f t="shared" si="11"/>
        <v>-</v>
      </c>
      <c r="T140" s="126"/>
      <c r="U140" s="126"/>
      <c r="V140" s="126"/>
      <c r="W140" s="126"/>
      <c r="X140" s="126"/>
      <c r="Y140" s="126"/>
      <c r="Z140" s="126"/>
    </row>
    <row r="141" spans="1:29" ht="27" customHeight="1">
      <c r="A141" s="103"/>
      <c r="B141" s="104"/>
      <c r="C141" s="104"/>
      <c r="D141" s="105"/>
      <c r="E141" s="102"/>
      <c r="F141" s="102"/>
      <c r="G141" s="102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25" t="str">
        <f t="shared" si="10"/>
        <v/>
      </c>
      <c r="S141" s="126" t="str">
        <f t="shared" si="11"/>
        <v>-</v>
      </c>
      <c r="T141" s="126"/>
      <c r="U141" s="126"/>
      <c r="V141" s="126"/>
      <c r="W141" s="126"/>
      <c r="X141" s="126"/>
      <c r="Y141" s="126"/>
      <c r="Z141" s="126"/>
    </row>
    <row r="142" spans="1:29" ht="27" customHeight="1">
      <c r="A142" s="103"/>
      <c r="B142" s="104"/>
      <c r="C142" s="104"/>
      <c r="D142" s="105"/>
      <c r="E142" s="102"/>
      <c r="F142" s="102"/>
      <c r="G142" s="102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25" t="str">
        <f t="shared" si="10"/>
        <v/>
      </c>
      <c r="S142" s="126" t="str">
        <f t="shared" si="11"/>
        <v>-</v>
      </c>
      <c r="T142" s="126"/>
      <c r="U142" s="126"/>
      <c r="V142" s="126"/>
      <c r="W142" s="126"/>
      <c r="X142" s="126"/>
      <c r="Y142" s="126"/>
      <c r="Z142" s="126"/>
    </row>
    <row r="143" spans="1:29" ht="27" customHeight="1">
      <c r="A143" s="103"/>
      <c r="B143" s="104"/>
      <c r="C143" s="104"/>
      <c r="D143" s="105"/>
      <c r="E143" s="102"/>
      <c r="F143" s="102"/>
      <c r="G143" s="102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25" t="str">
        <f t="shared" si="10"/>
        <v/>
      </c>
      <c r="S143" s="126" t="str">
        <f t="shared" si="11"/>
        <v>-</v>
      </c>
      <c r="T143" s="126"/>
      <c r="U143" s="126"/>
      <c r="V143" s="126"/>
      <c r="W143" s="126"/>
      <c r="X143" s="126"/>
      <c r="Y143" s="126"/>
      <c r="Z143" s="126"/>
    </row>
    <row r="144" spans="1:29" ht="27" customHeight="1">
      <c r="A144" s="103"/>
      <c r="B144" s="104"/>
      <c r="C144" s="104"/>
      <c r="D144" s="105"/>
      <c r="E144" s="102"/>
      <c r="F144" s="102"/>
      <c r="G144" s="102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25" t="str">
        <f t="shared" si="10"/>
        <v/>
      </c>
      <c r="S144" s="126" t="str">
        <f t="shared" si="11"/>
        <v>-</v>
      </c>
      <c r="T144" s="126"/>
      <c r="U144" s="126"/>
      <c r="V144" s="126"/>
      <c r="W144" s="126"/>
      <c r="X144" s="126"/>
      <c r="Y144" s="126"/>
      <c r="Z144" s="126"/>
    </row>
    <row r="145" spans="1:29" ht="27" customHeight="1">
      <c r="A145" s="103"/>
      <c r="B145" s="104"/>
      <c r="C145" s="104"/>
      <c r="D145" s="105"/>
      <c r="E145" s="102"/>
      <c r="F145" s="102"/>
      <c r="G145" s="102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25" t="str">
        <f t="shared" si="10"/>
        <v/>
      </c>
      <c r="S145" s="126" t="str">
        <f t="shared" si="11"/>
        <v>-</v>
      </c>
      <c r="T145" s="126"/>
      <c r="U145" s="126"/>
      <c r="V145" s="126"/>
      <c r="W145" s="126"/>
      <c r="X145" s="126"/>
      <c r="Y145" s="126"/>
      <c r="Z145" s="126"/>
    </row>
    <row r="146" spans="1:29" ht="27" customHeight="1">
      <c r="A146" s="103"/>
      <c r="B146" s="104"/>
      <c r="C146" s="104"/>
      <c r="D146" s="105"/>
      <c r="E146" s="102"/>
      <c r="F146" s="102"/>
      <c r="G146" s="102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25" t="str">
        <f t="shared" si="10"/>
        <v/>
      </c>
      <c r="S146" s="126" t="str">
        <f t="shared" si="11"/>
        <v>-</v>
      </c>
      <c r="T146" s="126"/>
      <c r="U146" s="126"/>
      <c r="V146" s="126"/>
      <c r="W146" s="126"/>
      <c r="X146" s="126"/>
      <c r="Y146" s="126"/>
      <c r="Z146" s="126"/>
    </row>
    <row r="147" spans="1:29" ht="27" customHeight="1">
      <c r="A147" s="103"/>
      <c r="B147" s="104"/>
      <c r="C147" s="104"/>
      <c r="D147" s="105"/>
      <c r="E147" s="102"/>
      <c r="F147" s="102"/>
      <c r="G147" s="102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25" t="str">
        <f t="shared" si="10"/>
        <v/>
      </c>
      <c r="S147" s="126" t="str">
        <f t="shared" si="11"/>
        <v>-</v>
      </c>
      <c r="T147" s="126"/>
      <c r="U147" s="126"/>
      <c r="V147" s="126"/>
      <c r="W147" s="126"/>
      <c r="X147" s="126"/>
      <c r="Y147" s="126"/>
      <c r="Z147" s="127"/>
    </row>
    <row r="148" spans="1:29" ht="27" customHeight="1">
      <c r="A148" s="103"/>
      <c r="B148" s="104"/>
      <c r="C148" s="104"/>
      <c r="D148" s="105"/>
      <c r="E148" s="102"/>
      <c r="F148" s="102"/>
      <c r="G148" s="102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25" t="str">
        <f t="shared" si="10"/>
        <v/>
      </c>
      <c r="S148" s="126" t="str">
        <f t="shared" si="11"/>
        <v>-</v>
      </c>
      <c r="T148" s="126"/>
      <c r="U148" s="126"/>
      <c r="V148" s="126"/>
      <c r="W148" s="126"/>
      <c r="X148" s="126"/>
      <c r="Y148" s="126"/>
      <c r="Z148" s="127"/>
    </row>
    <row r="149" spans="1:29" ht="27" customHeight="1">
      <c r="A149" s="103"/>
      <c r="B149" s="104"/>
      <c r="C149" s="104"/>
      <c r="D149" s="105"/>
      <c r="E149" s="102"/>
      <c r="F149" s="102"/>
      <c r="G149" s="102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25" t="str">
        <f t="shared" si="10"/>
        <v/>
      </c>
      <c r="S149" s="126" t="str">
        <f t="shared" si="11"/>
        <v>-</v>
      </c>
      <c r="T149" s="126"/>
      <c r="U149" s="126"/>
      <c r="V149" s="126"/>
      <c r="W149" s="126"/>
      <c r="X149" s="126"/>
      <c r="Y149" s="126"/>
      <c r="Z149" s="127"/>
    </row>
    <row r="150" spans="1:29" ht="27" customHeight="1">
      <c r="A150" s="103"/>
      <c r="B150" s="104"/>
      <c r="C150" s="104"/>
      <c r="D150" s="105"/>
      <c r="E150" s="102"/>
      <c r="F150" s="102"/>
      <c r="G150" s="102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25" t="str">
        <f t="shared" si="10"/>
        <v/>
      </c>
      <c r="S150" s="126" t="str">
        <f t="shared" si="11"/>
        <v>-</v>
      </c>
      <c r="T150" s="126"/>
      <c r="U150" s="126"/>
      <c r="V150" s="126"/>
      <c r="W150" s="126"/>
      <c r="X150" s="126"/>
      <c r="Y150" s="126"/>
      <c r="Z150" s="127"/>
    </row>
    <row r="151" spans="1:29" ht="27" customHeight="1">
      <c r="A151" s="103"/>
      <c r="B151" s="104"/>
      <c r="C151" s="104"/>
      <c r="D151" s="105"/>
      <c r="E151" s="102"/>
      <c r="F151" s="102"/>
      <c r="G151" s="102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25" t="str">
        <f t="shared" si="10"/>
        <v/>
      </c>
      <c r="S151" s="126" t="str">
        <f t="shared" si="11"/>
        <v>-</v>
      </c>
      <c r="T151" s="126"/>
      <c r="U151" s="126"/>
      <c r="V151" s="126"/>
      <c r="W151" s="126"/>
      <c r="X151" s="126"/>
      <c r="Y151" s="126"/>
      <c r="Z151" s="141"/>
      <c r="AA151" s="126"/>
      <c r="AB151" s="126"/>
      <c r="AC151" s="126"/>
    </row>
    <row r="152" spans="1:29" ht="27" customHeight="1">
      <c r="A152" s="103"/>
      <c r="B152" s="104"/>
      <c r="C152" s="104"/>
      <c r="D152" s="105"/>
      <c r="E152" s="102"/>
      <c r="F152" s="102"/>
      <c r="G152" s="102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25" t="str">
        <f t="shared" si="10"/>
        <v/>
      </c>
      <c r="S152" s="126"/>
      <c r="T152" s="126"/>
      <c r="U152" s="126"/>
      <c r="V152" s="126"/>
      <c r="W152" s="126"/>
      <c r="X152" s="126"/>
      <c r="Y152" s="126"/>
      <c r="Z152" s="141"/>
      <c r="AA152" s="126"/>
      <c r="AB152" s="126"/>
      <c r="AC152" s="126"/>
    </row>
    <row r="153" spans="1:29" ht="27" customHeight="1">
      <c r="A153" s="103"/>
      <c r="B153" s="104"/>
      <c r="C153" s="104"/>
      <c r="D153" s="105"/>
      <c r="E153" s="102"/>
      <c r="F153" s="102"/>
      <c r="G153" s="102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25" t="str">
        <f t="shared" si="10"/>
        <v/>
      </c>
      <c r="S153" s="126" t="str">
        <f>IF(E153&gt;=F153,"-","ERR")</f>
        <v>-</v>
      </c>
      <c r="T153" s="126"/>
      <c r="U153" s="126"/>
      <c r="V153" s="126"/>
      <c r="W153" s="126"/>
      <c r="X153" s="126"/>
      <c r="Y153" s="126"/>
      <c r="Z153" s="126"/>
    </row>
    <row r="154" spans="1:29" ht="27" customHeight="1">
      <c r="A154" s="103"/>
      <c r="B154" s="104"/>
      <c r="C154" s="104"/>
      <c r="D154" s="105"/>
      <c r="E154" s="102"/>
      <c r="F154" s="102"/>
      <c r="G154" s="102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25" t="str">
        <f t="shared" si="10"/>
        <v/>
      </c>
      <c r="S154" s="126" t="str">
        <f t="shared" ref="S154:S172" si="12">IF(E154&gt;=F154,"-","ERR")</f>
        <v>-</v>
      </c>
      <c r="T154" s="126"/>
      <c r="U154" s="126"/>
      <c r="V154" s="126"/>
      <c r="W154" s="126"/>
      <c r="X154" s="126"/>
      <c r="Y154" s="126"/>
      <c r="Z154" s="126"/>
    </row>
    <row r="155" spans="1:29" ht="27" customHeight="1">
      <c r="A155" s="103"/>
      <c r="B155" s="104"/>
      <c r="C155" s="104"/>
      <c r="D155" s="105"/>
      <c r="E155" s="102"/>
      <c r="F155" s="102"/>
      <c r="G155" s="102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25" t="str">
        <f t="shared" si="10"/>
        <v/>
      </c>
      <c r="S155" s="126" t="str">
        <f t="shared" si="12"/>
        <v>-</v>
      </c>
      <c r="T155" s="126"/>
      <c r="U155" s="126"/>
      <c r="V155" s="126"/>
      <c r="W155" s="126"/>
      <c r="X155" s="126"/>
      <c r="Y155" s="126"/>
      <c r="Z155" s="126"/>
    </row>
    <row r="156" spans="1:29" ht="27" customHeight="1">
      <c r="A156" s="103"/>
      <c r="B156" s="104"/>
      <c r="C156" s="104"/>
      <c r="D156" s="105"/>
      <c r="E156" s="102"/>
      <c r="F156" s="102"/>
      <c r="G156" s="102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25" t="str">
        <f t="shared" si="10"/>
        <v/>
      </c>
      <c r="S156" s="126" t="str">
        <f t="shared" si="12"/>
        <v>-</v>
      </c>
      <c r="T156" s="126"/>
      <c r="U156" s="126"/>
      <c r="V156" s="126"/>
      <c r="W156" s="126"/>
      <c r="X156" s="126"/>
      <c r="Y156" s="126"/>
      <c r="Z156" s="126"/>
    </row>
    <row r="157" spans="1:29" ht="27" customHeight="1">
      <c r="A157" s="103"/>
      <c r="B157" s="104"/>
      <c r="C157" s="104"/>
      <c r="D157" s="105"/>
      <c r="E157" s="102"/>
      <c r="F157" s="102"/>
      <c r="G157" s="102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25" t="str">
        <f t="shared" si="10"/>
        <v/>
      </c>
      <c r="S157" s="126" t="str">
        <f t="shared" si="12"/>
        <v>-</v>
      </c>
      <c r="T157" s="126"/>
      <c r="U157" s="126"/>
      <c r="V157" s="126"/>
      <c r="W157" s="126"/>
      <c r="X157" s="126"/>
      <c r="Y157" s="126"/>
      <c r="Z157" s="126"/>
    </row>
    <row r="158" spans="1:29" ht="27" customHeight="1">
      <c r="A158" s="103"/>
      <c r="B158" s="104"/>
      <c r="C158" s="104"/>
      <c r="D158" s="105"/>
      <c r="E158" s="102"/>
      <c r="F158" s="102"/>
      <c r="G158" s="102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25" t="str">
        <f t="shared" si="10"/>
        <v/>
      </c>
      <c r="S158" s="126" t="str">
        <f t="shared" si="12"/>
        <v>-</v>
      </c>
      <c r="T158" s="126"/>
      <c r="U158" s="126"/>
      <c r="V158" s="126"/>
      <c r="W158" s="126"/>
      <c r="X158" s="126"/>
      <c r="Y158" s="126"/>
      <c r="Z158" s="126"/>
    </row>
    <row r="159" spans="1:29" ht="27" customHeight="1">
      <c r="A159" s="103"/>
      <c r="B159" s="104"/>
      <c r="C159" s="104"/>
      <c r="D159" s="105"/>
      <c r="E159" s="102"/>
      <c r="F159" s="102"/>
      <c r="G159" s="102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25" t="str">
        <f t="shared" si="10"/>
        <v/>
      </c>
      <c r="S159" s="126" t="str">
        <f t="shared" si="12"/>
        <v>-</v>
      </c>
      <c r="T159" s="126"/>
      <c r="U159" s="126"/>
      <c r="V159" s="126"/>
      <c r="W159" s="126"/>
      <c r="X159" s="126"/>
      <c r="Y159" s="126"/>
      <c r="Z159" s="126"/>
    </row>
    <row r="160" spans="1:29" ht="27" customHeight="1">
      <c r="A160" s="103"/>
      <c r="B160" s="104"/>
      <c r="C160" s="104"/>
      <c r="D160" s="105"/>
      <c r="E160" s="102"/>
      <c r="F160" s="102"/>
      <c r="G160" s="102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25" t="str">
        <f t="shared" si="10"/>
        <v/>
      </c>
      <c r="S160" s="126" t="str">
        <f t="shared" si="12"/>
        <v>-</v>
      </c>
      <c r="T160" s="126"/>
      <c r="U160" s="126"/>
      <c r="V160" s="126"/>
      <c r="W160" s="126"/>
      <c r="X160" s="126"/>
      <c r="Y160" s="126"/>
      <c r="Z160" s="126"/>
    </row>
    <row r="161" spans="1:29" ht="27" customHeight="1">
      <c r="A161" s="103"/>
      <c r="B161" s="104"/>
      <c r="C161" s="104"/>
      <c r="D161" s="105"/>
      <c r="E161" s="102"/>
      <c r="F161" s="102"/>
      <c r="G161" s="102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25" t="str">
        <f t="shared" si="10"/>
        <v/>
      </c>
      <c r="S161" s="126" t="str">
        <f t="shared" si="12"/>
        <v>-</v>
      </c>
      <c r="T161" s="126"/>
      <c r="U161" s="126"/>
      <c r="V161" s="126"/>
      <c r="W161" s="126"/>
      <c r="X161" s="126"/>
      <c r="Y161" s="126"/>
      <c r="Z161" s="126"/>
    </row>
    <row r="162" spans="1:29" ht="27" customHeight="1">
      <c r="A162" s="103"/>
      <c r="B162" s="104"/>
      <c r="C162" s="104"/>
      <c r="D162" s="105"/>
      <c r="E162" s="102"/>
      <c r="F162" s="102"/>
      <c r="G162" s="102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25" t="str">
        <f t="shared" si="10"/>
        <v/>
      </c>
      <c r="S162" s="126" t="str">
        <f t="shared" si="12"/>
        <v>-</v>
      </c>
      <c r="T162" s="126"/>
      <c r="U162" s="126"/>
      <c r="V162" s="126"/>
      <c r="W162" s="126"/>
      <c r="X162" s="126"/>
      <c r="Y162" s="126"/>
      <c r="Z162" s="126"/>
    </row>
    <row r="163" spans="1:29" ht="27" customHeight="1">
      <c r="A163" s="103"/>
      <c r="B163" s="104"/>
      <c r="C163" s="104"/>
      <c r="D163" s="105"/>
      <c r="E163" s="102"/>
      <c r="F163" s="102"/>
      <c r="G163" s="102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25" t="str">
        <f t="shared" si="10"/>
        <v/>
      </c>
      <c r="S163" s="126" t="str">
        <f t="shared" si="12"/>
        <v>-</v>
      </c>
      <c r="T163" s="126"/>
      <c r="U163" s="126"/>
      <c r="V163" s="126"/>
      <c r="W163" s="126"/>
      <c r="X163" s="126"/>
      <c r="Y163" s="126"/>
      <c r="Z163" s="126"/>
    </row>
    <row r="164" spans="1:29" ht="27" customHeight="1">
      <c r="A164" s="103"/>
      <c r="B164" s="104"/>
      <c r="C164" s="104"/>
      <c r="D164" s="105"/>
      <c r="E164" s="102"/>
      <c r="F164" s="102"/>
      <c r="G164" s="102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25" t="str">
        <f t="shared" si="10"/>
        <v/>
      </c>
      <c r="S164" s="126" t="str">
        <f t="shared" si="12"/>
        <v>-</v>
      </c>
      <c r="T164" s="126"/>
      <c r="U164" s="126"/>
      <c r="V164" s="126"/>
      <c r="W164" s="126"/>
      <c r="X164" s="126"/>
      <c r="Y164" s="126"/>
      <c r="Z164" s="126"/>
    </row>
    <row r="165" spans="1:29" ht="27" customHeight="1">
      <c r="A165" s="103"/>
      <c r="B165" s="104"/>
      <c r="C165" s="104"/>
      <c r="D165" s="105"/>
      <c r="E165" s="102"/>
      <c r="F165" s="102"/>
      <c r="G165" s="102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25" t="str">
        <f t="shared" si="10"/>
        <v/>
      </c>
      <c r="S165" s="126" t="str">
        <f t="shared" si="12"/>
        <v>-</v>
      </c>
      <c r="T165" s="126"/>
      <c r="U165" s="126"/>
      <c r="V165" s="126"/>
      <c r="W165" s="126"/>
      <c r="X165" s="126"/>
      <c r="Y165" s="126"/>
      <c r="Z165" s="126"/>
    </row>
    <row r="166" spans="1:29" ht="27" customHeight="1">
      <c r="A166" s="103"/>
      <c r="B166" s="104"/>
      <c r="C166" s="104"/>
      <c r="D166" s="105"/>
      <c r="E166" s="102"/>
      <c r="F166" s="102"/>
      <c r="G166" s="102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25" t="str">
        <f t="shared" si="10"/>
        <v/>
      </c>
      <c r="S166" s="126" t="str">
        <f t="shared" si="12"/>
        <v>-</v>
      </c>
      <c r="T166" s="126"/>
      <c r="U166" s="126"/>
      <c r="V166" s="126"/>
      <c r="W166" s="126"/>
      <c r="X166" s="126"/>
      <c r="Y166" s="126"/>
      <c r="Z166" s="126"/>
    </row>
    <row r="167" spans="1:29" ht="27" customHeight="1">
      <c r="A167" s="103"/>
      <c r="B167" s="104"/>
      <c r="C167" s="104"/>
      <c r="D167" s="105"/>
      <c r="E167" s="102"/>
      <c r="F167" s="102"/>
      <c r="G167" s="102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25" t="str">
        <f t="shared" si="10"/>
        <v/>
      </c>
      <c r="S167" s="126" t="str">
        <f t="shared" si="12"/>
        <v>-</v>
      </c>
      <c r="T167" s="126"/>
      <c r="U167" s="126"/>
      <c r="V167" s="126"/>
      <c r="W167" s="126"/>
      <c r="X167" s="126"/>
      <c r="Y167" s="126"/>
      <c r="Z167" s="126"/>
    </row>
    <row r="168" spans="1:29" ht="27" customHeight="1">
      <c r="A168" s="103"/>
      <c r="B168" s="104"/>
      <c r="C168" s="104"/>
      <c r="D168" s="105"/>
      <c r="E168" s="102"/>
      <c r="F168" s="102"/>
      <c r="G168" s="102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25" t="str">
        <f t="shared" si="10"/>
        <v/>
      </c>
      <c r="S168" s="126" t="str">
        <f t="shared" si="12"/>
        <v>-</v>
      </c>
      <c r="T168" s="126"/>
      <c r="U168" s="126"/>
      <c r="V168" s="126"/>
      <c r="W168" s="126"/>
      <c r="X168" s="126"/>
      <c r="Y168" s="126"/>
      <c r="Z168" s="127"/>
    </row>
    <row r="169" spans="1:29" ht="27" customHeight="1">
      <c r="A169" s="103"/>
      <c r="B169" s="104"/>
      <c r="C169" s="104"/>
      <c r="D169" s="105"/>
      <c r="E169" s="102"/>
      <c r="F169" s="102"/>
      <c r="G169" s="102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25" t="str">
        <f t="shared" si="10"/>
        <v/>
      </c>
      <c r="S169" s="126" t="str">
        <f t="shared" si="12"/>
        <v>-</v>
      </c>
      <c r="T169" s="126"/>
      <c r="U169" s="126"/>
      <c r="V169" s="126"/>
      <c r="W169" s="126"/>
      <c r="X169" s="126"/>
      <c r="Y169" s="126"/>
      <c r="Z169" s="127"/>
    </row>
    <row r="170" spans="1:29" ht="27" customHeight="1">
      <c r="A170" s="103"/>
      <c r="B170" s="104"/>
      <c r="C170" s="104"/>
      <c r="D170" s="105"/>
      <c r="E170" s="102"/>
      <c r="F170" s="102"/>
      <c r="G170" s="102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25" t="str">
        <f t="shared" si="10"/>
        <v/>
      </c>
      <c r="S170" s="126" t="str">
        <f t="shared" si="12"/>
        <v>-</v>
      </c>
      <c r="T170" s="126"/>
      <c r="U170" s="126"/>
      <c r="V170" s="126"/>
      <c r="W170" s="126"/>
      <c r="X170" s="126"/>
      <c r="Y170" s="126"/>
      <c r="Z170" s="127"/>
    </row>
    <row r="171" spans="1:29" ht="27" customHeight="1">
      <c r="A171" s="103"/>
      <c r="B171" s="104"/>
      <c r="C171" s="104"/>
      <c r="D171" s="105"/>
      <c r="E171" s="102"/>
      <c r="F171" s="102"/>
      <c r="G171" s="102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25" t="str">
        <f t="shared" si="10"/>
        <v/>
      </c>
      <c r="S171" s="126" t="str">
        <f t="shared" si="12"/>
        <v>-</v>
      </c>
      <c r="T171" s="126"/>
      <c r="U171" s="126"/>
      <c r="V171" s="126"/>
      <c r="W171" s="126"/>
      <c r="X171" s="126"/>
      <c r="Y171" s="126"/>
      <c r="Z171" s="127"/>
    </row>
    <row r="172" spans="1:29" ht="27" customHeight="1">
      <c r="A172" s="103"/>
      <c r="B172" s="104"/>
      <c r="C172" s="104"/>
      <c r="D172" s="105"/>
      <c r="E172" s="102"/>
      <c r="F172" s="102"/>
      <c r="G172" s="102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25" t="str">
        <f t="shared" si="10"/>
        <v/>
      </c>
      <c r="S172" s="126" t="str">
        <f t="shared" si="12"/>
        <v>-</v>
      </c>
      <c r="T172" s="126"/>
      <c r="U172" s="126"/>
      <c r="V172" s="126"/>
      <c r="W172" s="126"/>
      <c r="X172" s="126"/>
      <c r="Y172" s="126"/>
      <c r="Z172" s="141"/>
      <c r="AA172" s="126"/>
      <c r="AB172" s="126"/>
      <c r="AC172" s="126"/>
    </row>
    <row r="173" spans="1:29" ht="27" customHeight="1">
      <c r="A173" s="103"/>
      <c r="B173" s="104"/>
      <c r="C173" s="104"/>
      <c r="D173" s="105"/>
      <c r="E173" s="102"/>
      <c r="F173" s="102"/>
      <c r="G173" s="102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25" t="str">
        <f t="shared" si="10"/>
        <v/>
      </c>
      <c r="S173" s="126"/>
      <c r="T173" s="126"/>
      <c r="U173" s="126"/>
      <c r="V173" s="126"/>
      <c r="W173" s="126"/>
      <c r="X173" s="126"/>
      <c r="Y173" s="126"/>
      <c r="Z173" s="141"/>
      <c r="AA173" s="126"/>
      <c r="AB173" s="126"/>
      <c r="AC173" s="126"/>
    </row>
    <row r="174" spans="1:29" ht="27" customHeight="1">
      <c r="A174" s="103"/>
      <c r="B174" s="104"/>
      <c r="C174" s="104"/>
      <c r="D174" s="105"/>
      <c r="E174" s="102"/>
      <c r="F174" s="102"/>
      <c r="G174" s="102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25" t="str">
        <f t="shared" si="10"/>
        <v/>
      </c>
      <c r="S174" s="126" t="str">
        <f>IF(E174&gt;=F174,"-","ERR")</f>
        <v>-</v>
      </c>
      <c r="T174" s="126"/>
      <c r="U174" s="126"/>
      <c r="V174" s="126"/>
      <c r="W174" s="126"/>
      <c r="X174" s="126"/>
      <c r="Y174" s="126"/>
      <c r="Z174" s="126"/>
    </row>
    <row r="175" spans="1:29" ht="27" customHeight="1">
      <c r="A175" s="103"/>
      <c r="B175" s="104"/>
      <c r="C175" s="104"/>
      <c r="D175" s="105"/>
      <c r="E175" s="102"/>
      <c r="F175" s="102"/>
      <c r="G175" s="102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25" t="str">
        <f t="shared" si="10"/>
        <v/>
      </c>
      <c r="S175" s="126" t="str">
        <f t="shared" ref="S175:S193" si="13">IF(E175&gt;=F175,"-","ERR")</f>
        <v>-</v>
      </c>
      <c r="T175" s="126"/>
      <c r="U175" s="126"/>
      <c r="V175" s="126"/>
      <c r="W175" s="126"/>
      <c r="X175" s="126"/>
      <c r="Y175" s="126"/>
      <c r="Z175" s="126"/>
    </row>
    <row r="176" spans="1:29" ht="27" customHeight="1">
      <c r="A176" s="103"/>
      <c r="B176" s="104"/>
      <c r="C176" s="104"/>
      <c r="D176" s="105"/>
      <c r="E176" s="102"/>
      <c r="F176" s="102"/>
      <c r="G176" s="102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25" t="str">
        <f t="shared" si="10"/>
        <v/>
      </c>
      <c r="S176" s="126" t="str">
        <f t="shared" si="13"/>
        <v>-</v>
      </c>
      <c r="T176" s="126"/>
      <c r="U176" s="126"/>
      <c r="V176" s="126"/>
      <c r="W176" s="126"/>
      <c r="X176" s="126"/>
      <c r="Y176" s="126"/>
      <c r="Z176" s="126"/>
    </row>
    <row r="177" spans="1:26" ht="27" customHeight="1">
      <c r="A177" s="103"/>
      <c r="B177" s="104"/>
      <c r="C177" s="104"/>
      <c r="D177" s="105"/>
      <c r="E177" s="102"/>
      <c r="F177" s="102"/>
      <c r="G177" s="102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25" t="str">
        <f t="shared" si="10"/>
        <v/>
      </c>
      <c r="S177" s="126" t="str">
        <f t="shared" si="13"/>
        <v>-</v>
      </c>
      <c r="T177" s="126"/>
      <c r="U177" s="126"/>
      <c r="V177" s="126"/>
      <c r="W177" s="126"/>
      <c r="X177" s="126"/>
      <c r="Y177" s="126"/>
      <c r="Z177" s="126"/>
    </row>
    <row r="178" spans="1:26" ht="27" customHeight="1">
      <c r="A178" s="103"/>
      <c r="B178" s="104"/>
      <c r="C178" s="104"/>
      <c r="D178" s="105"/>
      <c r="E178" s="102"/>
      <c r="F178" s="102"/>
      <c r="G178" s="102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25" t="str">
        <f t="shared" si="10"/>
        <v/>
      </c>
      <c r="S178" s="126" t="str">
        <f t="shared" si="13"/>
        <v>-</v>
      </c>
      <c r="T178" s="126"/>
      <c r="U178" s="126"/>
      <c r="V178" s="126"/>
      <c r="W178" s="126"/>
      <c r="X178" s="126"/>
      <c r="Y178" s="126"/>
      <c r="Z178" s="126"/>
    </row>
    <row r="179" spans="1:26" ht="27" customHeight="1">
      <c r="A179" s="103"/>
      <c r="B179" s="104"/>
      <c r="C179" s="104"/>
      <c r="D179" s="105"/>
      <c r="E179" s="102"/>
      <c r="F179" s="102"/>
      <c r="G179" s="102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25" t="str">
        <f t="shared" si="10"/>
        <v/>
      </c>
      <c r="S179" s="126" t="str">
        <f t="shared" si="13"/>
        <v>-</v>
      </c>
      <c r="T179" s="126"/>
      <c r="U179" s="126"/>
      <c r="V179" s="126"/>
      <c r="W179" s="126"/>
      <c r="X179" s="126"/>
      <c r="Y179" s="126"/>
      <c r="Z179" s="126"/>
    </row>
    <row r="180" spans="1:26" ht="27" customHeight="1">
      <c r="A180" s="103"/>
      <c r="B180" s="104"/>
      <c r="C180" s="104"/>
      <c r="D180" s="105"/>
      <c r="E180" s="102"/>
      <c r="F180" s="102"/>
      <c r="G180" s="102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25" t="str">
        <f t="shared" si="10"/>
        <v/>
      </c>
      <c r="S180" s="126" t="str">
        <f t="shared" si="13"/>
        <v>-</v>
      </c>
      <c r="T180" s="126"/>
      <c r="U180" s="126"/>
      <c r="V180" s="126"/>
      <c r="W180" s="126"/>
      <c r="X180" s="126"/>
      <c r="Y180" s="126"/>
      <c r="Z180" s="126"/>
    </row>
    <row r="181" spans="1:26" ht="27" customHeight="1">
      <c r="A181" s="103"/>
      <c r="B181" s="104"/>
      <c r="C181" s="104"/>
      <c r="D181" s="105"/>
      <c r="E181" s="102"/>
      <c r="F181" s="102"/>
      <c r="G181" s="102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25" t="str">
        <f t="shared" si="10"/>
        <v/>
      </c>
      <c r="S181" s="126" t="str">
        <f t="shared" si="13"/>
        <v>-</v>
      </c>
      <c r="T181" s="126"/>
      <c r="U181" s="126"/>
      <c r="V181" s="126"/>
      <c r="W181" s="126"/>
      <c r="X181" s="126"/>
      <c r="Y181" s="126"/>
      <c r="Z181" s="126"/>
    </row>
    <row r="182" spans="1:26" ht="27" customHeight="1">
      <c r="A182" s="103"/>
      <c r="B182" s="104"/>
      <c r="C182" s="104"/>
      <c r="D182" s="105"/>
      <c r="E182" s="102"/>
      <c r="F182" s="102"/>
      <c r="G182" s="102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25" t="str">
        <f t="shared" si="10"/>
        <v/>
      </c>
      <c r="S182" s="126" t="str">
        <f t="shared" si="13"/>
        <v>-</v>
      </c>
      <c r="T182" s="126"/>
      <c r="U182" s="126"/>
      <c r="V182" s="126"/>
      <c r="W182" s="126"/>
      <c r="X182" s="126"/>
      <c r="Y182" s="126"/>
      <c r="Z182" s="126"/>
    </row>
    <row r="183" spans="1:26" ht="27" customHeight="1">
      <c r="A183" s="103"/>
      <c r="B183" s="104"/>
      <c r="C183" s="104"/>
      <c r="D183" s="105"/>
      <c r="E183" s="102"/>
      <c r="F183" s="102"/>
      <c r="G183" s="102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25" t="str">
        <f t="shared" si="10"/>
        <v/>
      </c>
      <c r="S183" s="126" t="str">
        <f t="shared" si="13"/>
        <v>-</v>
      </c>
      <c r="T183" s="126"/>
      <c r="U183" s="126"/>
      <c r="V183" s="126"/>
      <c r="W183" s="126"/>
      <c r="X183" s="126"/>
      <c r="Y183" s="126"/>
      <c r="Z183" s="126"/>
    </row>
    <row r="184" spans="1:26" ht="27" customHeight="1">
      <c r="A184" s="103"/>
      <c r="B184" s="104"/>
      <c r="C184" s="104"/>
      <c r="D184" s="105"/>
      <c r="E184" s="102"/>
      <c r="F184" s="102"/>
      <c r="G184" s="102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25" t="str">
        <f t="shared" si="10"/>
        <v/>
      </c>
      <c r="S184" s="126" t="str">
        <f t="shared" si="13"/>
        <v>-</v>
      </c>
      <c r="T184" s="126"/>
      <c r="U184" s="126"/>
      <c r="V184" s="126"/>
      <c r="W184" s="126"/>
      <c r="X184" s="126"/>
      <c r="Y184" s="126"/>
      <c r="Z184" s="126"/>
    </row>
    <row r="185" spans="1:26" ht="27" customHeight="1">
      <c r="A185" s="103"/>
      <c r="B185" s="104"/>
      <c r="C185" s="104"/>
      <c r="D185" s="105"/>
      <c r="E185" s="102"/>
      <c r="F185" s="102"/>
      <c r="G185" s="102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25" t="str">
        <f t="shared" si="10"/>
        <v/>
      </c>
      <c r="S185" s="126" t="str">
        <f t="shared" si="13"/>
        <v>-</v>
      </c>
      <c r="T185" s="126"/>
      <c r="U185" s="126"/>
      <c r="V185" s="126"/>
      <c r="W185" s="126"/>
      <c r="X185" s="126"/>
      <c r="Y185" s="126"/>
      <c r="Z185" s="126"/>
    </row>
    <row r="186" spans="1:26" ht="27" customHeight="1">
      <c r="A186" s="103"/>
      <c r="B186" s="104"/>
      <c r="C186" s="104"/>
      <c r="D186" s="105"/>
      <c r="E186" s="102"/>
      <c r="F186" s="102"/>
      <c r="G186" s="102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25" t="str">
        <f t="shared" si="10"/>
        <v/>
      </c>
      <c r="S186" s="126" t="str">
        <f t="shared" si="13"/>
        <v>-</v>
      </c>
      <c r="T186" s="126"/>
      <c r="U186" s="126"/>
      <c r="V186" s="126"/>
      <c r="W186" s="126"/>
      <c r="X186" s="126"/>
      <c r="Y186" s="126"/>
      <c r="Z186" s="126"/>
    </row>
    <row r="187" spans="1:26" ht="27" customHeight="1">
      <c r="A187" s="103"/>
      <c r="B187" s="104"/>
      <c r="C187" s="104"/>
      <c r="D187" s="105"/>
      <c r="E187" s="102"/>
      <c r="F187" s="102"/>
      <c r="G187" s="102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25" t="str">
        <f t="shared" ref="R187:R232" si="14">CONCATENATE(D187,J187)</f>
        <v/>
      </c>
      <c r="S187" s="126" t="str">
        <f t="shared" si="13"/>
        <v>-</v>
      </c>
      <c r="T187" s="126"/>
      <c r="U187" s="126"/>
      <c r="V187" s="126"/>
      <c r="W187" s="126"/>
      <c r="X187" s="126"/>
      <c r="Y187" s="126"/>
      <c r="Z187" s="126"/>
    </row>
    <row r="188" spans="1:26" ht="27" customHeight="1">
      <c r="A188" s="103"/>
      <c r="B188" s="104"/>
      <c r="C188" s="104"/>
      <c r="D188" s="105"/>
      <c r="E188" s="102"/>
      <c r="F188" s="102"/>
      <c r="G188" s="102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25" t="str">
        <f t="shared" si="14"/>
        <v/>
      </c>
      <c r="S188" s="126" t="str">
        <f t="shared" si="13"/>
        <v>-</v>
      </c>
      <c r="T188" s="126"/>
      <c r="U188" s="126"/>
      <c r="V188" s="126"/>
      <c r="W188" s="126"/>
      <c r="X188" s="126"/>
      <c r="Y188" s="126"/>
      <c r="Z188" s="126"/>
    </row>
    <row r="189" spans="1:26" ht="27" customHeight="1">
      <c r="A189" s="103"/>
      <c r="B189" s="104"/>
      <c r="C189" s="104"/>
      <c r="D189" s="105"/>
      <c r="E189" s="102"/>
      <c r="F189" s="102"/>
      <c r="G189" s="102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25" t="str">
        <f t="shared" si="14"/>
        <v/>
      </c>
      <c r="S189" s="126" t="str">
        <f t="shared" si="13"/>
        <v>-</v>
      </c>
      <c r="T189" s="126"/>
      <c r="U189" s="126"/>
      <c r="V189" s="126"/>
      <c r="W189" s="126"/>
      <c r="X189" s="126"/>
      <c r="Y189" s="126"/>
      <c r="Z189" s="127"/>
    </row>
    <row r="190" spans="1:26" ht="27" customHeight="1">
      <c r="A190" s="103"/>
      <c r="B190" s="104"/>
      <c r="C190" s="104"/>
      <c r="D190" s="105"/>
      <c r="E190" s="102"/>
      <c r="F190" s="102"/>
      <c r="G190" s="102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25" t="str">
        <f t="shared" si="14"/>
        <v/>
      </c>
      <c r="S190" s="126" t="str">
        <f t="shared" si="13"/>
        <v>-</v>
      </c>
      <c r="T190" s="126"/>
      <c r="U190" s="126"/>
      <c r="V190" s="126"/>
      <c r="W190" s="126"/>
      <c r="X190" s="126"/>
      <c r="Y190" s="126"/>
      <c r="Z190" s="127"/>
    </row>
    <row r="191" spans="1:26" ht="27" customHeight="1">
      <c r="A191" s="103"/>
      <c r="B191" s="104"/>
      <c r="C191" s="104"/>
      <c r="D191" s="105"/>
      <c r="E191" s="102"/>
      <c r="F191" s="102"/>
      <c r="G191" s="102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25" t="str">
        <f t="shared" si="14"/>
        <v/>
      </c>
      <c r="S191" s="126" t="str">
        <f t="shared" si="13"/>
        <v>-</v>
      </c>
      <c r="T191" s="126"/>
      <c r="U191" s="126"/>
      <c r="V191" s="126"/>
      <c r="W191" s="126"/>
      <c r="X191" s="126"/>
      <c r="Y191" s="126"/>
      <c r="Z191" s="127"/>
    </row>
    <row r="192" spans="1:26" ht="27" customHeight="1">
      <c r="A192" s="103"/>
      <c r="B192" s="104"/>
      <c r="C192" s="104"/>
      <c r="D192" s="105"/>
      <c r="E192" s="102"/>
      <c r="F192" s="102"/>
      <c r="G192" s="102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25" t="str">
        <f t="shared" si="14"/>
        <v/>
      </c>
      <c r="S192" s="126" t="str">
        <f t="shared" si="13"/>
        <v>-</v>
      </c>
      <c r="T192" s="126"/>
      <c r="U192" s="126"/>
      <c r="V192" s="126"/>
      <c r="W192" s="126"/>
      <c r="X192" s="126"/>
      <c r="Y192" s="126"/>
      <c r="Z192" s="127"/>
    </row>
    <row r="193" spans="1:29" ht="27" customHeight="1">
      <c r="A193" s="103"/>
      <c r="B193" s="104"/>
      <c r="C193" s="104"/>
      <c r="D193" s="105"/>
      <c r="E193" s="102"/>
      <c r="F193" s="102"/>
      <c r="G193" s="102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25" t="str">
        <f t="shared" si="14"/>
        <v/>
      </c>
      <c r="S193" s="126" t="str">
        <f t="shared" si="13"/>
        <v>-</v>
      </c>
      <c r="T193" s="126"/>
      <c r="U193" s="126"/>
      <c r="V193" s="126"/>
      <c r="W193" s="126"/>
      <c r="X193" s="126"/>
      <c r="Y193" s="126"/>
      <c r="Z193" s="141"/>
      <c r="AA193" s="126"/>
      <c r="AB193" s="126"/>
      <c r="AC193" s="126"/>
    </row>
    <row r="194" spans="1:29" ht="27" customHeight="1">
      <c r="A194" s="103"/>
      <c r="B194" s="104"/>
      <c r="C194" s="104"/>
      <c r="D194" s="105"/>
      <c r="E194" s="102"/>
      <c r="F194" s="102"/>
      <c r="G194" s="102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25" t="str">
        <f t="shared" si="14"/>
        <v/>
      </c>
      <c r="S194" s="126"/>
      <c r="T194" s="126"/>
      <c r="U194" s="126"/>
      <c r="V194" s="126"/>
      <c r="W194" s="126"/>
      <c r="X194" s="126"/>
      <c r="Y194" s="126"/>
      <c r="Z194" s="141"/>
      <c r="AA194" s="126"/>
      <c r="AB194" s="126"/>
      <c r="AC194" s="126"/>
    </row>
    <row r="195" spans="1:29" ht="27" customHeight="1">
      <c r="A195" s="103"/>
      <c r="B195" s="104"/>
      <c r="C195" s="104"/>
      <c r="D195" s="105"/>
      <c r="E195" s="102"/>
      <c r="F195" s="102"/>
      <c r="G195" s="102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25" t="str">
        <f t="shared" si="14"/>
        <v/>
      </c>
      <c r="S195" s="126" t="str">
        <f>IF(E195&gt;=F195,"-","ERR")</f>
        <v>-</v>
      </c>
      <c r="T195" s="126"/>
      <c r="U195" s="126"/>
      <c r="V195" s="126"/>
      <c r="W195" s="126"/>
      <c r="X195" s="126"/>
      <c r="Y195" s="126"/>
      <c r="Z195" s="126"/>
    </row>
    <row r="196" spans="1:29" ht="27" customHeight="1">
      <c r="A196" s="103"/>
      <c r="B196" s="104"/>
      <c r="C196" s="104"/>
      <c r="D196" s="105"/>
      <c r="E196" s="102"/>
      <c r="F196" s="102"/>
      <c r="G196" s="102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25" t="str">
        <f t="shared" si="14"/>
        <v/>
      </c>
      <c r="S196" s="126" t="str">
        <f t="shared" ref="S196:S214" si="15">IF(E196&gt;=F196,"-","ERR")</f>
        <v>-</v>
      </c>
      <c r="T196" s="126"/>
      <c r="U196" s="126"/>
      <c r="V196" s="126"/>
      <c r="W196" s="126"/>
      <c r="X196" s="126"/>
      <c r="Y196" s="126"/>
      <c r="Z196" s="126"/>
    </row>
    <row r="197" spans="1:29" ht="27" customHeight="1">
      <c r="A197" s="103"/>
      <c r="B197" s="104"/>
      <c r="C197" s="104"/>
      <c r="D197" s="105"/>
      <c r="E197" s="102"/>
      <c r="F197" s="102"/>
      <c r="G197" s="102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25" t="str">
        <f t="shared" si="14"/>
        <v/>
      </c>
      <c r="S197" s="126" t="str">
        <f t="shared" si="15"/>
        <v>-</v>
      </c>
      <c r="T197" s="126"/>
      <c r="U197" s="126"/>
      <c r="V197" s="126"/>
      <c r="W197" s="126"/>
      <c r="X197" s="126"/>
      <c r="Y197" s="126"/>
      <c r="Z197" s="126"/>
    </row>
    <row r="198" spans="1:29" ht="27" customHeight="1">
      <c r="A198" s="103"/>
      <c r="B198" s="104"/>
      <c r="C198" s="104"/>
      <c r="D198" s="105"/>
      <c r="E198" s="102"/>
      <c r="F198" s="102"/>
      <c r="G198" s="102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25" t="str">
        <f t="shared" si="14"/>
        <v/>
      </c>
      <c r="S198" s="126" t="str">
        <f t="shared" si="15"/>
        <v>-</v>
      </c>
      <c r="T198" s="126"/>
      <c r="U198" s="126"/>
      <c r="V198" s="126"/>
      <c r="W198" s="126"/>
      <c r="X198" s="126"/>
      <c r="Y198" s="126"/>
      <c r="Z198" s="126"/>
    </row>
    <row r="199" spans="1:29" ht="27" customHeight="1">
      <c r="A199" s="103"/>
      <c r="B199" s="104"/>
      <c r="C199" s="104"/>
      <c r="D199" s="105"/>
      <c r="E199" s="102"/>
      <c r="F199" s="102"/>
      <c r="G199" s="102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25" t="str">
        <f t="shared" si="14"/>
        <v/>
      </c>
      <c r="S199" s="126" t="str">
        <f t="shared" si="15"/>
        <v>-</v>
      </c>
      <c r="T199" s="126"/>
      <c r="U199" s="126"/>
      <c r="V199" s="126"/>
      <c r="W199" s="126"/>
      <c r="X199" s="126"/>
      <c r="Y199" s="126"/>
      <c r="Z199" s="126"/>
    </row>
    <row r="200" spans="1:29" ht="27" customHeight="1">
      <c r="A200" s="103"/>
      <c r="B200" s="104"/>
      <c r="C200" s="104"/>
      <c r="D200" s="105"/>
      <c r="E200" s="102"/>
      <c r="F200" s="102"/>
      <c r="G200" s="102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25" t="str">
        <f t="shared" si="14"/>
        <v/>
      </c>
      <c r="S200" s="126" t="str">
        <f t="shared" si="15"/>
        <v>-</v>
      </c>
      <c r="T200" s="126"/>
      <c r="U200" s="126"/>
      <c r="V200" s="126"/>
      <c r="W200" s="126"/>
      <c r="X200" s="126"/>
      <c r="Y200" s="126"/>
      <c r="Z200" s="126"/>
    </row>
    <row r="201" spans="1:29" ht="27" customHeight="1">
      <c r="A201" s="103"/>
      <c r="B201" s="104"/>
      <c r="C201" s="104"/>
      <c r="D201" s="105"/>
      <c r="E201" s="102"/>
      <c r="F201" s="102"/>
      <c r="G201" s="102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25" t="str">
        <f t="shared" si="14"/>
        <v/>
      </c>
      <c r="S201" s="126" t="str">
        <f t="shared" si="15"/>
        <v>-</v>
      </c>
      <c r="T201" s="126"/>
      <c r="U201" s="126"/>
      <c r="V201" s="126"/>
      <c r="W201" s="126"/>
      <c r="X201" s="126"/>
      <c r="Y201" s="126"/>
      <c r="Z201" s="126"/>
    </row>
    <row r="202" spans="1:29" ht="27" customHeight="1">
      <c r="A202" s="103"/>
      <c r="B202" s="104"/>
      <c r="C202" s="104"/>
      <c r="D202" s="105"/>
      <c r="E202" s="102"/>
      <c r="F202" s="102"/>
      <c r="G202" s="102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25" t="str">
        <f t="shared" si="14"/>
        <v/>
      </c>
      <c r="S202" s="126" t="str">
        <f t="shared" si="15"/>
        <v>-</v>
      </c>
      <c r="T202" s="126"/>
      <c r="U202" s="126"/>
      <c r="V202" s="126"/>
      <c r="W202" s="126"/>
      <c r="X202" s="126"/>
      <c r="Y202" s="126"/>
      <c r="Z202" s="126"/>
    </row>
    <row r="203" spans="1:29" ht="27" customHeight="1">
      <c r="A203" s="103"/>
      <c r="B203" s="104"/>
      <c r="C203" s="104"/>
      <c r="D203" s="105"/>
      <c r="E203" s="102"/>
      <c r="F203" s="102"/>
      <c r="G203" s="102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25" t="str">
        <f t="shared" si="14"/>
        <v/>
      </c>
      <c r="S203" s="126" t="str">
        <f t="shared" si="15"/>
        <v>-</v>
      </c>
      <c r="T203" s="126"/>
      <c r="U203" s="126"/>
      <c r="V203" s="126"/>
      <c r="W203" s="126"/>
      <c r="X203" s="126"/>
      <c r="Y203" s="126"/>
      <c r="Z203" s="126"/>
    </row>
    <row r="204" spans="1:29" ht="27" customHeight="1">
      <c r="A204" s="103"/>
      <c r="B204" s="104"/>
      <c r="C204" s="104"/>
      <c r="D204" s="105"/>
      <c r="E204" s="102"/>
      <c r="F204" s="102"/>
      <c r="G204" s="102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25" t="str">
        <f t="shared" si="14"/>
        <v/>
      </c>
      <c r="S204" s="126" t="str">
        <f t="shared" si="15"/>
        <v>-</v>
      </c>
      <c r="T204" s="126"/>
      <c r="U204" s="126"/>
      <c r="V204" s="126"/>
      <c r="W204" s="126"/>
      <c r="X204" s="126"/>
      <c r="Y204" s="126"/>
      <c r="Z204" s="126"/>
    </row>
    <row r="205" spans="1:29" ht="27" customHeight="1">
      <c r="A205" s="103"/>
      <c r="B205" s="104"/>
      <c r="C205" s="104"/>
      <c r="D205" s="105"/>
      <c r="E205" s="102"/>
      <c r="F205" s="102"/>
      <c r="G205" s="102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25" t="str">
        <f t="shared" si="14"/>
        <v/>
      </c>
      <c r="S205" s="126" t="str">
        <f t="shared" si="15"/>
        <v>-</v>
      </c>
      <c r="T205" s="126"/>
      <c r="U205" s="126"/>
      <c r="V205" s="126"/>
      <c r="W205" s="126"/>
      <c r="X205" s="126"/>
      <c r="Y205" s="126"/>
      <c r="Z205" s="126"/>
    </row>
    <row r="206" spans="1:29" ht="27" customHeight="1">
      <c r="A206" s="103"/>
      <c r="B206" s="104"/>
      <c r="C206" s="104"/>
      <c r="D206" s="105"/>
      <c r="E206" s="102"/>
      <c r="F206" s="102"/>
      <c r="G206" s="102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25" t="str">
        <f t="shared" si="14"/>
        <v/>
      </c>
      <c r="S206" s="126" t="str">
        <f t="shared" si="15"/>
        <v>-</v>
      </c>
      <c r="T206" s="126"/>
      <c r="U206" s="126"/>
      <c r="V206" s="126"/>
      <c r="W206" s="126"/>
      <c r="X206" s="126"/>
      <c r="Y206" s="126"/>
      <c r="Z206" s="126"/>
    </row>
    <row r="207" spans="1:29" ht="27" customHeight="1">
      <c r="A207" s="103"/>
      <c r="B207" s="104"/>
      <c r="C207" s="104"/>
      <c r="D207" s="105"/>
      <c r="E207" s="102"/>
      <c r="F207" s="102"/>
      <c r="G207" s="102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25" t="str">
        <f t="shared" si="14"/>
        <v/>
      </c>
      <c r="S207" s="126" t="str">
        <f t="shared" si="15"/>
        <v>-</v>
      </c>
      <c r="T207" s="126"/>
      <c r="U207" s="126"/>
      <c r="V207" s="126"/>
      <c r="W207" s="126"/>
      <c r="X207" s="126"/>
      <c r="Y207" s="126"/>
      <c r="Z207" s="126"/>
    </row>
    <row r="208" spans="1:29" ht="27" customHeight="1">
      <c r="A208" s="103"/>
      <c r="B208" s="104"/>
      <c r="C208" s="104"/>
      <c r="D208" s="105"/>
      <c r="E208" s="102"/>
      <c r="F208" s="102"/>
      <c r="G208" s="102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25" t="str">
        <f t="shared" si="14"/>
        <v/>
      </c>
      <c r="S208" s="126" t="str">
        <f t="shared" si="15"/>
        <v>-</v>
      </c>
      <c r="T208" s="126"/>
      <c r="U208" s="126"/>
      <c r="V208" s="126"/>
      <c r="W208" s="126"/>
      <c r="X208" s="126"/>
      <c r="Y208" s="126"/>
      <c r="Z208" s="126"/>
    </row>
    <row r="209" spans="1:29" ht="27" customHeight="1">
      <c r="A209" s="103"/>
      <c r="B209" s="104"/>
      <c r="C209" s="104"/>
      <c r="D209" s="105"/>
      <c r="E209" s="102"/>
      <c r="F209" s="102"/>
      <c r="G209" s="102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25" t="str">
        <f t="shared" si="14"/>
        <v/>
      </c>
      <c r="S209" s="126" t="str">
        <f t="shared" si="15"/>
        <v>-</v>
      </c>
      <c r="T209" s="126"/>
      <c r="U209" s="126"/>
      <c r="V209" s="126"/>
      <c r="W209" s="126"/>
      <c r="X209" s="126"/>
      <c r="Y209" s="126"/>
      <c r="Z209" s="126"/>
    </row>
    <row r="210" spans="1:29" ht="27" customHeight="1">
      <c r="A210" s="103"/>
      <c r="B210" s="104"/>
      <c r="C210" s="104"/>
      <c r="D210" s="105"/>
      <c r="E210" s="102"/>
      <c r="F210" s="102"/>
      <c r="G210" s="102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25" t="str">
        <f t="shared" si="14"/>
        <v/>
      </c>
      <c r="S210" s="126" t="str">
        <f t="shared" si="15"/>
        <v>-</v>
      </c>
      <c r="T210" s="126"/>
      <c r="U210" s="126"/>
      <c r="V210" s="126"/>
      <c r="W210" s="126"/>
      <c r="X210" s="126"/>
      <c r="Y210" s="126"/>
      <c r="Z210" s="127"/>
    </row>
    <row r="211" spans="1:29" ht="27" customHeight="1">
      <c r="A211" s="103"/>
      <c r="B211" s="104"/>
      <c r="C211" s="104"/>
      <c r="D211" s="105"/>
      <c r="E211" s="102"/>
      <c r="F211" s="102"/>
      <c r="G211" s="102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25" t="str">
        <f t="shared" si="14"/>
        <v/>
      </c>
      <c r="S211" s="126" t="str">
        <f t="shared" si="15"/>
        <v>-</v>
      </c>
      <c r="T211" s="126"/>
      <c r="U211" s="126"/>
      <c r="V211" s="126"/>
      <c r="W211" s="126"/>
      <c r="X211" s="126"/>
      <c r="Y211" s="126"/>
      <c r="Z211" s="127"/>
    </row>
    <row r="212" spans="1:29" ht="27" customHeight="1">
      <c r="A212" s="103"/>
      <c r="B212" s="104"/>
      <c r="C212" s="104"/>
      <c r="D212" s="105"/>
      <c r="E212" s="102"/>
      <c r="F212" s="102"/>
      <c r="G212" s="102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25" t="str">
        <f t="shared" si="14"/>
        <v/>
      </c>
      <c r="S212" s="126" t="str">
        <f t="shared" si="15"/>
        <v>-</v>
      </c>
      <c r="T212" s="126"/>
      <c r="U212" s="126"/>
      <c r="V212" s="126"/>
      <c r="W212" s="126"/>
      <c r="X212" s="126"/>
      <c r="Y212" s="126"/>
      <c r="Z212" s="127"/>
    </row>
    <row r="213" spans="1:29" ht="27" customHeight="1">
      <c r="A213" s="103"/>
      <c r="B213" s="104"/>
      <c r="C213" s="104"/>
      <c r="D213" s="105"/>
      <c r="E213" s="102"/>
      <c r="F213" s="102"/>
      <c r="G213" s="102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25" t="str">
        <f t="shared" si="14"/>
        <v/>
      </c>
      <c r="S213" s="126" t="str">
        <f t="shared" si="15"/>
        <v>-</v>
      </c>
      <c r="T213" s="126"/>
      <c r="U213" s="126"/>
      <c r="V213" s="126"/>
      <c r="W213" s="126"/>
      <c r="X213" s="126"/>
      <c r="Y213" s="126"/>
      <c r="Z213" s="127"/>
    </row>
    <row r="214" spans="1:29" ht="27" customHeight="1">
      <c r="A214" s="103"/>
      <c r="B214" s="104"/>
      <c r="C214" s="104"/>
      <c r="D214" s="105"/>
      <c r="E214" s="102"/>
      <c r="F214" s="102"/>
      <c r="G214" s="102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25" t="str">
        <f t="shared" si="14"/>
        <v/>
      </c>
      <c r="S214" s="126" t="str">
        <f t="shared" si="15"/>
        <v>-</v>
      </c>
      <c r="T214" s="126"/>
      <c r="U214" s="126"/>
      <c r="V214" s="126"/>
      <c r="W214" s="126"/>
      <c r="X214" s="126"/>
      <c r="Y214" s="126"/>
      <c r="Z214" s="141"/>
      <c r="AA214" s="126"/>
      <c r="AB214" s="126"/>
      <c r="AC214" s="126"/>
    </row>
    <row r="215" spans="1:29" ht="27" customHeight="1">
      <c r="A215" s="103"/>
      <c r="B215" s="104"/>
      <c r="C215" s="104"/>
      <c r="D215" s="105"/>
      <c r="E215" s="102"/>
      <c r="F215" s="102"/>
      <c r="G215" s="102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25" t="str">
        <f t="shared" si="14"/>
        <v/>
      </c>
      <c r="S215" s="126"/>
      <c r="T215" s="126"/>
      <c r="U215" s="126"/>
      <c r="V215" s="126"/>
      <c r="W215" s="126"/>
      <c r="X215" s="126"/>
      <c r="Y215" s="126"/>
      <c r="Z215" s="141"/>
      <c r="AA215" s="126"/>
      <c r="AB215" s="126"/>
      <c r="AC215" s="126"/>
    </row>
    <row r="216" spans="1:29" ht="27" customHeight="1">
      <c r="A216" s="103"/>
      <c r="B216" s="104"/>
      <c r="C216" s="104"/>
      <c r="D216" s="105"/>
      <c r="E216" s="102"/>
      <c r="F216" s="102"/>
      <c r="G216" s="102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25" t="str">
        <f t="shared" si="14"/>
        <v/>
      </c>
      <c r="S216" s="126" t="str">
        <f>IF(E216&gt;=F216,"-","ERR")</f>
        <v>-</v>
      </c>
      <c r="T216" s="126"/>
      <c r="U216" s="126"/>
      <c r="V216" s="126"/>
      <c r="W216" s="126"/>
      <c r="X216" s="126"/>
      <c r="Y216" s="126"/>
      <c r="Z216" s="126"/>
    </row>
    <row r="217" spans="1:29" ht="27" customHeight="1">
      <c r="A217" s="103"/>
      <c r="B217" s="104"/>
      <c r="C217" s="104"/>
      <c r="D217" s="105"/>
      <c r="E217" s="102"/>
      <c r="F217" s="102"/>
      <c r="G217" s="102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25" t="str">
        <f t="shared" si="14"/>
        <v/>
      </c>
      <c r="S217" s="126" t="str">
        <f t="shared" ref="S217:S235" si="16">IF(E217&gt;=F217,"-","ERR")</f>
        <v>-</v>
      </c>
      <c r="T217" s="126"/>
      <c r="U217" s="126"/>
      <c r="V217" s="126"/>
      <c r="W217" s="126"/>
      <c r="X217" s="126"/>
      <c r="Y217" s="126"/>
      <c r="Z217" s="126"/>
    </row>
    <row r="218" spans="1:29" ht="27" customHeight="1">
      <c r="A218" s="103"/>
      <c r="B218" s="104"/>
      <c r="C218" s="104"/>
      <c r="D218" s="105"/>
      <c r="E218" s="102"/>
      <c r="F218" s="102"/>
      <c r="G218" s="102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25" t="str">
        <f t="shared" si="14"/>
        <v/>
      </c>
      <c r="S218" s="126" t="str">
        <f t="shared" si="16"/>
        <v>-</v>
      </c>
      <c r="T218" s="126"/>
      <c r="U218" s="126"/>
      <c r="V218" s="126"/>
      <c r="W218" s="126"/>
      <c r="X218" s="126"/>
      <c r="Y218" s="126"/>
      <c r="Z218" s="126"/>
    </row>
    <row r="219" spans="1:29" ht="27" customHeight="1">
      <c r="A219" s="103"/>
      <c r="B219" s="104"/>
      <c r="C219" s="104"/>
      <c r="D219" s="105"/>
      <c r="E219" s="102"/>
      <c r="F219" s="102"/>
      <c r="G219" s="102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25" t="str">
        <f t="shared" si="14"/>
        <v/>
      </c>
      <c r="S219" s="126" t="str">
        <f t="shared" si="16"/>
        <v>-</v>
      </c>
      <c r="T219" s="126"/>
      <c r="U219" s="126"/>
      <c r="V219" s="126"/>
      <c r="W219" s="126"/>
      <c r="X219" s="126"/>
      <c r="Y219" s="126"/>
      <c r="Z219" s="126"/>
    </row>
    <row r="220" spans="1:29" ht="27" customHeight="1">
      <c r="A220" s="103"/>
      <c r="B220" s="104"/>
      <c r="C220" s="104"/>
      <c r="D220" s="105"/>
      <c r="E220" s="102"/>
      <c r="F220" s="102"/>
      <c r="G220" s="102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25" t="str">
        <f t="shared" si="14"/>
        <v/>
      </c>
      <c r="S220" s="126" t="str">
        <f t="shared" si="16"/>
        <v>-</v>
      </c>
      <c r="T220" s="126"/>
      <c r="U220" s="126"/>
      <c r="V220" s="126"/>
      <c r="W220" s="126"/>
      <c r="X220" s="126"/>
      <c r="Y220" s="126"/>
      <c r="Z220" s="126"/>
    </row>
    <row r="221" spans="1:29" ht="27" customHeight="1">
      <c r="A221" s="103"/>
      <c r="B221" s="104"/>
      <c r="C221" s="104"/>
      <c r="D221" s="105"/>
      <c r="E221" s="102"/>
      <c r="F221" s="102"/>
      <c r="G221" s="102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25" t="str">
        <f t="shared" si="14"/>
        <v/>
      </c>
      <c r="S221" s="126" t="str">
        <f t="shared" si="16"/>
        <v>-</v>
      </c>
      <c r="T221" s="126"/>
      <c r="U221" s="126"/>
      <c r="V221" s="126"/>
      <c r="W221" s="126"/>
      <c r="X221" s="126"/>
      <c r="Y221" s="126"/>
      <c r="Z221" s="126"/>
    </row>
    <row r="222" spans="1:29" ht="27" customHeight="1">
      <c r="A222" s="103"/>
      <c r="B222" s="104"/>
      <c r="C222" s="104"/>
      <c r="D222" s="105"/>
      <c r="E222" s="102"/>
      <c r="F222" s="102"/>
      <c r="G222" s="102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25" t="str">
        <f t="shared" si="14"/>
        <v/>
      </c>
      <c r="S222" s="126" t="str">
        <f t="shared" si="16"/>
        <v>-</v>
      </c>
      <c r="T222" s="126"/>
      <c r="U222" s="126"/>
      <c r="V222" s="126"/>
      <c r="W222" s="126"/>
      <c r="X222" s="126"/>
      <c r="Y222" s="126"/>
      <c r="Z222" s="126"/>
    </row>
    <row r="223" spans="1:29" ht="27" customHeight="1">
      <c r="A223" s="103"/>
      <c r="B223" s="104"/>
      <c r="C223" s="104"/>
      <c r="D223" s="105"/>
      <c r="E223" s="102"/>
      <c r="F223" s="102"/>
      <c r="G223" s="102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25" t="str">
        <f t="shared" si="14"/>
        <v/>
      </c>
      <c r="S223" s="126" t="str">
        <f t="shared" si="16"/>
        <v>-</v>
      </c>
      <c r="T223" s="126"/>
      <c r="U223" s="126"/>
      <c r="V223" s="126"/>
      <c r="W223" s="126"/>
      <c r="X223" s="126"/>
      <c r="Y223" s="126"/>
      <c r="Z223" s="126"/>
    </row>
    <row r="224" spans="1:29" ht="27" customHeight="1">
      <c r="A224" s="103"/>
      <c r="B224" s="104"/>
      <c r="C224" s="104"/>
      <c r="D224" s="105"/>
      <c r="E224" s="102"/>
      <c r="F224" s="102"/>
      <c r="G224" s="102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25" t="str">
        <f t="shared" si="14"/>
        <v/>
      </c>
      <c r="S224" s="126" t="str">
        <f t="shared" si="16"/>
        <v>-</v>
      </c>
      <c r="T224" s="126"/>
      <c r="U224" s="126"/>
      <c r="V224" s="126"/>
      <c r="W224" s="126"/>
      <c r="X224" s="126"/>
      <c r="Y224" s="126"/>
      <c r="Z224" s="126"/>
    </row>
    <row r="225" spans="1:29" ht="27" customHeight="1">
      <c r="A225" s="103"/>
      <c r="B225" s="104"/>
      <c r="C225" s="104"/>
      <c r="D225" s="105"/>
      <c r="E225" s="102"/>
      <c r="F225" s="102"/>
      <c r="G225" s="102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25" t="str">
        <f t="shared" si="14"/>
        <v/>
      </c>
      <c r="S225" s="126" t="str">
        <f t="shared" si="16"/>
        <v>-</v>
      </c>
      <c r="T225" s="126"/>
      <c r="U225" s="126"/>
      <c r="V225" s="126"/>
      <c r="W225" s="126"/>
      <c r="X225" s="126"/>
      <c r="Y225" s="126"/>
      <c r="Z225" s="126"/>
    </row>
    <row r="226" spans="1:29" ht="27" customHeight="1">
      <c r="A226" s="103"/>
      <c r="B226" s="104"/>
      <c r="C226" s="104"/>
      <c r="D226" s="105"/>
      <c r="E226" s="102"/>
      <c r="F226" s="102"/>
      <c r="G226" s="102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25" t="str">
        <f t="shared" si="14"/>
        <v/>
      </c>
      <c r="S226" s="126" t="str">
        <f t="shared" si="16"/>
        <v>-</v>
      </c>
      <c r="T226" s="126"/>
      <c r="U226" s="126"/>
      <c r="V226" s="126"/>
      <c r="W226" s="126"/>
      <c r="X226" s="126"/>
      <c r="Y226" s="126"/>
      <c r="Z226" s="126"/>
    </row>
    <row r="227" spans="1:29" ht="27" customHeight="1">
      <c r="A227" s="103"/>
      <c r="B227" s="104"/>
      <c r="C227" s="104"/>
      <c r="D227" s="105"/>
      <c r="E227" s="102"/>
      <c r="F227" s="102"/>
      <c r="G227" s="102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25" t="str">
        <f t="shared" si="14"/>
        <v/>
      </c>
      <c r="S227" s="126" t="str">
        <f t="shared" si="16"/>
        <v>-</v>
      </c>
      <c r="T227" s="126"/>
      <c r="U227" s="126"/>
      <c r="V227" s="126"/>
      <c r="W227" s="126"/>
      <c r="X227" s="126"/>
      <c r="Y227" s="126"/>
      <c r="Z227" s="126"/>
    </row>
    <row r="228" spans="1:29" ht="27" customHeight="1">
      <c r="A228" s="103"/>
      <c r="B228" s="104"/>
      <c r="C228" s="104"/>
      <c r="D228" s="105"/>
      <c r="E228" s="102"/>
      <c r="F228" s="102"/>
      <c r="G228" s="102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25" t="str">
        <f t="shared" si="14"/>
        <v/>
      </c>
      <c r="S228" s="126" t="str">
        <f t="shared" si="16"/>
        <v>-</v>
      </c>
      <c r="T228" s="126"/>
      <c r="U228" s="126"/>
      <c r="V228" s="126"/>
      <c r="W228" s="126"/>
      <c r="X228" s="126"/>
      <c r="Y228" s="126"/>
      <c r="Z228" s="126"/>
    </row>
    <row r="229" spans="1:29" ht="27" customHeight="1">
      <c r="A229" s="103"/>
      <c r="B229" s="104"/>
      <c r="C229" s="104"/>
      <c r="D229" s="105"/>
      <c r="E229" s="102"/>
      <c r="F229" s="102"/>
      <c r="G229" s="102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25" t="str">
        <f t="shared" si="14"/>
        <v/>
      </c>
      <c r="S229" s="126" t="str">
        <f t="shared" si="16"/>
        <v>-</v>
      </c>
      <c r="T229" s="126"/>
      <c r="U229" s="126"/>
      <c r="V229" s="126"/>
      <c r="W229" s="126"/>
      <c r="X229" s="126"/>
      <c r="Y229" s="126"/>
      <c r="Z229" s="126"/>
    </row>
    <row r="230" spans="1:29" ht="27" customHeight="1">
      <c r="A230" s="103"/>
      <c r="B230" s="104"/>
      <c r="C230" s="104"/>
      <c r="D230" s="105"/>
      <c r="E230" s="102"/>
      <c r="F230" s="102"/>
      <c r="G230" s="102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25" t="str">
        <f t="shared" si="14"/>
        <v/>
      </c>
      <c r="S230" s="126" t="str">
        <f t="shared" si="16"/>
        <v>-</v>
      </c>
      <c r="T230" s="126"/>
      <c r="U230" s="126"/>
      <c r="V230" s="126"/>
      <c r="W230" s="126"/>
      <c r="X230" s="126"/>
      <c r="Y230" s="126"/>
      <c r="Z230" s="126"/>
    </row>
    <row r="231" spans="1:29" ht="27" customHeight="1">
      <c r="A231" s="103"/>
      <c r="B231" s="104"/>
      <c r="C231" s="104"/>
      <c r="D231" s="105"/>
      <c r="E231" s="102"/>
      <c r="F231" s="102"/>
      <c r="G231" s="102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25" t="str">
        <f t="shared" si="14"/>
        <v/>
      </c>
      <c r="S231" s="126" t="str">
        <f t="shared" si="16"/>
        <v>-</v>
      </c>
      <c r="T231" s="126"/>
      <c r="U231" s="126"/>
      <c r="V231" s="126"/>
      <c r="W231" s="126"/>
      <c r="X231" s="126"/>
      <c r="Y231" s="126"/>
      <c r="Z231" s="127"/>
    </row>
    <row r="232" spans="1:29" ht="27" customHeight="1">
      <c r="A232" s="103"/>
      <c r="B232" s="104"/>
      <c r="C232" s="104"/>
      <c r="D232" s="105"/>
      <c r="E232" s="102"/>
      <c r="F232" s="102"/>
      <c r="G232" s="102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25" t="str">
        <f t="shared" si="14"/>
        <v/>
      </c>
      <c r="S232" s="126" t="str">
        <f t="shared" si="16"/>
        <v>-</v>
      </c>
      <c r="T232" s="126"/>
      <c r="U232" s="126"/>
      <c r="V232" s="126"/>
      <c r="W232" s="126"/>
      <c r="X232" s="126"/>
      <c r="Y232" s="126"/>
      <c r="Z232" s="127"/>
    </row>
    <row r="233" spans="1:29" ht="27" customHeight="1">
      <c r="A233" s="103"/>
      <c r="B233" s="104"/>
      <c r="C233" s="104"/>
      <c r="D233" s="105"/>
      <c r="E233" s="102"/>
      <c r="F233" s="102"/>
      <c r="G233" s="102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25" t="str">
        <f>CONCATENATE(D233,J233)</f>
        <v/>
      </c>
      <c r="S233" s="126" t="str">
        <f t="shared" si="16"/>
        <v>-</v>
      </c>
      <c r="T233" s="126"/>
      <c r="U233" s="126"/>
      <c r="V233" s="126"/>
      <c r="W233" s="126"/>
      <c r="X233" s="126"/>
      <c r="Y233" s="126"/>
      <c r="Z233" s="127"/>
    </row>
    <row r="234" spans="1:29" ht="27" customHeight="1">
      <c r="A234" s="103"/>
      <c r="B234" s="104"/>
      <c r="C234" s="104"/>
      <c r="D234" s="105"/>
      <c r="E234" s="102"/>
      <c r="F234" s="102"/>
      <c r="G234" s="102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25" t="str">
        <f>CONCATENATE(D234,J234)</f>
        <v/>
      </c>
      <c r="S234" s="126" t="str">
        <f t="shared" si="16"/>
        <v>-</v>
      </c>
      <c r="T234" s="126"/>
      <c r="U234" s="126"/>
      <c r="V234" s="126"/>
      <c r="W234" s="126"/>
      <c r="X234" s="126"/>
      <c r="Y234" s="126"/>
      <c r="Z234" s="127"/>
    </row>
    <row r="235" spans="1:29" ht="27" customHeight="1">
      <c r="A235" s="103"/>
      <c r="B235" s="104"/>
      <c r="C235" s="104"/>
      <c r="D235" s="105"/>
      <c r="E235" s="102"/>
      <c r="F235" s="102"/>
      <c r="G235" s="102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25" t="str">
        <f>CONCATENATE(D235,J235)</f>
        <v/>
      </c>
      <c r="S235" s="126" t="str">
        <f t="shared" si="16"/>
        <v>-</v>
      </c>
      <c r="T235" s="126"/>
      <c r="U235" s="126"/>
      <c r="V235" s="126"/>
      <c r="W235" s="126"/>
      <c r="X235" s="126"/>
      <c r="Y235" s="126"/>
      <c r="Z235" s="141"/>
      <c r="AA235" s="126"/>
      <c r="AB235" s="126"/>
      <c r="AC235" s="126"/>
    </row>
    <row r="236" spans="1:29" ht="27" customHeight="1">
      <c r="A236" s="103"/>
      <c r="B236" s="104"/>
      <c r="C236" s="104"/>
      <c r="D236" s="105"/>
      <c r="E236" s="102"/>
      <c r="F236" s="102"/>
      <c r="G236" s="102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25" t="str">
        <f>CONCATENATE(D236,J236)</f>
        <v/>
      </c>
      <c r="S236" s="126"/>
      <c r="T236" s="126"/>
      <c r="U236" s="126"/>
      <c r="V236" s="126"/>
      <c r="W236" s="126"/>
      <c r="X236" s="126"/>
      <c r="Y236" s="126"/>
      <c r="Z236" s="141"/>
      <c r="AA236" s="126"/>
      <c r="AB236" s="126"/>
      <c r="AC236" s="126"/>
    </row>
    <row r="237" spans="1:29" ht="27" customHeight="1">
      <c r="A237" s="103"/>
      <c r="B237" s="104"/>
      <c r="C237" s="104"/>
      <c r="D237" s="105"/>
      <c r="E237" s="102"/>
      <c r="F237" s="102"/>
      <c r="G237" s="102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25" t="str">
        <f>CONCATENATE(D237,J237)</f>
        <v/>
      </c>
      <c r="S237" s="126" t="str">
        <f>IF(E237&gt;=F237,"-","ERR")</f>
        <v>-</v>
      </c>
      <c r="T237" s="126"/>
      <c r="U237" s="126"/>
      <c r="V237" s="126"/>
      <c r="W237" s="126"/>
      <c r="X237" s="126"/>
      <c r="Y237" s="126"/>
      <c r="Z237" s="126"/>
    </row>
    <row r="238" spans="1:29" ht="27" customHeight="1">
      <c r="A238" s="103"/>
      <c r="B238" s="104"/>
      <c r="C238" s="104"/>
      <c r="D238" s="105"/>
      <c r="E238" s="102"/>
      <c r="F238" s="102"/>
      <c r="G238" s="102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25" t="str">
        <f t="shared" ref="R238:R257" si="17">CONCATENATE(D238,J238)</f>
        <v/>
      </c>
      <c r="S238" s="126" t="str">
        <f t="shared" ref="S238:S256" si="18">IF(E238&gt;=F238,"-","ERR")</f>
        <v>-</v>
      </c>
      <c r="T238" s="126"/>
      <c r="U238" s="126"/>
      <c r="V238" s="126"/>
      <c r="W238" s="126"/>
      <c r="X238" s="126"/>
      <c r="Y238" s="126"/>
      <c r="Z238" s="126"/>
    </row>
    <row r="239" spans="1:29" ht="27" customHeight="1">
      <c r="A239" s="103"/>
      <c r="B239" s="104"/>
      <c r="C239" s="104"/>
      <c r="D239" s="105"/>
      <c r="E239" s="102"/>
      <c r="F239" s="102"/>
      <c r="G239" s="102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25" t="str">
        <f t="shared" si="17"/>
        <v/>
      </c>
      <c r="S239" s="126" t="str">
        <f t="shared" si="18"/>
        <v>-</v>
      </c>
      <c r="T239" s="126"/>
      <c r="U239" s="126"/>
      <c r="V239" s="126"/>
      <c r="W239" s="126"/>
      <c r="X239" s="126"/>
      <c r="Y239" s="126"/>
      <c r="Z239" s="126"/>
    </row>
    <row r="240" spans="1:29" ht="27" customHeight="1">
      <c r="A240" s="103"/>
      <c r="B240" s="104"/>
      <c r="C240" s="104"/>
      <c r="D240" s="105"/>
      <c r="E240" s="102"/>
      <c r="F240" s="102"/>
      <c r="G240" s="102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25" t="str">
        <f t="shared" si="17"/>
        <v/>
      </c>
      <c r="S240" s="126" t="str">
        <f t="shared" si="18"/>
        <v>-</v>
      </c>
      <c r="T240" s="126"/>
      <c r="U240" s="126"/>
      <c r="V240" s="126"/>
      <c r="W240" s="126"/>
      <c r="X240" s="126"/>
      <c r="Y240" s="126"/>
      <c r="Z240" s="126"/>
    </row>
    <row r="241" spans="1:29" ht="27" customHeight="1">
      <c r="A241" s="103"/>
      <c r="B241" s="104"/>
      <c r="C241" s="104"/>
      <c r="D241" s="105"/>
      <c r="E241" s="102"/>
      <c r="F241" s="102"/>
      <c r="G241" s="102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25" t="str">
        <f t="shared" si="17"/>
        <v/>
      </c>
      <c r="S241" s="126" t="str">
        <f t="shared" si="18"/>
        <v>-</v>
      </c>
      <c r="T241" s="126"/>
      <c r="U241" s="126"/>
      <c r="V241" s="126"/>
      <c r="W241" s="126"/>
      <c r="X241" s="126"/>
      <c r="Y241" s="126"/>
      <c r="Z241" s="126"/>
    </row>
    <row r="242" spans="1:29" ht="27" customHeight="1">
      <c r="A242" s="103"/>
      <c r="B242" s="104"/>
      <c r="C242" s="104"/>
      <c r="D242" s="105"/>
      <c r="E242" s="102"/>
      <c r="F242" s="102"/>
      <c r="G242" s="102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25" t="str">
        <f t="shared" si="17"/>
        <v/>
      </c>
      <c r="S242" s="126" t="str">
        <f t="shared" si="18"/>
        <v>-</v>
      </c>
      <c r="T242" s="126"/>
      <c r="U242" s="126"/>
      <c r="V242" s="126"/>
      <c r="W242" s="126"/>
      <c r="X242" s="126"/>
      <c r="Y242" s="126"/>
      <c r="Z242" s="126"/>
    </row>
    <row r="243" spans="1:29" ht="27" customHeight="1">
      <c r="A243" s="103"/>
      <c r="B243" s="104"/>
      <c r="C243" s="104"/>
      <c r="D243" s="105"/>
      <c r="E243" s="102"/>
      <c r="F243" s="102"/>
      <c r="G243" s="102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25" t="str">
        <f t="shared" si="17"/>
        <v/>
      </c>
      <c r="S243" s="126" t="str">
        <f t="shared" si="18"/>
        <v>-</v>
      </c>
      <c r="T243" s="126"/>
      <c r="U243" s="126"/>
      <c r="V243" s="126"/>
      <c r="W243" s="126"/>
      <c r="X243" s="126"/>
      <c r="Y243" s="126"/>
      <c r="Z243" s="126"/>
    </row>
    <row r="244" spans="1:29" ht="27" customHeight="1">
      <c r="A244" s="103"/>
      <c r="B244" s="104"/>
      <c r="C244" s="104"/>
      <c r="D244" s="105"/>
      <c r="E244" s="102"/>
      <c r="F244" s="102"/>
      <c r="G244" s="102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25" t="str">
        <f t="shared" si="17"/>
        <v/>
      </c>
      <c r="S244" s="126" t="str">
        <f t="shared" si="18"/>
        <v>-</v>
      </c>
      <c r="T244" s="126"/>
      <c r="U244" s="126"/>
      <c r="V244" s="126"/>
      <c r="W244" s="126"/>
      <c r="X244" s="126"/>
      <c r="Y244" s="126"/>
      <c r="Z244" s="126"/>
    </row>
    <row r="245" spans="1:29" ht="27" customHeight="1">
      <c r="A245" s="103"/>
      <c r="B245" s="104"/>
      <c r="C245" s="104"/>
      <c r="D245" s="105"/>
      <c r="E245" s="102"/>
      <c r="F245" s="102"/>
      <c r="G245" s="102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25" t="str">
        <f t="shared" si="17"/>
        <v/>
      </c>
      <c r="S245" s="126" t="str">
        <f t="shared" si="18"/>
        <v>-</v>
      </c>
      <c r="T245" s="126"/>
      <c r="U245" s="126"/>
      <c r="V245" s="126"/>
      <c r="W245" s="126"/>
      <c r="X245" s="126"/>
      <c r="Y245" s="126"/>
      <c r="Z245" s="126"/>
    </row>
    <row r="246" spans="1:29" ht="27" customHeight="1">
      <c r="A246" s="103"/>
      <c r="B246" s="104"/>
      <c r="C246" s="104"/>
      <c r="D246" s="105"/>
      <c r="E246" s="102"/>
      <c r="F246" s="102"/>
      <c r="G246" s="102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25" t="str">
        <f t="shared" si="17"/>
        <v/>
      </c>
      <c r="S246" s="126" t="str">
        <f t="shared" si="18"/>
        <v>-</v>
      </c>
      <c r="T246" s="126"/>
      <c r="U246" s="126"/>
      <c r="V246" s="126"/>
      <c r="W246" s="126"/>
      <c r="X246" s="126"/>
      <c r="Y246" s="126"/>
      <c r="Z246" s="126"/>
    </row>
    <row r="247" spans="1:29" ht="27" customHeight="1">
      <c r="A247" s="103"/>
      <c r="B247" s="104"/>
      <c r="C247" s="104"/>
      <c r="D247" s="105"/>
      <c r="E247" s="102"/>
      <c r="F247" s="102"/>
      <c r="G247" s="102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25" t="str">
        <f t="shared" si="17"/>
        <v/>
      </c>
      <c r="S247" s="126" t="str">
        <f t="shared" si="18"/>
        <v>-</v>
      </c>
      <c r="T247" s="126"/>
      <c r="U247" s="126"/>
      <c r="V247" s="126"/>
      <c r="W247" s="126"/>
      <c r="X247" s="126"/>
      <c r="Y247" s="126"/>
      <c r="Z247" s="126"/>
    </row>
    <row r="248" spans="1:29" ht="27" customHeight="1">
      <c r="A248" s="103"/>
      <c r="B248" s="104"/>
      <c r="C248" s="104"/>
      <c r="D248" s="105"/>
      <c r="E248" s="102"/>
      <c r="F248" s="102"/>
      <c r="G248" s="102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25" t="str">
        <f t="shared" si="17"/>
        <v/>
      </c>
      <c r="S248" s="126" t="str">
        <f t="shared" si="18"/>
        <v>-</v>
      </c>
      <c r="T248" s="126"/>
      <c r="U248" s="126"/>
      <c r="V248" s="126"/>
      <c r="W248" s="126"/>
      <c r="X248" s="126"/>
      <c r="Y248" s="126"/>
      <c r="Z248" s="126"/>
    </row>
    <row r="249" spans="1:29" ht="27" customHeight="1">
      <c r="A249" s="103"/>
      <c r="B249" s="104"/>
      <c r="C249" s="104"/>
      <c r="D249" s="105"/>
      <c r="E249" s="102"/>
      <c r="F249" s="102"/>
      <c r="G249" s="102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25" t="str">
        <f t="shared" si="17"/>
        <v/>
      </c>
      <c r="S249" s="126" t="str">
        <f t="shared" si="18"/>
        <v>-</v>
      </c>
      <c r="T249" s="126"/>
      <c r="U249" s="126"/>
      <c r="V249" s="126"/>
      <c r="W249" s="126"/>
      <c r="X249" s="126"/>
      <c r="Y249" s="126"/>
      <c r="Z249" s="126"/>
    </row>
    <row r="250" spans="1:29" ht="27" customHeight="1">
      <c r="A250" s="103"/>
      <c r="B250" s="104"/>
      <c r="C250" s="104"/>
      <c r="D250" s="105"/>
      <c r="E250" s="102"/>
      <c r="F250" s="102"/>
      <c r="G250" s="102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25" t="str">
        <f t="shared" si="17"/>
        <v/>
      </c>
      <c r="S250" s="126" t="str">
        <f t="shared" si="18"/>
        <v>-</v>
      </c>
      <c r="T250" s="126"/>
      <c r="U250" s="126"/>
      <c r="V250" s="126"/>
      <c r="W250" s="126"/>
      <c r="X250" s="126"/>
      <c r="Y250" s="126"/>
      <c r="Z250" s="126"/>
    </row>
    <row r="251" spans="1:29" ht="27" customHeight="1">
      <c r="A251" s="103"/>
      <c r="B251" s="104"/>
      <c r="C251" s="104"/>
      <c r="D251" s="105"/>
      <c r="E251" s="102"/>
      <c r="F251" s="102"/>
      <c r="G251" s="102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25" t="str">
        <f t="shared" si="17"/>
        <v/>
      </c>
      <c r="S251" s="126" t="str">
        <f t="shared" si="18"/>
        <v>-</v>
      </c>
      <c r="T251" s="126"/>
      <c r="U251" s="126"/>
      <c r="V251" s="126"/>
      <c r="W251" s="126"/>
      <c r="X251" s="126"/>
      <c r="Y251" s="126"/>
      <c r="Z251" s="126"/>
    </row>
    <row r="252" spans="1:29" ht="27" customHeight="1">
      <c r="A252" s="103"/>
      <c r="B252" s="104"/>
      <c r="C252" s="104"/>
      <c r="D252" s="105"/>
      <c r="E252" s="102"/>
      <c r="F252" s="102"/>
      <c r="G252" s="102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25" t="str">
        <f t="shared" si="17"/>
        <v/>
      </c>
      <c r="S252" s="126" t="str">
        <f t="shared" si="18"/>
        <v>-</v>
      </c>
      <c r="T252" s="126"/>
      <c r="U252" s="126"/>
      <c r="V252" s="126"/>
      <c r="W252" s="126"/>
      <c r="X252" s="126"/>
      <c r="Y252" s="126"/>
      <c r="Z252" s="127"/>
    </row>
    <row r="253" spans="1:29" ht="27" customHeight="1">
      <c r="A253" s="103"/>
      <c r="B253" s="104"/>
      <c r="C253" s="104"/>
      <c r="D253" s="105"/>
      <c r="E253" s="102"/>
      <c r="F253" s="102"/>
      <c r="G253" s="102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25" t="str">
        <f t="shared" si="17"/>
        <v/>
      </c>
      <c r="S253" s="126" t="str">
        <f t="shared" si="18"/>
        <v>-</v>
      </c>
      <c r="T253" s="126"/>
      <c r="U253" s="126"/>
      <c r="V253" s="126"/>
      <c r="W253" s="126"/>
      <c r="X253" s="126"/>
      <c r="Y253" s="126"/>
      <c r="Z253" s="127"/>
    </row>
    <row r="254" spans="1:29" ht="27" customHeight="1">
      <c r="A254" s="103"/>
      <c r="B254" s="104"/>
      <c r="C254" s="104"/>
      <c r="D254" s="105"/>
      <c r="E254" s="102"/>
      <c r="F254" s="102"/>
      <c r="G254" s="102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25" t="str">
        <f t="shared" si="17"/>
        <v/>
      </c>
      <c r="S254" s="126" t="str">
        <f t="shared" si="18"/>
        <v>-</v>
      </c>
      <c r="T254" s="126"/>
      <c r="U254" s="126"/>
      <c r="V254" s="126"/>
      <c r="W254" s="126"/>
      <c r="X254" s="126"/>
      <c r="Y254" s="126"/>
      <c r="Z254" s="127"/>
    </row>
    <row r="255" spans="1:29" ht="27" customHeight="1">
      <c r="A255" s="103"/>
      <c r="B255" s="104"/>
      <c r="C255" s="104"/>
      <c r="D255" s="105"/>
      <c r="E255" s="102"/>
      <c r="F255" s="102"/>
      <c r="G255" s="102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25" t="str">
        <f t="shared" si="17"/>
        <v/>
      </c>
      <c r="S255" s="126" t="str">
        <f t="shared" si="18"/>
        <v>-</v>
      </c>
      <c r="T255" s="126"/>
      <c r="U255" s="126"/>
      <c r="V255" s="126"/>
      <c r="W255" s="126"/>
      <c r="X255" s="126"/>
      <c r="Y255" s="126"/>
      <c r="Z255" s="127"/>
    </row>
    <row r="256" spans="1:29" ht="27" customHeight="1">
      <c r="A256" s="103"/>
      <c r="B256" s="104"/>
      <c r="C256" s="104"/>
      <c r="D256" s="105"/>
      <c r="E256" s="102"/>
      <c r="F256" s="102"/>
      <c r="G256" s="102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25" t="str">
        <f t="shared" si="17"/>
        <v/>
      </c>
      <c r="S256" s="126" t="str">
        <f t="shared" si="18"/>
        <v>-</v>
      </c>
      <c r="T256" s="126"/>
      <c r="U256" s="126"/>
      <c r="V256" s="126"/>
      <c r="W256" s="126"/>
      <c r="X256" s="126"/>
      <c r="Y256" s="126"/>
      <c r="Z256" s="141"/>
      <c r="AA256" s="126"/>
      <c r="AB256" s="126"/>
      <c r="AC256" s="126"/>
    </row>
    <row r="257" spans="1:29" ht="27" customHeight="1">
      <c r="A257" s="103"/>
      <c r="B257" s="104"/>
      <c r="C257" s="104"/>
      <c r="D257" s="105"/>
      <c r="E257" s="102"/>
      <c r="F257" s="102"/>
      <c r="G257" s="102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25" t="str">
        <f t="shared" si="17"/>
        <v/>
      </c>
      <c r="S257" s="126"/>
      <c r="T257" s="126"/>
      <c r="U257" s="126"/>
      <c r="V257" s="126"/>
      <c r="W257" s="126"/>
      <c r="X257" s="126"/>
      <c r="Y257" s="126"/>
      <c r="Z257" s="141"/>
      <c r="AA257" s="126"/>
      <c r="AB257" s="126"/>
      <c r="AC257" s="126"/>
    </row>
    <row r="258" spans="1:29" ht="27" customHeight="1">
      <c r="A258" s="103"/>
      <c r="B258" s="104"/>
      <c r="C258" s="104"/>
      <c r="D258" s="105"/>
      <c r="E258" s="102"/>
      <c r="F258" s="102"/>
      <c r="G258" s="102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25" t="str">
        <f>CONCATENATE(D258,J258)</f>
        <v/>
      </c>
      <c r="S258" s="126" t="str">
        <f>IF(E258&gt;=F258,"-","ERR")</f>
        <v>-</v>
      </c>
      <c r="T258" s="126"/>
      <c r="U258" s="126"/>
      <c r="V258" s="126"/>
      <c r="W258" s="126"/>
      <c r="X258" s="126"/>
      <c r="Y258" s="126"/>
      <c r="Z258" s="126"/>
    </row>
    <row r="259" spans="1:29" ht="27" customHeight="1">
      <c r="A259" s="103"/>
      <c r="B259" s="104"/>
      <c r="C259" s="104"/>
      <c r="D259" s="105"/>
      <c r="E259" s="102"/>
      <c r="F259" s="102"/>
      <c r="G259" s="102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25" t="str">
        <f t="shared" ref="R259:R277" si="19">CONCATENATE(D259,J259)</f>
        <v/>
      </c>
      <c r="S259" s="126" t="str">
        <f t="shared" ref="S259:S276" si="20">IF(E259&gt;=F259,"-","ERR")</f>
        <v>-</v>
      </c>
      <c r="T259" s="126"/>
      <c r="U259" s="126"/>
      <c r="V259" s="126"/>
      <c r="W259" s="126"/>
      <c r="X259" s="126"/>
      <c r="Y259" s="126"/>
      <c r="Z259" s="126"/>
    </row>
    <row r="260" spans="1:29" ht="27" customHeight="1">
      <c r="A260" s="103"/>
      <c r="B260" s="104"/>
      <c r="C260" s="104"/>
      <c r="D260" s="105"/>
      <c r="E260" s="102"/>
      <c r="F260" s="102"/>
      <c r="G260" s="102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25" t="str">
        <f t="shared" si="19"/>
        <v/>
      </c>
      <c r="S260" s="126" t="str">
        <f t="shared" si="20"/>
        <v>-</v>
      </c>
      <c r="T260" s="126"/>
      <c r="U260" s="126"/>
      <c r="V260" s="126"/>
      <c r="W260" s="126"/>
      <c r="X260" s="126"/>
      <c r="Y260" s="126"/>
      <c r="Z260" s="126"/>
    </row>
    <row r="261" spans="1:29" ht="27" customHeight="1">
      <c r="A261" s="103"/>
      <c r="B261" s="104"/>
      <c r="C261" s="104"/>
      <c r="D261" s="105"/>
      <c r="E261" s="102"/>
      <c r="F261" s="102"/>
      <c r="G261" s="102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25" t="str">
        <f t="shared" si="19"/>
        <v/>
      </c>
      <c r="S261" s="126" t="str">
        <f t="shared" si="20"/>
        <v>-</v>
      </c>
      <c r="T261" s="126"/>
      <c r="U261" s="126"/>
      <c r="V261" s="126"/>
      <c r="W261" s="126"/>
      <c r="X261" s="126"/>
      <c r="Y261" s="126"/>
      <c r="Z261" s="126"/>
    </row>
    <row r="262" spans="1:29" ht="27" customHeight="1">
      <c r="A262" s="103"/>
      <c r="B262" s="104"/>
      <c r="C262" s="104"/>
      <c r="D262" s="105"/>
      <c r="E262" s="102"/>
      <c r="F262" s="102"/>
      <c r="G262" s="102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25" t="str">
        <f t="shared" si="19"/>
        <v/>
      </c>
      <c r="S262" s="126" t="str">
        <f t="shared" si="20"/>
        <v>-</v>
      </c>
      <c r="T262" s="126"/>
      <c r="U262" s="126"/>
      <c r="V262" s="126"/>
      <c r="W262" s="126"/>
      <c r="X262" s="126"/>
      <c r="Y262" s="126"/>
      <c r="Z262" s="126"/>
    </row>
    <row r="263" spans="1:29" ht="27" customHeight="1">
      <c r="A263" s="103"/>
      <c r="B263" s="104"/>
      <c r="C263" s="104"/>
      <c r="D263" s="105"/>
      <c r="E263" s="102"/>
      <c r="F263" s="102"/>
      <c r="G263" s="102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25" t="str">
        <f t="shared" si="19"/>
        <v/>
      </c>
      <c r="S263" s="126" t="str">
        <f t="shared" si="20"/>
        <v>-</v>
      </c>
      <c r="T263" s="126"/>
      <c r="U263" s="126"/>
      <c r="V263" s="126"/>
      <c r="W263" s="126"/>
      <c r="X263" s="126"/>
      <c r="Y263" s="126"/>
      <c r="Z263" s="126"/>
    </row>
    <row r="264" spans="1:29" ht="27" customHeight="1">
      <c r="A264" s="103"/>
      <c r="B264" s="104"/>
      <c r="C264" s="104"/>
      <c r="D264" s="105"/>
      <c r="E264" s="102"/>
      <c r="F264" s="102"/>
      <c r="G264" s="102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25" t="str">
        <f t="shared" si="19"/>
        <v/>
      </c>
      <c r="S264" s="126" t="str">
        <f t="shared" si="20"/>
        <v>-</v>
      </c>
      <c r="T264" s="126"/>
      <c r="U264" s="126"/>
      <c r="V264" s="126"/>
      <c r="W264" s="126"/>
      <c r="X264" s="126"/>
      <c r="Y264" s="126"/>
      <c r="Z264" s="126"/>
    </row>
    <row r="265" spans="1:29" ht="27" customHeight="1">
      <c r="A265" s="103"/>
      <c r="B265" s="104"/>
      <c r="C265" s="104"/>
      <c r="D265" s="105"/>
      <c r="E265" s="102"/>
      <c r="F265" s="102"/>
      <c r="G265" s="102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25" t="str">
        <f t="shared" si="19"/>
        <v/>
      </c>
      <c r="S265" s="126" t="str">
        <f t="shared" si="20"/>
        <v>-</v>
      </c>
      <c r="T265" s="126"/>
      <c r="U265" s="126"/>
      <c r="V265" s="126"/>
      <c r="W265" s="126"/>
      <c r="X265" s="126"/>
      <c r="Y265" s="126"/>
      <c r="Z265" s="126"/>
    </row>
    <row r="266" spans="1:29" ht="27" customHeight="1">
      <c r="A266" s="103"/>
      <c r="B266" s="104"/>
      <c r="C266" s="104"/>
      <c r="D266" s="105"/>
      <c r="E266" s="102"/>
      <c r="F266" s="102"/>
      <c r="G266" s="102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25" t="str">
        <f t="shared" si="19"/>
        <v/>
      </c>
      <c r="S266" s="126" t="str">
        <f t="shared" si="20"/>
        <v>-</v>
      </c>
      <c r="T266" s="126"/>
      <c r="U266" s="126"/>
      <c r="V266" s="126"/>
      <c r="W266" s="126"/>
      <c r="X266" s="126"/>
      <c r="Y266" s="126"/>
      <c r="Z266" s="126"/>
    </row>
    <row r="267" spans="1:29" ht="27" customHeight="1">
      <c r="A267" s="103"/>
      <c r="B267" s="104"/>
      <c r="C267" s="104"/>
      <c r="D267" s="105"/>
      <c r="E267" s="102"/>
      <c r="F267" s="102"/>
      <c r="G267" s="102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25" t="str">
        <f t="shared" si="19"/>
        <v/>
      </c>
      <c r="S267" s="126" t="str">
        <f t="shared" si="20"/>
        <v>-</v>
      </c>
      <c r="T267" s="126"/>
      <c r="U267" s="126"/>
      <c r="V267" s="126"/>
      <c r="W267" s="126"/>
      <c r="X267" s="126"/>
      <c r="Y267" s="126"/>
      <c r="Z267" s="126"/>
    </row>
    <row r="268" spans="1:29" ht="27" customHeight="1">
      <c r="A268" s="103"/>
      <c r="B268" s="104"/>
      <c r="C268" s="104"/>
      <c r="D268" s="105"/>
      <c r="E268" s="102"/>
      <c r="F268" s="102"/>
      <c r="G268" s="102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25" t="str">
        <f t="shared" si="19"/>
        <v/>
      </c>
      <c r="S268" s="126" t="str">
        <f t="shared" si="20"/>
        <v>-</v>
      </c>
      <c r="T268" s="126"/>
      <c r="U268" s="126"/>
      <c r="V268" s="126"/>
      <c r="W268" s="126"/>
      <c r="X268" s="126"/>
      <c r="Y268" s="126"/>
      <c r="Z268" s="126"/>
    </row>
    <row r="269" spans="1:29" ht="27" customHeight="1">
      <c r="A269" s="103"/>
      <c r="B269" s="104"/>
      <c r="C269" s="104"/>
      <c r="D269" s="105"/>
      <c r="E269" s="102"/>
      <c r="F269" s="102"/>
      <c r="G269" s="102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25" t="str">
        <f t="shared" si="19"/>
        <v/>
      </c>
      <c r="S269" s="126" t="str">
        <f t="shared" si="20"/>
        <v>-</v>
      </c>
      <c r="T269" s="126"/>
      <c r="U269" s="126"/>
      <c r="V269" s="126"/>
      <c r="W269" s="126"/>
      <c r="X269" s="126"/>
      <c r="Y269" s="126"/>
      <c r="Z269" s="126"/>
    </row>
    <row r="270" spans="1:29" ht="27" customHeight="1">
      <c r="A270" s="103"/>
      <c r="B270" s="104"/>
      <c r="C270" s="104"/>
      <c r="D270" s="105"/>
      <c r="E270" s="102"/>
      <c r="F270" s="102"/>
      <c r="G270" s="102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25" t="str">
        <f t="shared" si="19"/>
        <v/>
      </c>
      <c r="S270" s="126" t="str">
        <f t="shared" si="20"/>
        <v>-</v>
      </c>
      <c r="T270" s="126"/>
      <c r="U270" s="126"/>
      <c r="V270" s="126"/>
      <c r="W270" s="126"/>
      <c r="X270" s="126"/>
      <c r="Y270" s="126"/>
      <c r="Z270" s="126"/>
    </row>
    <row r="271" spans="1:29" ht="27" customHeight="1">
      <c r="A271" s="103"/>
      <c r="B271" s="104"/>
      <c r="C271" s="104"/>
      <c r="D271" s="105"/>
      <c r="E271" s="102"/>
      <c r="F271" s="102"/>
      <c r="G271" s="102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25" t="str">
        <f t="shared" si="19"/>
        <v/>
      </c>
      <c r="S271" s="126" t="str">
        <f t="shared" si="20"/>
        <v>-</v>
      </c>
      <c r="T271" s="126"/>
      <c r="U271" s="126"/>
      <c r="V271" s="126"/>
      <c r="W271" s="126"/>
      <c r="X271" s="126"/>
      <c r="Y271" s="126"/>
      <c r="Z271" s="126"/>
    </row>
    <row r="272" spans="1:29" ht="27" customHeight="1">
      <c r="A272" s="103"/>
      <c r="B272" s="104"/>
      <c r="C272" s="104"/>
      <c r="D272" s="105"/>
      <c r="E272" s="102"/>
      <c r="F272" s="102"/>
      <c r="G272" s="102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25" t="str">
        <f t="shared" si="19"/>
        <v/>
      </c>
      <c r="S272" s="126" t="str">
        <f t="shared" si="20"/>
        <v>-</v>
      </c>
      <c r="T272" s="126"/>
      <c r="U272" s="126"/>
      <c r="V272" s="126"/>
      <c r="W272" s="126"/>
      <c r="X272" s="126"/>
      <c r="Y272" s="126"/>
      <c r="Z272" s="126"/>
    </row>
    <row r="273" spans="1:29" ht="27" customHeight="1">
      <c r="A273" s="103"/>
      <c r="B273" s="104"/>
      <c r="C273" s="104"/>
      <c r="D273" s="105"/>
      <c r="E273" s="102"/>
      <c r="F273" s="102"/>
      <c r="G273" s="102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25" t="str">
        <f t="shared" si="19"/>
        <v/>
      </c>
      <c r="S273" s="126" t="str">
        <f t="shared" si="20"/>
        <v>-</v>
      </c>
      <c r="T273" s="126"/>
      <c r="U273" s="126"/>
      <c r="V273" s="126"/>
      <c r="W273" s="126"/>
      <c r="X273" s="126"/>
      <c r="Y273" s="126"/>
      <c r="Z273" s="127"/>
    </row>
    <row r="274" spans="1:29" ht="27" customHeight="1">
      <c r="A274" s="103"/>
      <c r="B274" s="104"/>
      <c r="C274" s="104"/>
      <c r="D274" s="105"/>
      <c r="E274" s="102"/>
      <c r="F274" s="102"/>
      <c r="G274" s="102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25" t="str">
        <f t="shared" si="19"/>
        <v/>
      </c>
      <c r="S274" s="126" t="str">
        <f t="shared" si="20"/>
        <v>-</v>
      </c>
      <c r="T274" s="126"/>
      <c r="U274" s="126"/>
      <c r="V274" s="126"/>
      <c r="W274" s="126"/>
      <c r="X274" s="126"/>
      <c r="Y274" s="126"/>
      <c r="Z274" s="127"/>
    </row>
    <row r="275" spans="1:29" ht="27" customHeight="1">
      <c r="A275" s="103"/>
      <c r="B275" s="104"/>
      <c r="C275" s="104"/>
      <c r="D275" s="105"/>
      <c r="E275" s="102"/>
      <c r="F275" s="102"/>
      <c r="G275" s="102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25" t="str">
        <f t="shared" si="19"/>
        <v/>
      </c>
      <c r="S275" s="126" t="str">
        <f t="shared" si="20"/>
        <v>-</v>
      </c>
      <c r="T275" s="126"/>
      <c r="U275" s="126"/>
      <c r="V275" s="126"/>
      <c r="W275" s="126"/>
      <c r="X275" s="126"/>
      <c r="Y275" s="126"/>
      <c r="Z275" s="127"/>
    </row>
    <row r="276" spans="1:29" ht="27" customHeight="1">
      <c r="A276" s="103"/>
      <c r="B276" s="104"/>
      <c r="C276" s="104"/>
      <c r="D276" s="105"/>
      <c r="E276" s="102"/>
      <c r="F276" s="102"/>
      <c r="G276" s="102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25" t="str">
        <f t="shared" si="19"/>
        <v/>
      </c>
      <c r="S276" s="126" t="str">
        <f t="shared" si="20"/>
        <v>-</v>
      </c>
      <c r="T276" s="126"/>
      <c r="U276" s="126"/>
      <c r="V276" s="126"/>
      <c r="W276" s="126"/>
      <c r="X276" s="126"/>
      <c r="Y276" s="126"/>
      <c r="Z276" s="127"/>
    </row>
    <row r="277" spans="1:29" ht="27" customHeight="1">
      <c r="A277" s="103"/>
      <c r="B277" s="104"/>
      <c r="C277" s="104"/>
      <c r="D277" s="105"/>
      <c r="E277" s="102"/>
      <c r="F277" s="102"/>
      <c r="G277" s="102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25" t="str">
        <f t="shared" si="19"/>
        <v/>
      </c>
      <c r="S277" s="126"/>
      <c r="T277" s="126"/>
      <c r="U277" s="126"/>
      <c r="V277" s="126"/>
      <c r="W277" s="126"/>
      <c r="X277" s="126"/>
      <c r="Y277" s="126"/>
      <c r="Z277" s="141"/>
      <c r="AA277" s="126"/>
      <c r="AB277" s="126"/>
      <c r="AC277" s="126"/>
    </row>
    <row r="278" spans="1:29" ht="27" customHeight="1">
      <c r="A278" s="103"/>
      <c r="B278" s="104"/>
      <c r="C278" s="104"/>
      <c r="D278" s="105"/>
      <c r="E278" s="102"/>
      <c r="F278" s="102"/>
      <c r="G278" s="102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25" t="str">
        <f>CONCATENATE(D278,J278)</f>
        <v/>
      </c>
      <c r="S278" s="126" t="str">
        <f>IF(E278&gt;=F278,"-","ERR")</f>
        <v>-</v>
      </c>
      <c r="T278" s="126"/>
      <c r="U278" s="126"/>
      <c r="V278" s="126"/>
      <c r="W278" s="126"/>
      <c r="X278" s="126"/>
      <c r="Y278" s="126"/>
      <c r="Z278" s="126"/>
    </row>
    <row r="279" spans="1:29" ht="27" customHeight="1">
      <c r="A279" s="103"/>
      <c r="B279" s="104"/>
      <c r="C279" s="104"/>
      <c r="D279" s="105"/>
      <c r="E279" s="102"/>
      <c r="F279" s="102"/>
      <c r="G279" s="102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25" t="str">
        <f t="shared" ref="R279:R298" si="21">CONCATENATE(D279,J279)</f>
        <v/>
      </c>
      <c r="S279" s="126" t="str">
        <f t="shared" ref="S279:S297" si="22">IF(E279&gt;=F279,"-","ERR")</f>
        <v>-</v>
      </c>
      <c r="T279" s="126"/>
      <c r="U279" s="126"/>
      <c r="V279" s="126"/>
      <c r="W279" s="126"/>
      <c r="X279" s="126"/>
      <c r="Y279" s="126"/>
      <c r="Z279" s="126"/>
    </row>
    <row r="280" spans="1:29" ht="27" customHeight="1">
      <c r="A280" s="103"/>
      <c r="B280" s="104"/>
      <c r="C280" s="104"/>
      <c r="D280" s="105"/>
      <c r="E280" s="102"/>
      <c r="F280" s="102"/>
      <c r="G280" s="102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25" t="str">
        <f t="shared" si="21"/>
        <v/>
      </c>
      <c r="S280" s="126" t="str">
        <f t="shared" si="22"/>
        <v>-</v>
      </c>
      <c r="T280" s="126"/>
      <c r="U280" s="126"/>
      <c r="V280" s="126"/>
      <c r="W280" s="126"/>
      <c r="X280" s="126"/>
      <c r="Y280" s="126"/>
      <c r="Z280" s="126"/>
    </row>
    <row r="281" spans="1:29" ht="27" customHeight="1">
      <c r="A281" s="103"/>
      <c r="B281" s="104"/>
      <c r="C281" s="104"/>
      <c r="D281" s="105"/>
      <c r="E281" s="102"/>
      <c r="F281" s="102"/>
      <c r="G281" s="102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25" t="str">
        <f t="shared" si="21"/>
        <v/>
      </c>
      <c r="S281" s="126" t="str">
        <f t="shared" si="22"/>
        <v>-</v>
      </c>
      <c r="T281" s="126"/>
      <c r="U281" s="126"/>
      <c r="V281" s="126"/>
      <c r="W281" s="126"/>
      <c r="X281" s="126"/>
      <c r="Y281" s="126"/>
      <c r="Z281" s="126"/>
    </row>
    <row r="282" spans="1:29" ht="27" customHeight="1">
      <c r="A282" s="103"/>
      <c r="B282" s="104"/>
      <c r="C282" s="104"/>
      <c r="D282" s="105"/>
      <c r="E282" s="102"/>
      <c r="F282" s="102"/>
      <c r="G282" s="102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25" t="str">
        <f t="shared" si="21"/>
        <v/>
      </c>
      <c r="S282" s="126" t="str">
        <f t="shared" si="22"/>
        <v>-</v>
      </c>
      <c r="T282" s="126"/>
      <c r="U282" s="126"/>
      <c r="V282" s="126"/>
      <c r="W282" s="126"/>
      <c r="X282" s="126"/>
      <c r="Y282" s="126"/>
      <c r="Z282" s="126"/>
    </row>
    <row r="283" spans="1:29" ht="27" customHeight="1">
      <c r="A283" s="103"/>
      <c r="B283" s="104"/>
      <c r="C283" s="104"/>
      <c r="D283" s="105"/>
      <c r="E283" s="102"/>
      <c r="F283" s="102"/>
      <c r="G283" s="102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25" t="str">
        <f t="shared" si="21"/>
        <v/>
      </c>
      <c r="S283" s="126" t="str">
        <f t="shared" si="22"/>
        <v>-</v>
      </c>
      <c r="T283" s="126"/>
      <c r="U283" s="126"/>
      <c r="V283" s="126"/>
      <c r="W283" s="126"/>
      <c r="X283" s="126"/>
      <c r="Y283" s="126"/>
      <c r="Z283" s="126"/>
    </row>
    <row r="284" spans="1:29" ht="27" customHeight="1">
      <c r="A284" s="103"/>
      <c r="B284" s="104"/>
      <c r="C284" s="104"/>
      <c r="D284" s="105"/>
      <c r="E284" s="102"/>
      <c r="F284" s="102"/>
      <c r="G284" s="102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25" t="str">
        <f t="shared" si="21"/>
        <v/>
      </c>
      <c r="S284" s="126" t="str">
        <f t="shared" si="22"/>
        <v>-</v>
      </c>
      <c r="T284" s="126"/>
      <c r="U284" s="126"/>
      <c r="V284" s="126"/>
      <c r="W284" s="126"/>
      <c r="X284" s="126"/>
      <c r="Y284" s="126"/>
      <c r="Z284" s="126"/>
    </row>
    <row r="285" spans="1:29" ht="27" customHeight="1">
      <c r="A285" s="103"/>
      <c r="B285" s="104"/>
      <c r="C285" s="104"/>
      <c r="D285" s="105"/>
      <c r="E285" s="102"/>
      <c r="F285" s="102"/>
      <c r="G285" s="102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25" t="str">
        <f t="shared" si="21"/>
        <v/>
      </c>
      <c r="S285" s="126" t="str">
        <f t="shared" si="22"/>
        <v>-</v>
      </c>
      <c r="T285" s="126"/>
      <c r="U285" s="126"/>
      <c r="V285" s="126"/>
      <c r="W285" s="126"/>
      <c r="X285" s="126"/>
      <c r="Y285" s="126"/>
      <c r="Z285" s="126"/>
    </row>
    <row r="286" spans="1:29" ht="27" customHeight="1">
      <c r="A286" s="103"/>
      <c r="B286" s="104"/>
      <c r="C286" s="104"/>
      <c r="D286" s="105"/>
      <c r="E286" s="102"/>
      <c r="F286" s="102"/>
      <c r="G286" s="102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25" t="str">
        <f t="shared" si="21"/>
        <v/>
      </c>
      <c r="S286" s="126" t="str">
        <f t="shared" si="22"/>
        <v>-</v>
      </c>
      <c r="T286" s="126"/>
      <c r="U286" s="126"/>
      <c r="V286" s="126"/>
      <c r="W286" s="126"/>
      <c r="X286" s="126"/>
      <c r="Y286" s="126"/>
      <c r="Z286" s="126"/>
    </row>
    <row r="287" spans="1:29" ht="27" customHeight="1">
      <c r="A287" s="103"/>
      <c r="B287" s="104"/>
      <c r="C287" s="104"/>
      <c r="D287" s="105"/>
      <c r="E287" s="102"/>
      <c r="F287" s="102"/>
      <c r="G287" s="102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25" t="str">
        <f t="shared" si="21"/>
        <v/>
      </c>
      <c r="S287" s="126" t="str">
        <f t="shared" si="22"/>
        <v>-</v>
      </c>
      <c r="T287" s="126"/>
      <c r="U287" s="126"/>
      <c r="V287" s="126"/>
      <c r="W287" s="126"/>
      <c r="X287" s="126"/>
      <c r="Y287" s="126"/>
      <c r="Z287" s="126"/>
    </row>
    <row r="288" spans="1:29" ht="27" customHeight="1">
      <c r="A288" s="103"/>
      <c r="B288" s="104"/>
      <c r="C288" s="104"/>
      <c r="D288" s="105"/>
      <c r="E288" s="102"/>
      <c r="F288" s="102"/>
      <c r="G288" s="102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25" t="str">
        <f t="shared" si="21"/>
        <v/>
      </c>
      <c r="S288" s="126" t="str">
        <f t="shared" si="22"/>
        <v>-</v>
      </c>
      <c r="T288" s="126"/>
      <c r="U288" s="126"/>
      <c r="V288" s="126"/>
      <c r="W288" s="126"/>
      <c r="X288" s="126"/>
      <c r="Y288" s="126"/>
      <c r="Z288" s="126"/>
    </row>
    <row r="289" spans="1:29" ht="27" customHeight="1">
      <c r="A289" s="103"/>
      <c r="B289" s="104"/>
      <c r="C289" s="104"/>
      <c r="D289" s="105"/>
      <c r="E289" s="102"/>
      <c r="F289" s="102"/>
      <c r="G289" s="102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25" t="str">
        <f t="shared" si="21"/>
        <v/>
      </c>
      <c r="S289" s="126" t="str">
        <f t="shared" si="22"/>
        <v>-</v>
      </c>
      <c r="T289" s="126"/>
      <c r="U289" s="126"/>
      <c r="V289" s="126"/>
      <c r="W289" s="126"/>
      <c r="X289" s="126"/>
      <c r="Y289" s="126"/>
      <c r="Z289" s="126"/>
    </row>
    <row r="290" spans="1:29" ht="27" customHeight="1">
      <c r="A290" s="103"/>
      <c r="B290" s="104"/>
      <c r="C290" s="104"/>
      <c r="D290" s="105"/>
      <c r="E290" s="102"/>
      <c r="F290" s="102"/>
      <c r="G290" s="102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25" t="str">
        <f t="shared" si="21"/>
        <v/>
      </c>
      <c r="S290" s="126" t="str">
        <f t="shared" si="22"/>
        <v>-</v>
      </c>
      <c r="T290" s="126"/>
      <c r="U290" s="126"/>
      <c r="V290" s="126"/>
      <c r="W290" s="126"/>
      <c r="X290" s="126"/>
      <c r="Y290" s="126"/>
      <c r="Z290" s="126"/>
    </row>
    <row r="291" spans="1:29" ht="27" customHeight="1">
      <c r="A291" s="103"/>
      <c r="B291" s="104"/>
      <c r="C291" s="104"/>
      <c r="D291" s="105"/>
      <c r="E291" s="102"/>
      <c r="F291" s="102"/>
      <c r="G291" s="102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25" t="str">
        <f t="shared" si="21"/>
        <v/>
      </c>
      <c r="S291" s="126" t="str">
        <f t="shared" si="22"/>
        <v>-</v>
      </c>
      <c r="T291" s="126"/>
      <c r="U291" s="126"/>
      <c r="V291" s="126"/>
      <c r="W291" s="126"/>
      <c r="X291" s="126"/>
      <c r="Y291" s="126"/>
      <c r="Z291" s="126"/>
    </row>
    <row r="292" spans="1:29" ht="27" customHeight="1">
      <c r="A292" s="103"/>
      <c r="B292" s="104"/>
      <c r="C292" s="104"/>
      <c r="D292" s="105"/>
      <c r="E292" s="102"/>
      <c r="F292" s="102"/>
      <c r="G292" s="102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25" t="str">
        <f t="shared" si="21"/>
        <v/>
      </c>
      <c r="S292" s="126" t="str">
        <f t="shared" si="22"/>
        <v>-</v>
      </c>
      <c r="T292" s="126"/>
      <c r="U292" s="126"/>
      <c r="V292" s="126"/>
      <c r="W292" s="126"/>
      <c r="X292" s="126"/>
      <c r="Y292" s="126"/>
      <c r="Z292" s="126"/>
    </row>
    <row r="293" spans="1:29" ht="27" customHeight="1">
      <c r="A293" s="103"/>
      <c r="B293" s="104"/>
      <c r="C293" s="104"/>
      <c r="D293" s="105"/>
      <c r="E293" s="102"/>
      <c r="F293" s="102"/>
      <c r="G293" s="102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25" t="str">
        <f t="shared" si="21"/>
        <v/>
      </c>
      <c r="S293" s="126" t="str">
        <f t="shared" si="22"/>
        <v>-</v>
      </c>
      <c r="T293" s="126"/>
      <c r="U293" s="126"/>
      <c r="V293" s="126"/>
      <c r="W293" s="126"/>
      <c r="X293" s="126"/>
      <c r="Y293" s="126"/>
      <c r="Z293" s="127"/>
    </row>
    <row r="294" spans="1:29" ht="27" customHeight="1">
      <c r="A294" s="103"/>
      <c r="B294" s="104"/>
      <c r="C294" s="104"/>
      <c r="D294" s="105"/>
      <c r="E294" s="102"/>
      <c r="F294" s="102"/>
      <c r="G294" s="102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25" t="str">
        <f t="shared" si="21"/>
        <v/>
      </c>
      <c r="S294" s="126" t="str">
        <f t="shared" si="22"/>
        <v>-</v>
      </c>
      <c r="T294" s="126"/>
      <c r="U294" s="126"/>
      <c r="V294" s="126"/>
      <c r="W294" s="126"/>
      <c r="X294" s="126"/>
      <c r="Y294" s="126"/>
      <c r="Z294" s="127"/>
    </row>
    <row r="295" spans="1:29" ht="27" customHeight="1">
      <c r="A295" s="103"/>
      <c r="B295" s="104"/>
      <c r="C295" s="104"/>
      <c r="D295" s="105"/>
      <c r="E295" s="102"/>
      <c r="F295" s="102"/>
      <c r="G295" s="102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25" t="str">
        <f t="shared" si="21"/>
        <v/>
      </c>
      <c r="S295" s="126" t="str">
        <f t="shared" si="22"/>
        <v>-</v>
      </c>
      <c r="T295" s="126"/>
      <c r="U295" s="126"/>
      <c r="V295" s="126"/>
      <c r="W295" s="126"/>
      <c r="X295" s="126"/>
      <c r="Y295" s="126"/>
      <c r="Z295" s="127"/>
    </row>
    <row r="296" spans="1:29" ht="27" customHeight="1">
      <c r="A296" s="103"/>
      <c r="B296" s="104"/>
      <c r="C296" s="104"/>
      <c r="D296" s="105"/>
      <c r="E296" s="102"/>
      <c r="F296" s="102"/>
      <c r="G296" s="102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25" t="str">
        <f t="shared" si="21"/>
        <v/>
      </c>
      <c r="S296" s="126" t="str">
        <f t="shared" si="22"/>
        <v>-</v>
      </c>
      <c r="T296" s="126"/>
      <c r="U296" s="126"/>
      <c r="V296" s="126"/>
      <c r="W296" s="126"/>
      <c r="X296" s="126"/>
      <c r="Y296" s="126"/>
      <c r="Z296" s="127"/>
    </row>
    <row r="297" spans="1:29" ht="27" customHeight="1">
      <c r="A297" s="103"/>
      <c r="B297" s="104"/>
      <c r="C297" s="104"/>
      <c r="D297" s="105"/>
      <c r="E297" s="102"/>
      <c r="F297" s="102"/>
      <c r="G297" s="102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25" t="str">
        <f t="shared" si="21"/>
        <v/>
      </c>
      <c r="S297" s="126" t="str">
        <f t="shared" si="22"/>
        <v>-</v>
      </c>
      <c r="T297" s="126"/>
      <c r="U297" s="126"/>
      <c r="V297" s="126"/>
      <c r="W297" s="126"/>
      <c r="X297" s="126"/>
      <c r="Y297" s="126"/>
      <c r="Z297" s="141"/>
      <c r="AA297" s="126"/>
      <c r="AB297" s="126"/>
      <c r="AC297" s="126"/>
    </row>
    <row r="298" spans="1:29" ht="27" customHeight="1">
      <c r="A298" s="103"/>
      <c r="B298" s="104"/>
      <c r="C298" s="104"/>
      <c r="D298" s="105"/>
      <c r="E298" s="102"/>
      <c r="F298" s="102"/>
      <c r="G298" s="102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25" t="str">
        <f t="shared" si="21"/>
        <v/>
      </c>
      <c r="S298" s="126"/>
      <c r="T298" s="126"/>
      <c r="U298" s="126"/>
      <c r="V298" s="126"/>
      <c r="W298" s="126"/>
      <c r="X298" s="126"/>
      <c r="Y298" s="126"/>
      <c r="Z298" s="141"/>
      <c r="AA298" s="126"/>
      <c r="AB298" s="126"/>
      <c r="AC298" s="126"/>
    </row>
    <row r="299" spans="1:29" ht="27" customHeight="1">
      <c r="A299" s="103"/>
      <c r="B299" s="104"/>
      <c r="C299" s="104"/>
      <c r="D299" s="105"/>
      <c r="E299" s="102"/>
      <c r="F299" s="102"/>
      <c r="G299" s="102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25" t="str">
        <f>CONCATENATE(D299,J299)</f>
        <v/>
      </c>
      <c r="S299" s="126" t="str">
        <f>IF(E299&gt;=F299,"-","ERR")</f>
        <v>-</v>
      </c>
      <c r="T299" s="126"/>
      <c r="U299" s="126"/>
      <c r="V299" s="126"/>
      <c r="W299" s="126"/>
      <c r="X299" s="126"/>
      <c r="Y299" s="126"/>
      <c r="Z299" s="126"/>
    </row>
    <row r="300" spans="1:29" ht="27" customHeight="1">
      <c r="A300" s="103"/>
      <c r="B300" s="104"/>
      <c r="C300" s="104"/>
      <c r="D300" s="105"/>
      <c r="E300" s="102"/>
      <c r="F300" s="102"/>
      <c r="G300" s="102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25" t="str">
        <f t="shared" ref="R300:R319" si="23">CONCATENATE(D300,J300)</f>
        <v/>
      </c>
      <c r="S300" s="126" t="str">
        <f t="shared" ref="S300:S318" si="24">IF(E300&gt;=F300,"-","ERR")</f>
        <v>-</v>
      </c>
      <c r="T300" s="126"/>
      <c r="U300" s="126"/>
      <c r="V300" s="126"/>
      <c r="W300" s="126"/>
      <c r="X300" s="126"/>
      <c r="Y300" s="126"/>
      <c r="Z300" s="126"/>
    </row>
    <row r="301" spans="1:29" ht="27" customHeight="1">
      <c r="A301" s="103"/>
      <c r="B301" s="104"/>
      <c r="C301" s="104"/>
      <c r="D301" s="105"/>
      <c r="E301" s="102"/>
      <c r="F301" s="102"/>
      <c r="G301" s="102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25" t="str">
        <f t="shared" si="23"/>
        <v/>
      </c>
      <c r="S301" s="126" t="str">
        <f t="shared" si="24"/>
        <v>-</v>
      </c>
      <c r="T301" s="126"/>
      <c r="U301" s="126"/>
      <c r="V301" s="126"/>
      <c r="W301" s="126"/>
      <c r="X301" s="126"/>
      <c r="Y301" s="126"/>
      <c r="Z301" s="126"/>
    </row>
    <row r="302" spans="1:29" ht="27" customHeight="1">
      <c r="A302" s="103"/>
      <c r="B302" s="104"/>
      <c r="C302" s="104"/>
      <c r="D302" s="105"/>
      <c r="E302" s="102"/>
      <c r="F302" s="102"/>
      <c r="G302" s="102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25" t="str">
        <f t="shared" si="23"/>
        <v/>
      </c>
      <c r="S302" s="126" t="str">
        <f t="shared" si="24"/>
        <v>-</v>
      </c>
      <c r="T302" s="126"/>
      <c r="U302" s="126"/>
      <c r="V302" s="126"/>
      <c r="W302" s="126"/>
      <c r="X302" s="126"/>
      <c r="Y302" s="126"/>
      <c r="Z302" s="126"/>
    </row>
    <row r="303" spans="1:29" ht="27" customHeight="1">
      <c r="A303" s="103"/>
      <c r="B303" s="104"/>
      <c r="C303" s="104"/>
      <c r="D303" s="105"/>
      <c r="E303" s="102"/>
      <c r="F303" s="102"/>
      <c r="G303" s="102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25" t="str">
        <f t="shared" si="23"/>
        <v/>
      </c>
      <c r="S303" s="126" t="str">
        <f t="shared" si="24"/>
        <v>-</v>
      </c>
      <c r="T303" s="126"/>
      <c r="U303" s="126"/>
      <c r="V303" s="126"/>
      <c r="W303" s="126"/>
      <c r="X303" s="126"/>
      <c r="Y303" s="126"/>
      <c r="Z303" s="126"/>
    </row>
    <row r="304" spans="1:29" ht="27" customHeight="1">
      <c r="A304" s="103"/>
      <c r="B304" s="104"/>
      <c r="C304" s="104"/>
      <c r="D304" s="105"/>
      <c r="E304" s="102"/>
      <c r="F304" s="102"/>
      <c r="G304" s="102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25" t="str">
        <f t="shared" si="23"/>
        <v/>
      </c>
      <c r="S304" s="126" t="str">
        <f t="shared" si="24"/>
        <v>-</v>
      </c>
      <c r="T304" s="126"/>
      <c r="U304" s="126"/>
      <c r="V304" s="126"/>
      <c r="W304" s="126"/>
      <c r="X304" s="126"/>
      <c r="Y304" s="126"/>
      <c r="Z304" s="126"/>
    </row>
    <row r="305" spans="1:29" ht="27" customHeight="1">
      <c r="A305" s="103"/>
      <c r="B305" s="104"/>
      <c r="C305" s="104"/>
      <c r="D305" s="105"/>
      <c r="E305" s="102"/>
      <c r="F305" s="102"/>
      <c r="G305" s="102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25" t="str">
        <f t="shared" si="23"/>
        <v/>
      </c>
      <c r="S305" s="126" t="str">
        <f t="shared" si="24"/>
        <v>-</v>
      </c>
      <c r="T305" s="126"/>
      <c r="U305" s="126"/>
      <c r="V305" s="126"/>
      <c r="W305" s="126"/>
      <c r="X305" s="126"/>
      <c r="Y305" s="126"/>
      <c r="Z305" s="126"/>
    </row>
    <row r="306" spans="1:29" ht="27" customHeight="1">
      <c r="A306" s="103"/>
      <c r="B306" s="104"/>
      <c r="C306" s="104"/>
      <c r="D306" s="105"/>
      <c r="E306" s="102"/>
      <c r="F306" s="102"/>
      <c r="G306" s="102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25" t="str">
        <f t="shared" si="23"/>
        <v/>
      </c>
      <c r="S306" s="126" t="str">
        <f t="shared" si="24"/>
        <v>-</v>
      </c>
      <c r="T306" s="126"/>
      <c r="U306" s="126"/>
      <c r="V306" s="126"/>
      <c r="W306" s="126"/>
      <c r="X306" s="126"/>
      <c r="Y306" s="126"/>
      <c r="Z306" s="126"/>
    </row>
    <row r="307" spans="1:29" ht="27" customHeight="1">
      <c r="A307" s="103"/>
      <c r="B307" s="104"/>
      <c r="C307" s="104"/>
      <c r="D307" s="105"/>
      <c r="E307" s="102"/>
      <c r="F307" s="102"/>
      <c r="G307" s="102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25" t="str">
        <f t="shared" si="23"/>
        <v/>
      </c>
      <c r="S307" s="126" t="str">
        <f t="shared" si="24"/>
        <v>-</v>
      </c>
      <c r="T307" s="126"/>
      <c r="U307" s="126"/>
      <c r="V307" s="126"/>
      <c r="W307" s="126"/>
      <c r="X307" s="126"/>
      <c r="Y307" s="126"/>
      <c r="Z307" s="126"/>
    </row>
    <row r="308" spans="1:29" ht="27" customHeight="1">
      <c r="A308" s="103"/>
      <c r="B308" s="104"/>
      <c r="C308" s="104"/>
      <c r="D308" s="105"/>
      <c r="E308" s="102"/>
      <c r="F308" s="102"/>
      <c r="G308" s="102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25" t="str">
        <f t="shared" si="23"/>
        <v/>
      </c>
      <c r="S308" s="126" t="str">
        <f t="shared" si="24"/>
        <v>-</v>
      </c>
      <c r="T308" s="126"/>
      <c r="U308" s="126"/>
      <c r="V308" s="126"/>
      <c r="W308" s="126"/>
      <c r="X308" s="126"/>
      <c r="Y308" s="126"/>
      <c r="Z308" s="126"/>
    </row>
    <row r="309" spans="1:29" ht="27" customHeight="1">
      <c r="A309" s="103"/>
      <c r="B309" s="104"/>
      <c r="C309" s="104"/>
      <c r="D309" s="105"/>
      <c r="E309" s="102"/>
      <c r="F309" s="102"/>
      <c r="G309" s="102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25" t="str">
        <f t="shared" si="23"/>
        <v/>
      </c>
      <c r="S309" s="126" t="str">
        <f t="shared" si="24"/>
        <v>-</v>
      </c>
      <c r="T309" s="126"/>
      <c r="U309" s="126"/>
      <c r="V309" s="126"/>
      <c r="W309" s="126"/>
      <c r="X309" s="126"/>
      <c r="Y309" s="126"/>
      <c r="Z309" s="126"/>
    </row>
    <row r="310" spans="1:29" ht="27" customHeight="1">
      <c r="A310" s="103"/>
      <c r="B310" s="104"/>
      <c r="C310" s="104"/>
      <c r="D310" s="105"/>
      <c r="E310" s="102"/>
      <c r="F310" s="102"/>
      <c r="G310" s="102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25" t="str">
        <f t="shared" si="23"/>
        <v/>
      </c>
      <c r="S310" s="126" t="str">
        <f t="shared" si="24"/>
        <v>-</v>
      </c>
      <c r="T310" s="126"/>
      <c r="U310" s="126"/>
      <c r="V310" s="126"/>
      <c r="W310" s="126"/>
      <c r="X310" s="126"/>
      <c r="Y310" s="126"/>
      <c r="Z310" s="126"/>
    </row>
    <row r="311" spans="1:29" ht="27" customHeight="1">
      <c r="A311" s="103"/>
      <c r="B311" s="104"/>
      <c r="C311" s="104"/>
      <c r="D311" s="105"/>
      <c r="E311" s="102"/>
      <c r="F311" s="102"/>
      <c r="G311" s="102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25" t="str">
        <f t="shared" si="23"/>
        <v/>
      </c>
      <c r="S311" s="126" t="str">
        <f t="shared" si="24"/>
        <v>-</v>
      </c>
      <c r="T311" s="126"/>
      <c r="U311" s="126"/>
      <c r="V311" s="126"/>
      <c r="W311" s="126"/>
      <c r="X311" s="126"/>
      <c r="Y311" s="126"/>
      <c r="Z311" s="126"/>
    </row>
    <row r="312" spans="1:29" ht="27" customHeight="1">
      <c r="A312" s="103"/>
      <c r="B312" s="104"/>
      <c r="C312" s="104"/>
      <c r="D312" s="105"/>
      <c r="E312" s="102"/>
      <c r="F312" s="102"/>
      <c r="G312" s="102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25" t="str">
        <f t="shared" si="23"/>
        <v/>
      </c>
      <c r="S312" s="126" t="str">
        <f t="shared" si="24"/>
        <v>-</v>
      </c>
      <c r="T312" s="126"/>
      <c r="U312" s="126"/>
      <c r="V312" s="126"/>
      <c r="W312" s="126"/>
      <c r="X312" s="126"/>
      <c r="Y312" s="126"/>
      <c r="Z312" s="126"/>
    </row>
    <row r="313" spans="1:29" ht="27" customHeight="1">
      <c r="A313" s="103"/>
      <c r="B313" s="104"/>
      <c r="C313" s="104"/>
      <c r="D313" s="105"/>
      <c r="E313" s="102"/>
      <c r="F313" s="102"/>
      <c r="G313" s="102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25" t="str">
        <f t="shared" si="23"/>
        <v/>
      </c>
      <c r="S313" s="126" t="str">
        <f t="shared" si="24"/>
        <v>-</v>
      </c>
      <c r="T313" s="126"/>
      <c r="U313" s="126"/>
      <c r="V313" s="126"/>
      <c r="W313" s="126"/>
      <c r="X313" s="126"/>
      <c r="Y313" s="126"/>
      <c r="Z313" s="126"/>
    </row>
    <row r="314" spans="1:29" ht="27" customHeight="1">
      <c r="A314" s="103"/>
      <c r="B314" s="104"/>
      <c r="C314" s="104"/>
      <c r="D314" s="105"/>
      <c r="E314" s="102"/>
      <c r="F314" s="102"/>
      <c r="G314" s="102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25" t="str">
        <f t="shared" si="23"/>
        <v/>
      </c>
      <c r="S314" s="126" t="str">
        <f t="shared" si="24"/>
        <v>-</v>
      </c>
      <c r="T314" s="126"/>
      <c r="U314" s="126"/>
      <c r="V314" s="126"/>
      <c r="W314" s="126"/>
      <c r="X314" s="126"/>
      <c r="Y314" s="126"/>
      <c r="Z314" s="127"/>
    </row>
    <row r="315" spans="1:29" ht="27" customHeight="1">
      <c r="A315" s="103"/>
      <c r="B315" s="104"/>
      <c r="C315" s="104"/>
      <c r="D315" s="105"/>
      <c r="E315" s="102"/>
      <c r="F315" s="102"/>
      <c r="G315" s="102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25" t="str">
        <f t="shared" si="23"/>
        <v/>
      </c>
      <c r="S315" s="126" t="str">
        <f t="shared" si="24"/>
        <v>-</v>
      </c>
      <c r="T315" s="126"/>
      <c r="U315" s="126"/>
      <c r="V315" s="126"/>
      <c r="W315" s="126"/>
      <c r="X315" s="126"/>
      <c r="Y315" s="126"/>
      <c r="Z315" s="127"/>
    </row>
    <row r="316" spans="1:29" ht="27" customHeight="1">
      <c r="A316" s="103"/>
      <c r="B316" s="104"/>
      <c r="C316" s="104"/>
      <c r="D316" s="105"/>
      <c r="E316" s="102"/>
      <c r="F316" s="102"/>
      <c r="G316" s="102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25" t="str">
        <f t="shared" si="23"/>
        <v/>
      </c>
      <c r="S316" s="126" t="str">
        <f t="shared" si="24"/>
        <v>-</v>
      </c>
      <c r="T316" s="126"/>
      <c r="U316" s="126"/>
      <c r="V316" s="126"/>
      <c r="W316" s="126"/>
      <c r="X316" s="126"/>
      <c r="Y316" s="126"/>
      <c r="Z316" s="127"/>
    </row>
    <row r="317" spans="1:29" ht="27" customHeight="1">
      <c r="A317" s="103"/>
      <c r="B317" s="104"/>
      <c r="C317" s="104"/>
      <c r="D317" s="105"/>
      <c r="E317" s="102"/>
      <c r="F317" s="102"/>
      <c r="G317" s="102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25" t="str">
        <f t="shared" si="23"/>
        <v/>
      </c>
      <c r="S317" s="126" t="str">
        <f t="shared" si="24"/>
        <v>-</v>
      </c>
      <c r="T317" s="126"/>
      <c r="U317" s="126"/>
      <c r="V317" s="126"/>
      <c r="W317" s="126"/>
      <c r="X317" s="126"/>
      <c r="Y317" s="126"/>
      <c r="Z317" s="127"/>
    </row>
    <row r="318" spans="1:29" ht="27" customHeight="1">
      <c r="A318" s="103"/>
      <c r="B318" s="104"/>
      <c r="C318" s="104"/>
      <c r="D318" s="105"/>
      <c r="E318" s="102"/>
      <c r="F318" s="102"/>
      <c r="G318" s="102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25" t="str">
        <f t="shared" si="23"/>
        <v/>
      </c>
      <c r="S318" s="126" t="str">
        <f t="shared" si="24"/>
        <v>-</v>
      </c>
      <c r="T318" s="126"/>
      <c r="U318" s="126"/>
      <c r="V318" s="126"/>
      <c r="W318" s="126"/>
      <c r="X318" s="126"/>
      <c r="Y318" s="126"/>
      <c r="Z318" s="141"/>
      <c r="AA318" s="126"/>
      <c r="AB318" s="126"/>
      <c r="AC318" s="126"/>
    </row>
    <row r="319" spans="1:29" ht="27" customHeight="1">
      <c r="A319" s="103"/>
      <c r="B319" s="104"/>
      <c r="C319" s="104"/>
      <c r="D319" s="105"/>
      <c r="E319" s="102"/>
      <c r="F319" s="102"/>
      <c r="G319" s="102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25" t="str">
        <f t="shared" si="23"/>
        <v/>
      </c>
      <c r="S319" s="126"/>
      <c r="T319" s="126"/>
      <c r="U319" s="126"/>
      <c r="V319" s="126"/>
      <c r="W319" s="126"/>
      <c r="X319" s="126"/>
      <c r="Y319" s="126"/>
      <c r="Z319" s="141"/>
      <c r="AA319" s="126"/>
      <c r="AB319" s="126"/>
      <c r="AC319" s="126"/>
    </row>
    <row r="320" spans="1:29" ht="27" customHeight="1">
      <c r="A320" s="103"/>
      <c r="B320" s="104"/>
      <c r="C320" s="104"/>
      <c r="D320" s="105"/>
      <c r="E320" s="102"/>
      <c r="F320" s="102"/>
      <c r="G320" s="102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25" t="str">
        <f>CONCATENATE(D320,J320)</f>
        <v/>
      </c>
      <c r="S320" s="126" t="str">
        <f>IF(E320&gt;=F320,"-","ERR")</f>
        <v>-</v>
      </c>
      <c r="T320" s="126"/>
      <c r="U320" s="126"/>
      <c r="V320" s="126"/>
      <c r="W320" s="126"/>
      <c r="X320" s="126"/>
      <c r="Y320" s="126"/>
      <c r="Z320" s="126"/>
    </row>
    <row r="321" spans="1:26" ht="27" customHeight="1">
      <c r="A321" s="103"/>
      <c r="B321" s="104"/>
      <c r="C321" s="104"/>
      <c r="D321" s="105"/>
      <c r="E321" s="102"/>
      <c r="F321" s="102"/>
      <c r="G321" s="102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25" t="str">
        <f t="shared" ref="R321:R340" si="25">CONCATENATE(D321,J321)</f>
        <v/>
      </c>
      <c r="S321" s="126" t="str">
        <f t="shared" ref="S321:S339" si="26">IF(E321&gt;=F321,"-","ERR")</f>
        <v>-</v>
      </c>
      <c r="T321" s="126"/>
      <c r="U321" s="126"/>
      <c r="V321" s="126"/>
      <c r="W321" s="126"/>
      <c r="X321" s="126"/>
      <c r="Y321" s="126"/>
      <c r="Z321" s="126"/>
    </row>
    <row r="322" spans="1:26" ht="27" customHeight="1">
      <c r="A322" s="103"/>
      <c r="B322" s="104"/>
      <c r="C322" s="104"/>
      <c r="D322" s="105"/>
      <c r="E322" s="102"/>
      <c r="F322" s="102"/>
      <c r="G322" s="102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25" t="str">
        <f t="shared" si="25"/>
        <v/>
      </c>
      <c r="S322" s="126" t="str">
        <f t="shared" si="26"/>
        <v>-</v>
      </c>
      <c r="T322" s="126"/>
      <c r="U322" s="126"/>
      <c r="V322" s="126"/>
      <c r="W322" s="126"/>
      <c r="X322" s="126"/>
      <c r="Y322" s="126"/>
      <c r="Z322" s="126"/>
    </row>
    <row r="323" spans="1:26" ht="27" customHeight="1">
      <c r="A323" s="103"/>
      <c r="B323" s="104"/>
      <c r="C323" s="104"/>
      <c r="D323" s="105"/>
      <c r="E323" s="102"/>
      <c r="F323" s="102"/>
      <c r="G323" s="102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25" t="str">
        <f t="shared" si="25"/>
        <v/>
      </c>
      <c r="S323" s="126" t="str">
        <f t="shared" si="26"/>
        <v>-</v>
      </c>
      <c r="T323" s="126"/>
      <c r="U323" s="126"/>
      <c r="V323" s="126"/>
      <c r="W323" s="126"/>
      <c r="X323" s="126"/>
      <c r="Y323" s="126"/>
      <c r="Z323" s="126"/>
    </row>
    <row r="324" spans="1:26" ht="27" customHeight="1">
      <c r="A324" s="103"/>
      <c r="B324" s="104"/>
      <c r="C324" s="104"/>
      <c r="D324" s="105"/>
      <c r="E324" s="102"/>
      <c r="F324" s="102"/>
      <c r="G324" s="102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25" t="str">
        <f t="shared" si="25"/>
        <v/>
      </c>
      <c r="S324" s="126" t="str">
        <f t="shared" si="26"/>
        <v>-</v>
      </c>
      <c r="T324" s="126"/>
      <c r="U324" s="126"/>
      <c r="V324" s="126"/>
      <c r="W324" s="126"/>
      <c r="X324" s="126"/>
      <c r="Y324" s="126"/>
      <c r="Z324" s="126"/>
    </row>
    <row r="325" spans="1:26" ht="27" customHeight="1">
      <c r="A325" s="103"/>
      <c r="B325" s="104"/>
      <c r="C325" s="104"/>
      <c r="D325" s="105"/>
      <c r="E325" s="102"/>
      <c r="F325" s="102"/>
      <c r="G325" s="102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25" t="str">
        <f t="shared" si="25"/>
        <v/>
      </c>
      <c r="S325" s="126" t="str">
        <f t="shared" si="26"/>
        <v>-</v>
      </c>
      <c r="T325" s="126"/>
      <c r="U325" s="126"/>
      <c r="V325" s="126"/>
      <c r="W325" s="126"/>
      <c r="X325" s="126"/>
      <c r="Y325" s="126"/>
      <c r="Z325" s="126"/>
    </row>
    <row r="326" spans="1:26" ht="27" customHeight="1">
      <c r="A326" s="103"/>
      <c r="B326" s="104"/>
      <c r="C326" s="104"/>
      <c r="D326" s="105"/>
      <c r="E326" s="102"/>
      <c r="F326" s="102"/>
      <c r="G326" s="102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25" t="str">
        <f t="shared" si="25"/>
        <v/>
      </c>
      <c r="S326" s="126" t="str">
        <f t="shared" si="26"/>
        <v>-</v>
      </c>
      <c r="T326" s="126"/>
      <c r="U326" s="126"/>
      <c r="V326" s="126"/>
      <c r="W326" s="126"/>
      <c r="X326" s="126"/>
      <c r="Y326" s="126"/>
      <c r="Z326" s="126"/>
    </row>
    <row r="327" spans="1:26" ht="27" customHeight="1">
      <c r="A327" s="103"/>
      <c r="B327" s="104"/>
      <c r="C327" s="104"/>
      <c r="D327" s="105"/>
      <c r="E327" s="102"/>
      <c r="F327" s="102"/>
      <c r="G327" s="102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25" t="str">
        <f t="shared" si="25"/>
        <v/>
      </c>
      <c r="S327" s="126" t="str">
        <f t="shared" si="26"/>
        <v>-</v>
      </c>
      <c r="T327" s="126"/>
      <c r="U327" s="126"/>
      <c r="V327" s="126"/>
      <c r="W327" s="126"/>
      <c r="X327" s="126"/>
      <c r="Y327" s="126"/>
      <c r="Z327" s="126"/>
    </row>
    <row r="328" spans="1:26" ht="27" customHeight="1">
      <c r="A328" s="103"/>
      <c r="B328" s="104"/>
      <c r="C328" s="104"/>
      <c r="D328" s="105"/>
      <c r="E328" s="102"/>
      <c r="F328" s="102"/>
      <c r="G328" s="102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25" t="str">
        <f t="shared" si="25"/>
        <v/>
      </c>
      <c r="S328" s="126" t="str">
        <f t="shared" si="26"/>
        <v>-</v>
      </c>
      <c r="T328" s="126"/>
      <c r="U328" s="126"/>
      <c r="V328" s="126"/>
      <c r="W328" s="126"/>
      <c r="X328" s="126"/>
      <c r="Y328" s="126"/>
      <c r="Z328" s="126"/>
    </row>
    <row r="329" spans="1:26" ht="27" customHeight="1">
      <c r="A329" s="103"/>
      <c r="B329" s="104"/>
      <c r="C329" s="104"/>
      <c r="D329" s="105"/>
      <c r="E329" s="102"/>
      <c r="F329" s="102"/>
      <c r="G329" s="102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25" t="str">
        <f t="shared" si="25"/>
        <v/>
      </c>
      <c r="S329" s="126" t="str">
        <f t="shared" si="26"/>
        <v>-</v>
      </c>
      <c r="T329" s="126"/>
      <c r="U329" s="126"/>
      <c r="V329" s="126"/>
      <c r="W329" s="126"/>
      <c r="X329" s="126"/>
      <c r="Y329" s="126"/>
      <c r="Z329" s="126"/>
    </row>
    <row r="330" spans="1:26" ht="27" customHeight="1">
      <c r="A330" s="103"/>
      <c r="B330" s="104"/>
      <c r="C330" s="104"/>
      <c r="D330" s="105"/>
      <c r="E330" s="102"/>
      <c r="F330" s="102"/>
      <c r="G330" s="102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25" t="str">
        <f t="shared" si="25"/>
        <v/>
      </c>
      <c r="S330" s="126" t="str">
        <f t="shared" si="26"/>
        <v>-</v>
      </c>
      <c r="T330" s="126"/>
      <c r="U330" s="126"/>
      <c r="V330" s="126"/>
      <c r="W330" s="126"/>
      <c r="X330" s="126"/>
      <c r="Y330" s="126"/>
      <c r="Z330" s="126"/>
    </row>
    <row r="331" spans="1:26" ht="27" customHeight="1">
      <c r="A331" s="103"/>
      <c r="B331" s="104"/>
      <c r="C331" s="104"/>
      <c r="D331" s="105"/>
      <c r="E331" s="102"/>
      <c r="F331" s="102"/>
      <c r="G331" s="102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25" t="str">
        <f t="shared" si="25"/>
        <v/>
      </c>
      <c r="S331" s="126" t="str">
        <f t="shared" si="26"/>
        <v>-</v>
      </c>
      <c r="T331" s="126"/>
      <c r="U331" s="126"/>
      <c r="V331" s="126"/>
      <c r="W331" s="126"/>
      <c r="X331" s="126"/>
      <c r="Y331" s="126"/>
      <c r="Z331" s="126"/>
    </row>
    <row r="332" spans="1:26" ht="27" customHeight="1">
      <c r="A332" s="103"/>
      <c r="B332" s="104"/>
      <c r="C332" s="104"/>
      <c r="D332" s="105"/>
      <c r="E332" s="102"/>
      <c r="F332" s="102"/>
      <c r="G332" s="102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25" t="str">
        <f t="shared" si="25"/>
        <v/>
      </c>
      <c r="S332" s="126" t="str">
        <f t="shared" si="26"/>
        <v>-</v>
      </c>
      <c r="T332" s="126"/>
      <c r="U332" s="126"/>
      <c r="V332" s="126"/>
      <c r="W332" s="126"/>
      <c r="X332" s="126"/>
      <c r="Y332" s="126"/>
      <c r="Z332" s="126"/>
    </row>
    <row r="333" spans="1:26" ht="27" customHeight="1">
      <c r="A333" s="103"/>
      <c r="B333" s="104"/>
      <c r="C333" s="104"/>
      <c r="D333" s="105"/>
      <c r="E333" s="102"/>
      <c r="F333" s="102"/>
      <c r="G333" s="102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25" t="str">
        <f t="shared" si="25"/>
        <v/>
      </c>
      <c r="S333" s="126" t="str">
        <f t="shared" si="26"/>
        <v>-</v>
      </c>
      <c r="T333" s="126"/>
      <c r="U333" s="126"/>
      <c r="V333" s="126"/>
      <c r="W333" s="126"/>
      <c r="X333" s="126"/>
      <c r="Y333" s="126"/>
      <c r="Z333" s="126"/>
    </row>
    <row r="334" spans="1:26" ht="27" customHeight="1">
      <c r="A334" s="103"/>
      <c r="B334" s="104"/>
      <c r="C334" s="104"/>
      <c r="D334" s="105"/>
      <c r="E334" s="102"/>
      <c r="F334" s="102"/>
      <c r="G334" s="102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25" t="str">
        <f t="shared" si="25"/>
        <v/>
      </c>
      <c r="S334" s="126" t="str">
        <f t="shared" si="26"/>
        <v>-</v>
      </c>
      <c r="T334" s="126"/>
      <c r="U334" s="126"/>
      <c r="V334" s="126"/>
      <c r="W334" s="126"/>
      <c r="X334" s="126"/>
      <c r="Y334" s="126"/>
      <c r="Z334" s="126"/>
    </row>
    <row r="335" spans="1:26" ht="27" customHeight="1">
      <c r="A335" s="103"/>
      <c r="B335" s="104"/>
      <c r="C335" s="104"/>
      <c r="D335" s="105"/>
      <c r="E335" s="102"/>
      <c r="F335" s="102"/>
      <c r="G335" s="102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25" t="str">
        <f t="shared" si="25"/>
        <v/>
      </c>
      <c r="S335" s="126" t="str">
        <f t="shared" si="26"/>
        <v>-</v>
      </c>
      <c r="T335" s="126"/>
      <c r="U335" s="126"/>
      <c r="V335" s="126"/>
      <c r="W335" s="126"/>
      <c r="X335" s="126"/>
      <c r="Y335" s="126"/>
      <c r="Z335" s="127"/>
    </row>
    <row r="336" spans="1:26" ht="27" customHeight="1">
      <c r="A336" s="103"/>
      <c r="B336" s="104"/>
      <c r="C336" s="104"/>
      <c r="D336" s="105"/>
      <c r="E336" s="102"/>
      <c r="F336" s="102"/>
      <c r="G336" s="102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25" t="str">
        <f t="shared" si="25"/>
        <v/>
      </c>
      <c r="S336" s="126" t="str">
        <f t="shared" si="26"/>
        <v>-</v>
      </c>
      <c r="T336" s="126"/>
      <c r="U336" s="126"/>
      <c r="V336" s="126"/>
      <c r="W336" s="126"/>
      <c r="X336" s="126"/>
      <c r="Y336" s="126"/>
      <c r="Z336" s="127"/>
    </row>
    <row r="337" spans="1:29" ht="27" customHeight="1">
      <c r="A337" s="103"/>
      <c r="B337" s="104"/>
      <c r="C337" s="104"/>
      <c r="D337" s="105"/>
      <c r="E337" s="102"/>
      <c r="F337" s="102"/>
      <c r="G337" s="102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25" t="str">
        <f t="shared" si="25"/>
        <v/>
      </c>
      <c r="S337" s="126" t="str">
        <f t="shared" si="26"/>
        <v>-</v>
      </c>
      <c r="T337" s="126"/>
      <c r="U337" s="126"/>
      <c r="V337" s="126"/>
      <c r="W337" s="126"/>
      <c r="X337" s="126"/>
      <c r="Y337" s="126"/>
      <c r="Z337" s="127"/>
    </row>
    <row r="338" spans="1:29" ht="27" customHeight="1">
      <c r="A338" s="103"/>
      <c r="B338" s="104"/>
      <c r="C338" s="104"/>
      <c r="D338" s="105"/>
      <c r="E338" s="102"/>
      <c r="F338" s="102"/>
      <c r="G338" s="102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25" t="str">
        <f t="shared" si="25"/>
        <v/>
      </c>
      <c r="S338" s="126" t="str">
        <f t="shared" si="26"/>
        <v>-</v>
      </c>
      <c r="T338" s="126"/>
      <c r="U338" s="126"/>
      <c r="V338" s="126"/>
      <c r="W338" s="126"/>
      <c r="X338" s="126"/>
      <c r="Y338" s="126"/>
      <c r="Z338" s="127"/>
    </row>
    <row r="339" spans="1:29" ht="27" customHeight="1">
      <c r="A339" s="103"/>
      <c r="B339" s="104"/>
      <c r="C339" s="104"/>
      <c r="D339" s="105"/>
      <c r="E339" s="102"/>
      <c r="F339" s="102"/>
      <c r="G339" s="102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25" t="str">
        <f t="shared" si="25"/>
        <v/>
      </c>
      <c r="S339" s="126" t="str">
        <f t="shared" si="26"/>
        <v>-</v>
      </c>
      <c r="T339" s="126"/>
      <c r="U339" s="126"/>
      <c r="V339" s="126"/>
      <c r="W339" s="126"/>
      <c r="X339" s="126"/>
      <c r="Y339" s="126"/>
      <c r="Z339" s="141"/>
      <c r="AA339" s="126"/>
      <c r="AB339" s="126"/>
      <c r="AC339" s="126"/>
    </row>
    <row r="340" spans="1:29" ht="27" customHeight="1">
      <c r="A340" s="103"/>
      <c r="B340" s="104"/>
      <c r="C340" s="104"/>
      <c r="D340" s="105"/>
      <c r="E340" s="102"/>
      <c r="F340" s="102"/>
      <c r="G340" s="102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25" t="str">
        <f t="shared" si="25"/>
        <v/>
      </c>
      <c r="S340" s="126"/>
      <c r="T340" s="126"/>
      <c r="U340" s="126"/>
      <c r="V340" s="126"/>
      <c r="W340" s="126"/>
      <c r="X340" s="126"/>
      <c r="Y340" s="126"/>
      <c r="Z340" s="141"/>
      <c r="AA340" s="126"/>
      <c r="AB340" s="126"/>
      <c r="AC340" s="126"/>
    </row>
    <row r="341" spans="1:29" ht="27" customHeight="1">
      <c r="A341" s="103"/>
      <c r="B341" s="104"/>
      <c r="C341" s="104"/>
      <c r="D341" s="105"/>
      <c r="E341" s="102"/>
      <c r="F341" s="102"/>
      <c r="G341" s="102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25" t="str">
        <f>CONCATENATE(D341,J341)</f>
        <v/>
      </c>
      <c r="S341" s="126" t="str">
        <f>IF(E341&gt;=F341,"-","ERR")</f>
        <v>-</v>
      </c>
      <c r="T341" s="126"/>
      <c r="U341" s="126"/>
      <c r="V341" s="126"/>
      <c r="W341" s="126"/>
      <c r="X341" s="126"/>
      <c r="Y341" s="126"/>
      <c r="Z341" s="126"/>
    </row>
    <row r="342" spans="1:29" ht="27" customHeight="1">
      <c r="A342" s="103"/>
      <c r="B342" s="104"/>
      <c r="C342" s="104"/>
      <c r="D342" s="105"/>
      <c r="E342" s="102"/>
      <c r="F342" s="102"/>
      <c r="G342" s="102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25" t="str">
        <f t="shared" ref="R342:R361" si="27">CONCATENATE(D342,J342)</f>
        <v/>
      </c>
      <c r="S342" s="126" t="str">
        <f t="shared" ref="S342:S360" si="28">IF(E342&gt;=F342,"-","ERR")</f>
        <v>-</v>
      </c>
      <c r="T342" s="126"/>
      <c r="U342" s="126"/>
      <c r="V342" s="126"/>
      <c r="W342" s="126"/>
      <c r="X342" s="126"/>
      <c r="Y342" s="126"/>
      <c r="Z342" s="126"/>
    </row>
    <row r="343" spans="1:29" ht="27" customHeight="1">
      <c r="A343" s="103"/>
      <c r="B343" s="104"/>
      <c r="C343" s="104"/>
      <c r="D343" s="105"/>
      <c r="E343" s="102"/>
      <c r="F343" s="102"/>
      <c r="G343" s="102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25" t="str">
        <f t="shared" si="27"/>
        <v/>
      </c>
      <c r="S343" s="126" t="str">
        <f t="shared" si="28"/>
        <v>-</v>
      </c>
      <c r="T343" s="126"/>
      <c r="U343" s="126"/>
      <c r="V343" s="126"/>
      <c r="W343" s="126"/>
      <c r="X343" s="126"/>
      <c r="Y343" s="126"/>
      <c r="Z343" s="126"/>
    </row>
    <row r="344" spans="1:29" ht="27" customHeight="1">
      <c r="A344" s="103"/>
      <c r="B344" s="104"/>
      <c r="C344" s="104"/>
      <c r="D344" s="105"/>
      <c r="E344" s="102"/>
      <c r="F344" s="102"/>
      <c r="G344" s="102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25" t="str">
        <f t="shared" si="27"/>
        <v/>
      </c>
      <c r="S344" s="126" t="str">
        <f t="shared" si="28"/>
        <v>-</v>
      </c>
      <c r="T344" s="126"/>
      <c r="U344" s="126"/>
      <c r="V344" s="126"/>
      <c r="W344" s="126"/>
      <c r="X344" s="126"/>
      <c r="Y344" s="126"/>
      <c r="Z344" s="126"/>
    </row>
    <row r="345" spans="1:29" ht="27" customHeight="1">
      <c r="A345" s="103"/>
      <c r="B345" s="104"/>
      <c r="C345" s="104"/>
      <c r="D345" s="105"/>
      <c r="E345" s="102"/>
      <c r="F345" s="102"/>
      <c r="G345" s="102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25" t="str">
        <f t="shared" si="27"/>
        <v/>
      </c>
      <c r="S345" s="126" t="str">
        <f t="shared" si="28"/>
        <v>-</v>
      </c>
      <c r="T345" s="126"/>
      <c r="U345" s="126"/>
      <c r="V345" s="126"/>
      <c r="W345" s="126"/>
      <c r="X345" s="126"/>
      <c r="Y345" s="126"/>
      <c r="Z345" s="126"/>
    </row>
    <row r="346" spans="1:29" ht="27" customHeight="1">
      <c r="A346" s="103"/>
      <c r="B346" s="104"/>
      <c r="C346" s="104"/>
      <c r="D346" s="105"/>
      <c r="E346" s="102"/>
      <c r="F346" s="102"/>
      <c r="G346" s="102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25" t="str">
        <f t="shared" si="27"/>
        <v/>
      </c>
      <c r="S346" s="126" t="str">
        <f t="shared" si="28"/>
        <v>-</v>
      </c>
      <c r="T346" s="126"/>
      <c r="U346" s="126"/>
      <c r="V346" s="126"/>
      <c r="W346" s="126"/>
      <c r="X346" s="126"/>
      <c r="Y346" s="126"/>
      <c r="Z346" s="126"/>
    </row>
    <row r="347" spans="1:29" ht="27" customHeight="1">
      <c r="A347" s="103"/>
      <c r="B347" s="104"/>
      <c r="C347" s="104"/>
      <c r="D347" s="105"/>
      <c r="E347" s="102"/>
      <c r="F347" s="102"/>
      <c r="G347" s="102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25" t="str">
        <f t="shared" si="27"/>
        <v/>
      </c>
      <c r="S347" s="126" t="str">
        <f t="shared" si="28"/>
        <v>-</v>
      </c>
      <c r="T347" s="126"/>
      <c r="U347" s="126"/>
      <c r="V347" s="126"/>
      <c r="W347" s="126"/>
      <c r="X347" s="126"/>
      <c r="Y347" s="126"/>
      <c r="Z347" s="126"/>
    </row>
    <row r="348" spans="1:29" ht="27" customHeight="1">
      <c r="A348" s="103"/>
      <c r="B348" s="104"/>
      <c r="C348" s="104"/>
      <c r="D348" s="105"/>
      <c r="E348" s="102"/>
      <c r="F348" s="102"/>
      <c r="G348" s="102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25" t="str">
        <f t="shared" si="27"/>
        <v/>
      </c>
      <c r="S348" s="126" t="str">
        <f t="shared" si="28"/>
        <v>-</v>
      </c>
      <c r="T348" s="126"/>
      <c r="U348" s="126"/>
      <c r="V348" s="126"/>
      <c r="W348" s="126"/>
      <c r="X348" s="126"/>
      <c r="Y348" s="126"/>
      <c r="Z348" s="126"/>
    </row>
    <row r="349" spans="1:29" ht="27" customHeight="1">
      <c r="A349" s="103"/>
      <c r="B349" s="104"/>
      <c r="C349" s="104"/>
      <c r="D349" s="105"/>
      <c r="E349" s="102"/>
      <c r="F349" s="102"/>
      <c r="G349" s="102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25" t="str">
        <f t="shared" si="27"/>
        <v/>
      </c>
      <c r="S349" s="126" t="str">
        <f t="shared" si="28"/>
        <v>-</v>
      </c>
      <c r="T349" s="126"/>
      <c r="U349" s="126"/>
      <c r="V349" s="126"/>
      <c r="W349" s="126"/>
      <c r="X349" s="126"/>
      <c r="Y349" s="126"/>
      <c r="Z349" s="126"/>
    </row>
    <row r="350" spans="1:29" ht="27" customHeight="1">
      <c r="A350" s="103"/>
      <c r="B350" s="104"/>
      <c r="C350" s="104"/>
      <c r="D350" s="105"/>
      <c r="E350" s="102"/>
      <c r="F350" s="102"/>
      <c r="G350" s="102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25" t="str">
        <f t="shared" si="27"/>
        <v/>
      </c>
      <c r="S350" s="126" t="str">
        <f t="shared" si="28"/>
        <v>-</v>
      </c>
      <c r="T350" s="126"/>
      <c r="U350" s="126"/>
      <c r="V350" s="126"/>
      <c r="W350" s="126"/>
      <c r="X350" s="126"/>
      <c r="Y350" s="126"/>
      <c r="Z350" s="126"/>
    </row>
    <row r="351" spans="1:29" ht="27" customHeight="1">
      <c r="A351" s="103"/>
      <c r="B351" s="104"/>
      <c r="C351" s="104"/>
      <c r="D351" s="105"/>
      <c r="E351" s="102"/>
      <c r="F351" s="102"/>
      <c r="G351" s="102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25" t="str">
        <f t="shared" si="27"/>
        <v/>
      </c>
      <c r="S351" s="126" t="str">
        <f t="shared" si="28"/>
        <v>-</v>
      </c>
      <c r="T351" s="126"/>
      <c r="U351" s="126"/>
      <c r="V351" s="126"/>
      <c r="W351" s="126"/>
      <c r="X351" s="126"/>
      <c r="Y351" s="126"/>
      <c r="Z351" s="126"/>
    </row>
    <row r="352" spans="1:29" ht="27" customHeight="1">
      <c r="A352" s="103"/>
      <c r="B352" s="104"/>
      <c r="C352" s="104"/>
      <c r="D352" s="105"/>
      <c r="E352" s="102"/>
      <c r="F352" s="102"/>
      <c r="G352" s="102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25" t="str">
        <f t="shared" si="27"/>
        <v/>
      </c>
      <c r="S352" s="126" t="str">
        <f t="shared" si="28"/>
        <v>-</v>
      </c>
      <c r="T352" s="126"/>
      <c r="U352" s="126"/>
      <c r="V352" s="126"/>
      <c r="W352" s="126"/>
      <c r="X352" s="126"/>
      <c r="Y352" s="126"/>
      <c r="Z352" s="126"/>
    </row>
    <row r="353" spans="1:29" ht="27" customHeight="1">
      <c r="A353" s="103"/>
      <c r="B353" s="104"/>
      <c r="C353" s="104"/>
      <c r="D353" s="105"/>
      <c r="E353" s="102"/>
      <c r="F353" s="102"/>
      <c r="G353" s="102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25" t="str">
        <f t="shared" si="27"/>
        <v/>
      </c>
      <c r="S353" s="126" t="str">
        <f t="shared" si="28"/>
        <v>-</v>
      </c>
      <c r="T353" s="126"/>
      <c r="U353" s="126"/>
      <c r="V353" s="126"/>
      <c r="W353" s="126"/>
      <c r="X353" s="126"/>
      <c r="Y353" s="126"/>
      <c r="Z353" s="126"/>
    </row>
    <row r="354" spans="1:29" ht="27" customHeight="1">
      <c r="A354" s="103"/>
      <c r="B354" s="104"/>
      <c r="C354" s="104"/>
      <c r="D354" s="105"/>
      <c r="E354" s="102"/>
      <c r="F354" s="102"/>
      <c r="G354" s="102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25" t="str">
        <f t="shared" si="27"/>
        <v/>
      </c>
      <c r="S354" s="126" t="str">
        <f t="shared" si="28"/>
        <v>-</v>
      </c>
      <c r="T354" s="126"/>
      <c r="U354" s="126"/>
      <c r="V354" s="126"/>
      <c r="W354" s="126"/>
      <c r="X354" s="126"/>
      <c r="Y354" s="126"/>
      <c r="Z354" s="126"/>
    </row>
    <row r="355" spans="1:29" ht="27" customHeight="1">
      <c r="A355" s="103"/>
      <c r="B355" s="104"/>
      <c r="C355" s="104"/>
      <c r="D355" s="105"/>
      <c r="E355" s="102"/>
      <c r="F355" s="102"/>
      <c r="G355" s="102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25" t="str">
        <f t="shared" si="27"/>
        <v/>
      </c>
      <c r="S355" s="126" t="str">
        <f t="shared" si="28"/>
        <v>-</v>
      </c>
      <c r="T355" s="126"/>
      <c r="U355" s="126"/>
      <c r="V355" s="126"/>
      <c r="W355" s="126"/>
      <c r="X355" s="126"/>
      <c r="Y355" s="126"/>
      <c r="Z355" s="126"/>
    </row>
    <row r="356" spans="1:29" ht="27" customHeight="1">
      <c r="A356" s="103"/>
      <c r="B356" s="104"/>
      <c r="C356" s="104"/>
      <c r="D356" s="105"/>
      <c r="E356" s="102"/>
      <c r="F356" s="102"/>
      <c r="G356" s="102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25" t="str">
        <f t="shared" si="27"/>
        <v/>
      </c>
      <c r="S356" s="126" t="str">
        <f t="shared" si="28"/>
        <v>-</v>
      </c>
      <c r="T356" s="126"/>
      <c r="U356" s="126"/>
      <c r="V356" s="126"/>
      <c r="W356" s="126"/>
      <c r="X356" s="126"/>
      <c r="Y356" s="126"/>
      <c r="Z356" s="127"/>
    </row>
    <row r="357" spans="1:29" ht="27" customHeight="1">
      <c r="A357" s="103"/>
      <c r="B357" s="104"/>
      <c r="C357" s="104"/>
      <c r="D357" s="105"/>
      <c r="E357" s="102"/>
      <c r="F357" s="102"/>
      <c r="G357" s="102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25" t="str">
        <f t="shared" si="27"/>
        <v/>
      </c>
      <c r="S357" s="126" t="str">
        <f t="shared" si="28"/>
        <v>-</v>
      </c>
      <c r="T357" s="126"/>
      <c r="U357" s="126"/>
      <c r="V357" s="126"/>
      <c r="W357" s="126"/>
      <c r="X357" s="126"/>
      <c r="Y357" s="126"/>
      <c r="Z357" s="127"/>
    </row>
    <row r="358" spans="1:29" ht="27" customHeight="1">
      <c r="A358" s="103"/>
      <c r="B358" s="104"/>
      <c r="C358" s="104"/>
      <c r="D358" s="105"/>
      <c r="E358" s="102"/>
      <c r="F358" s="102"/>
      <c r="G358" s="102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25" t="str">
        <f t="shared" si="27"/>
        <v/>
      </c>
      <c r="S358" s="126" t="str">
        <f t="shared" si="28"/>
        <v>-</v>
      </c>
      <c r="T358" s="126"/>
      <c r="U358" s="126"/>
      <c r="V358" s="126"/>
      <c r="W358" s="126"/>
      <c r="X358" s="126"/>
      <c r="Y358" s="126"/>
      <c r="Z358" s="127"/>
    </row>
    <row r="359" spans="1:29" ht="27" customHeight="1">
      <c r="A359" s="103"/>
      <c r="B359" s="104"/>
      <c r="C359" s="104"/>
      <c r="D359" s="105"/>
      <c r="E359" s="102"/>
      <c r="F359" s="102"/>
      <c r="G359" s="102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25" t="str">
        <f t="shared" si="27"/>
        <v/>
      </c>
      <c r="S359" s="126" t="str">
        <f t="shared" si="28"/>
        <v>-</v>
      </c>
      <c r="T359" s="126"/>
      <c r="U359" s="126"/>
      <c r="V359" s="126"/>
      <c r="W359" s="126"/>
      <c r="X359" s="126"/>
      <c r="Y359" s="126"/>
      <c r="Z359" s="127"/>
    </row>
    <row r="360" spans="1:29" ht="27" customHeight="1">
      <c r="A360" s="103"/>
      <c r="B360" s="104"/>
      <c r="C360" s="104"/>
      <c r="D360" s="105"/>
      <c r="E360" s="102"/>
      <c r="F360" s="102"/>
      <c r="G360" s="102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25" t="str">
        <f t="shared" si="27"/>
        <v/>
      </c>
      <c r="S360" s="126" t="str">
        <f t="shared" si="28"/>
        <v>-</v>
      </c>
      <c r="T360" s="126"/>
      <c r="U360" s="126"/>
      <c r="V360" s="126"/>
      <c r="W360" s="126"/>
      <c r="X360" s="126"/>
      <c r="Y360" s="126"/>
      <c r="Z360" s="141"/>
      <c r="AA360" s="126"/>
      <c r="AB360" s="126"/>
      <c r="AC360" s="126"/>
    </row>
    <row r="361" spans="1:29" ht="27" customHeight="1">
      <c r="A361" s="103"/>
      <c r="B361" s="104"/>
      <c r="C361" s="104"/>
      <c r="D361" s="105"/>
      <c r="E361" s="102"/>
      <c r="F361" s="102"/>
      <c r="G361" s="102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25" t="str">
        <f t="shared" si="27"/>
        <v/>
      </c>
      <c r="S361" s="126"/>
      <c r="T361" s="126"/>
      <c r="U361" s="126"/>
      <c r="V361" s="126"/>
      <c r="W361" s="126"/>
      <c r="X361" s="126"/>
      <c r="Y361" s="126"/>
      <c r="Z361" s="141"/>
      <c r="AA361" s="126"/>
      <c r="AB361" s="126"/>
      <c r="AC361" s="126"/>
    </row>
    <row r="362" spans="1:29" ht="27" customHeight="1">
      <c r="A362" s="103"/>
      <c r="B362" s="104"/>
      <c r="C362" s="104"/>
      <c r="D362" s="105"/>
      <c r="E362" s="102"/>
      <c r="F362" s="102"/>
      <c r="G362" s="102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25" t="str">
        <f>CONCATENATE(D362,J362)</f>
        <v/>
      </c>
      <c r="S362" s="126" t="str">
        <f>IF(E362&gt;=F362,"-","ERR")</f>
        <v>-</v>
      </c>
      <c r="T362" s="126"/>
      <c r="U362" s="126"/>
      <c r="V362" s="126"/>
      <c r="W362" s="126"/>
      <c r="X362" s="126"/>
      <c r="Y362" s="126"/>
      <c r="Z362" s="126"/>
    </row>
    <row r="363" spans="1:29" ht="27" customHeight="1">
      <c r="A363" s="103"/>
      <c r="B363" s="104"/>
      <c r="C363" s="104"/>
      <c r="D363" s="105"/>
      <c r="E363" s="102"/>
      <c r="F363" s="102"/>
      <c r="G363" s="102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25" t="str">
        <f t="shared" ref="R363:R382" si="29">CONCATENATE(D363,J363)</f>
        <v/>
      </c>
      <c r="S363" s="126" t="str">
        <f t="shared" ref="S363:S381" si="30">IF(E363&gt;=F363,"-","ERR")</f>
        <v>-</v>
      </c>
      <c r="T363" s="126"/>
      <c r="U363" s="126"/>
      <c r="V363" s="126"/>
      <c r="W363" s="126"/>
      <c r="X363" s="126"/>
      <c r="Y363" s="126"/>
      <c r="Z363" s="126"/>
    </row>
    <row r="364" spans="1:29" ht="27" customHeight="1">
      <c r="A364" s="103"/>
      <c r="B364" s="104"/>
      <c r="C364" s="104"/>
      <c r="D364" s="105"/>
      <c r="E364" s="102"/>
      <c r="F364" s="102"/>
      <c r="G364" s="102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25" t="str">
        <f t="shared" si="29"/>
        <v/>
      </c>
      <c r="S364" s="126" t="str">
        <f t="shared" si="30"/>
        <v>-</v>
      </c>
      <c r="T364" s="126"/>
      <c r="U364" s="126"/>
      <c r="V364" s="126"/>
      <c r="W364" s="126"/>
      <c r="X364" s="126"/>
      <c r="Y364" s="126"/>
      <c r="Z364" s="126"/>
    </row>
    <row r="365" spans="1:29" ht="27" customHeight="1">
      <c r="A365" s="103"/>
      <c r="B365" s="104"/>
      <c r="C365" s="104"/>
      <c r="D365" s="105"/>
      <c r="E365" s="102"/>
      <c r="F365" s="102"/>
      <c r="G365" s="102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25" t="str">
        <f t="shared" si="29"/>
        <v/>
      </c>
      <c r="S365" s="126" t="str">
        <f t="shared" si="30"/>
        <v>-</v>
      </c>
      <c r="T365" s="126"/>
      <c r="U365" s="126"/>
      <c r="V365" s="126"/>
      <c r="W365" s="126"/>
      <c r="X365" s="126"/>
      <c r="Y365" s="126"/>
      <c r="Z365" s="126"/>
    </row>
    <row r="366" spans="1:29" ht="27" customHeight="1">
      <c r="A366" s="103"/>
      <c r="B366" s="104"/>
      <c r="C366" s="104"/>
      <c r="D366" s="105"/>
      <c r="E366" s="102"/>
      <c r="F366" s="102"/>
      <c r="G366" s="102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25" t="str">
        <f t="shared" si="29"/>
        <v/>
      </c>
      <c r="S366" s="126" t="str">
        <f t="shared" si="30"/>
        <v>-</v>
      </c>
      <c r="T366" s="126"/>
      <c r="U366" s="126"/>
      <c r="V366" s="126"/>
      <c r="W366" s="126"/>
      <c r="X366" s="126"/>
      <c r="Y366" s="126"/>
      <c r="Z366" s="126"/>
    </row>
    <row r="367" spans="1:29" ht="27" customHeight="1">
      <c r="A367" s="103"/>
      <c r="B367" s="104"/>
      <c r="C367" s="104"/>
      <c r="D367" s="105"/>
      <c r="E367" s="102"/>
      <c r="F367" s="102"/>
      <c r="G367" s="102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25" t="str">
        <f t="shared" si="29"/>
        <v/>
      </c>
      <c r="S367" s="126" t="str">
        <f t="shared" si="30"/>
        <v>-</v>
      </c>
      <c r="T367" s="126"/>
      <c r="U367" s="126"/>
      <c r="V367" s="126"/>
      <c r="W367" s="126"/>
      <c r="X367" s="126"/>
      <c r="Y367" s="126"/>
      <c r="Z367" s="126"/>
    </row>
    <row r="368" spans="1:29" ht="27" customHeight="1">
      <c r="A368" s="103"/>
      <c r="B368" s="104"/>
      <c r="C368" s="104"/>
      <c r="D368" s="105"/>
      <c r="E368" s="102"/>
      <c r="F368" s="102"/>
      <c r="G368" s="102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25" t="str">
        <f t="shared" si="29"/>
        <v/>
      </c>
      <c r="S368" s="126" t="str">
        <f t="shared" si="30"/>
        <v>-</v>
      </c>
      <c r="T368" s="126"/>
      <c r="U368" s="126"/>
      <c r="V368" s="126"/>
      <c r="W368" s="126"/>
      <c r="X368" s="126"/>
      <c r="Y368" s="126"/>
      <c r="Z368" s="126"/>
    </row>
    <row r="369" spans="1:29" ht="27" customHeight="1">
      <c r="A369" s="103"/>
      <c r="B369" s="104"/>
      <c r="C369" s="104"/>
      <c r="D369" s="105"/>
      <c r="E369" s="102"/>
      <c r="F369" s="102"/>
      <c r="G369" s="102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25" t="str">
        <f t="shared" si="29"/>
        <v/>
      </c>
      <c r="S369" s="126" t="str">
        <f t="shared" si="30"/>
        <v>-</v>
      </c>
      <c r="T369" s="126"/>
      <c r="U369" s="126"/>
      <c r="V369" s="126"/>
      <c r="W369" s="126"/>
      <c r="X369" s="126"/>
      <c r="Y369" s="126"/>
      <c r="Z369" s="126"/>
    </row>
    <row r="370" spans="1:29" ht="27" customHeight="1">
      <c r="A370" s="103"/>
      <c r="B370" s="104"/>
      <c r="C370" s="104"/>
      <c r="D370" s="105"/>
      <c r="E370" s="102"/>
      <c r="F370" s="102"/>
      <c r="G370" s="102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25" t="str">
        <f t="shared" si="29"/>
        <v/>
      </c>
      <c r="S370" s="126" t="str">
        <f t="shared" si="30"/>
        <v>-</v>
      </c>
      <c r="T370" s="126"/>
      <c r="U370" s="126"/>
      <c r="V370" s="126"/>
      <c r="W370" s="126"/>
      <c r="X370" s="126"/>
      <c r="Y370" s="126"/>
      <c r="Z370" s="126"/>
    </row>
    <row r="371" spans="1:29" ht="27" customHeight="1">
      <c r="A371" s="103"/>
      <c r="B371" s="104"/>
      <c r="C371" s="104"/>
      <c r="D371" s="105"/>
      <c r="E371" s="102"/>
      <c r="F371" s="102"/>
      <c r="G371" s="102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25" t="str">
        <f t="shared" si="29"/>
        <v/>
      </c>
      <c r="S371" s="126" t="str">
        <f t="shared" si="30"/>
        <v>-</v>
      </c>
      <c r="T371" s="126"/>
      <c r="U371" s="126"/>
      <c r="V371" s="126"/>
      <c r="W371" s="126"/>
      <c r="X371" s="126"/>
      <c r="Y371" s="126"/>
      <c r="Z371" s="126"/>
    </row>
    <row r="372" spans="1:29" ht="27" customHeight="1">
      <c r="A372" s="103"/>
      <c r="B372" s="104"/>
      <c r="C372" s="104"/>
      <c r="D372" s="105"/>
      <c r="E372" s="102"/>
      <c r="F372" s="102"/>
      <c r="G372" s="102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25" t="str">
        <f t="shared" si="29"/>
        <v/>
      </c>
      <c r="S372" s="126" t="str">
        <f t="shared" si="30"/>
        <v>-</v>
      </c>
      <c r="T372" s="126"/>
      <c r="U372" s="126"/>
      <c r="V372" s="126"/>
      <c r="W372" s="126"/>
      <c r="X372" s="126"/>
      <c r="Y372" s="126"/>
      <c r="Z372" s="126"/>
    </row>
    <row r="373" spans="1:29" ht="27" customHeight="1">
      <c r="A373" s="103"/>
      <c r="B373" s="104"/>
      <c r="C373" s="104"/>
      <c r="D373" s="105"/>
      <c r="E373" s="102"/>
      <c r="F373" s="102"/>
      <c r="G373" s="102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25" t="str">
        <f t="shared" si="29"/>
        <v/>
      </c>
      <c r="S373" s="126" t="str">
        <f t="shared" si="30"/>
        <v>-</v>
      </c>
      <c r="T373" s="126"/>
      <c r="U373" s="126"/>
      <c r="V373" s="126"/>
      <c r="W373" s="126"/>
      <c r="X373" s="126"/>
      <c r="Y373" s="126"/>
      <c r="Z373" s="126"/>
    </row>
    <row r="374" spans="1:29" ht="27" customHeight="1">
      <c r="A374" s="103"/>
      <c r="B374" s="104"/>
      <c r="C374" s="104"/>
      <c r="D374" s="105"/>
      <c r="E374" s="102"/>
      <c r="F374" s="102"/>
      <c r="G374" s="102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25" t="str">
        <f t="shared" si="29"/>
        <v/>
      </c>
      <c r="S374" s="126" t="str">
        <f t="shared" si="30"/>
        <v>-</v>
      </c>
      <c r="T374" s="126"/>
      <c r="U374" s="126"/>
      <c r="V374" s="126"/>
      <c r="W374" s="126"/>
      <c r="X374" s="126"/>
      <c r="Y374" s="126"/>
      <c r="Z374" s="126"/>
    </row>
    <row r="375" spans="1:29" ht="27" customHeight="1">
      <c r="A375" s="103"/>
      <c r="B375" s="104"/>
      <c r="C375" s="104"/>
      <c r="D375" s="105"/>
      <c r="E375" s="102"/>
      <c r="F375" s="102"/>
      <c r="G375" s="102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25" t="str">
        <f t="shared" si="29"/>
        <v/>
      </c>
      <c r="S375" s="126" t="str">
        <f t="shared" si="30"/>
        <v>-</v>
      </c>
      <c r="T375" s="126"/>
      <c r="U375" s="126"/>
      <c r="V375" s="126"/>
      <c r="W375" s="126"/>
      <c r="X375" s="126"/>
      <c r="Y375" s="126"/>
      <c r="Z375" s="126"/>
    </row>
    <row r="376" spans="1:29" ht="27" customHeight="1">
      <c r="A376" s="103"/>
      <c r="B376" s="104"/>
      <c r="C376" s="104"/>
      <c r="D376" s="105"/>
      <c r="E376" s="102"/>
      <c r="F376" s="102"/>
      <c r="G376" s="102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25" t="str">
        <f t="shared" si="29"/>
        <v/>
      </c>
      <c r="S376" s="126" t="str">
        <f t="shared" si="30"/>
        <v>-</v>
      </c>
      <c r="T376" s="126"/>
      <c r="U376" s="126"/>
      <c r="V376" s="126"/>
      <c r="W376" s="126"/>
      <c r="X376" s="126"/>
      <c r="Y376" s="126"/>
      <c r="Z376" s="126"/>
    </row>
    <row r="377" spans="1:29" ht="27" customHeight="1">
      <c r="A377" s="103"/>
      <c r="B377" s="104"/>
      <c r="C377" s="104"/>
      <c r="D377" s="105"/>
      <c r="E377" s="102"/>
      <c r="F377" s="102"/>
      <c r="G377" s="102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25" t="str">
        <f t="shared" si="29"/>
        <v/>
      </c>
      <c r="S377" s="126" t="str">
        <f t="shared" si="30"/>
        <v>-</v>
      </c>
      <c r="T377" s="126"/>
      <c r="U377" s="126"/>
      <c r="V377" s="126"/>
      <c r="W377" s="126"/>
      <c r="X377" s="126"/>
      <c r="Y377" s="126"/>
      <c r="Z377" s="127"/>
    </row>
    <row r="378" spans="1:29" ht="27" customHeight="1">
      <c r="A378" s="103"/>
      <c r="B378" s="104"/>
      <c r="C378" s="104"/>
      <c r="D378" s="105"/>
      <c r="E378" s="102"/>
      <c r="F378" s="102"/>
      <c r="G378" s="102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25" t="str">
        <f t="shared" si="29"/>
        <v/>
      </c>
      <c r="S378" s="126" t="str">
        <f t="shared" si="30"/>
        <v>-</v>
      </c>
      <c r="T378" s="126"/>
      <c r="U378" s="126"/>
      <c r="V378" s="126"/>
      <c r="W378" s="126"/>
      <c r="X378" s="126"/>
      <c r="Y378" s="126"/>
      <c r="Z378" s="127"/>
    </row>
    <row r="379" spans="1:29" ht="27" customHeight="1">
      <c r="A379" s="103"/>
      <c r="B379" s="104"/>
      <c r="C379" s="104"/>
      <c r="D379" s="105"/>
      <c r="E379" s="102"/>
      <c r="F379" s="102"/>
      <c r="G379" s="102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25" t="str">
        <f t="shared" si="29"/>
        <v/>
      </c>
      <c r="S379" s="126" t="str">
        <f t="shared" si="30"/>
        <v>-</v>
      </c>
      <c r="T379" s="126"/>
      <c r="U379" s="126"/>
      <c r="V379" s="126"/>
      <c r="W379" s="126"/>
      <c r="X379" s="126"/>
      <c r="Y379" s="126"/>
      <c r="Z379" s="127"/>
    </row>
    <row r="380" spans="1:29" ht="27" customHeight="1">
      <c r="A380" s="103"/>
      <c r="B380" s="104"/>
      <c r="C380" s="104"/>
      <c r="D380" s="105"/>
      <c r="E380" s="102"/>
      <c r="F380" s="102"/>
      <c r="G380" s="102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25" t="str">
        <f t="shared" si="29"/>
        <v/>
      </c>
      <c r="S380" s="126" t="str">
        <f t="shared" si="30"/>
        <v>-</v>
      </c>
      <c r="T380" s="126"/>
      <c r="U380" s="126"/>
      <c r="V380" s="126"/>
      <c r="W380" s="126"/>
      <c r="X380" s="126"/>
      <c r="Y380" s="126"/>
      <c r="Z380" s="127"/>
    </row>
    <row r="381" spans="1:29" ht="27" customHeight="1">
      <c r="A381" s="103"/>
      <c r="B381" s="104"/>
      <c r="C381" s="104"/>
      <c r="D381" s="105"/>
      <c r="E381" s="102"/>
      <c r="F381" s="102"/>
      <c r="G381" s="102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25" t="str">
        <f t="shared" si="29"/>
        <v/>
      </c>
      <c r="S381" s="126" t="str">
        <f t="shared" si="30"/>
        <v>-</v>
      </c>
      <c r="T381" s="126"/>
      <c r="U381" s="126"/>
      <c r="V381" s="126"/>
      <c r="W381" s="126"/>
      <c r="X381" s="126"/>
      <c r="Y381" s="126"/>
      <c r="Z381" s="141"/>
      <c r="AA381" s="126"/>
      <c r="AB381" s="126"/>
      <c r="AC381" s="126"/>
    </row>
    <row r="382" spans="1:29" ht="27" customHeight="1">
      <c r="A382" s="103"/>
      <c r="B382" s="104"/>
      <c r="C382" s="104"/>
      <c r="D382" s="105"/>
      <c r="E382" s="102"/>
      <c r="F382" s="102"/>
      <c r="G382" s="102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25" t="str">
        <f t="shared" si="29"/>
        <v/>
      </c>
      <c r="S382" s="126"/>
      <c r="T382" s="126"/>
      <c r="U382" s="126"/>
      <c r="V382" s="126"/>
      <c r="W382" s="126"/>
      <c r="X382" s="126"/>
      <c r="Y382" s="126"/>
      <c r="Z382" s="141"/>
      <c r="AA382" s="126"/>
      <c r="AB382" s="126"/>
      <c r="AC382" s="126"/>
    </row>
    <row r="383" spans="1:29" ht="27" customHeight="1">
      <c r="A383" s="103"/>
      <c r="B383" s="104"/>
      <c r="C383" s="104"/>
      <c r="D383" s="105"/>
      <c r="E383" s="102"/>
      <c r="F383" s="102"/>
      <c r="G383" s="102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25" t="str">
        <f>CONCATENATE(D383,J383)</f>
        <v/>
      </c>
      <c r="S383" s="126" t="str">
        <f>IF(E383&gt;=F383,"-","ERR")</f>
        <v>-</v>
      </c>
      <c r="T383" s="126"/>
      <c r="U383" s="126"/>
      <c r="V383" s="126"/>
      <c r="W383" s="126"/>
      <c r="X383" s="126"/>
      <c r="Y383" s="126"/>
      <c r="Z383" s="126"/>
    </row>
    <row r="384" spans="1:29" ht="27" customHeight="1">
      <c r="A384" s="103"/>
      <c r="B384" s="104"/>
      <c r="C384" s="104"/>
      <c r="D384" s="105"/>
      <c r="E384" s="102"/>
      <c r="F384" s="102"/>
      <c r="G384" s="102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25" t="str">
        <f t="shared" ref="R384:R403" si="31">CONCATENATE(D384,J384)</f>
        <v/>
      </c>
      <c r="S384" s="126" t="str">
        <f t="shared" ref="S384:S402" si="32">IF(E384&gt;=F384,"-","ERR")</f>
        <v>-</v>
      </c>
      <c r="T384" s="126"/>
      <c r="U384" s="126"/>
      <c r="V384" s="126"/>
      <c r="W384" s="126"/>
      <c r="X384" s="126"/>
      <c r="Y384" s="126"/>
      <c r="Z384" s="126"/>
    </row>
    <row r="385" spans="1:26" ht="27" customHeight="1">
      <c r="A385" s="103"/>
      <c r="B385" s="104"/>
      <c r="C385" s="104"/>
      <c r="D385" s="105"/>
      <c r="E385" s="102"/>
      <c r="F385" s="102"/>
      <c r="G385" s="102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25" t="str">
        <f t="shared" si="31"/>
        <v/>
      </c>
      <c r="S385" s="126" t="str">
        <f t="shared" si="32"/>
        <v>-</v>
      </c>
      <c r="T385" s="126"/>
      <c r="U385" s="126"/>
      <c r="V385" s="126"/>
      <c r="W385" s="126"/>
      <c r="X385" s="126"/>
      <c r="Y385" s="126"/>
      <c r="Z385" s="126"/>
    </row>
    <row r="386" spans="1:26" ht="27" customHeight="1">
      <c r="A386" s="103"/>
      <c r="B386" s="104"/>
      <c r="C386" s="104"/>
      <c r="D386" s="105"/>
      <c r="E386" s="102"/>
      <c r="F386" s="102"/>
      <c r="G386" s="102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25" t="str">
        <f t="shared" si="31"/>
        <v/>
      </c>
      <c r="S386" s="126" t="str">
        <f t="shared" si="32"/>
        <v>-</v>
      </c>
      <c r="T386" s="126"/>
      <c r="U386" s="126"/>
      <c r="V386" s="126"/>
      <c r="W386" s="126"/>
      <c r="X386" s="126"/>
      <c r="Y386" s="126"/>
      <c r="Z386" s="126"/>
    </row>
    <row r="387" spans="1:26" ht="27" customHeight="1">
      <c r="A387" s="103"/>
      <c r="B387" s="104"/>
      <c r="C387" s="104"/>
      <c r="D387" s="105"/>
      <c r="E387" s="102"/>
      <c r="F387" s="102"/>
      <c r="G387" s="102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25" t="str">
        <f t="shared" si="31"/>
        <v/>
      </c>
      <c r="S387" s="126" t="str">
        <f t="shared" si="32"/>
        <v>-</v>
      </c>
      <c r="T387" s="126"/>
      <c r="U387" s="126"/>
      <c r="V387" s="126"/>
      <c r="W387" s="126"/>
      <c r="X387" s="126"/>
      <c r="Y387" s="126"/>
      <c r="Z387" s="126"/>
    </row>
    <row r="388" spans="1:26" ht="27" customHeight="1">
      <c r="A388" s="103"/>
      <c r="B388" s="104"/>
      <c r="C388" s="104"/>
      <c r="D388" s="105"/>
      <c r="E388" s="102"/>
      <c r="F388" s="102"/>
      <c r="G388" s="102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25" t="str">
        <f t="shared" si="31"/>
        <v/>
      </c>
      <c r="S388" s="126" t="str">
        <f t="shared" si="32"/>
        <v>-</v>
      </c>
      <c r="T388" s="126"/>
      <c r="U388" s="126"/>
      <c r="V388" s="126"/>
      <c r="W388" s="126"/>
      <c r="X388" s="126"/>
      <c r="Y388" s="126"/>
      <c r="Z388" s="126"/>
    </row>
    <row r="389" spans="1:26" ht="27" customHeight="1">
      <c r="A389" s="103"/>
      <c r="B389" s="104"/>
      <c r="C389" s="104"/>
      <c r="D389" s="105"/>
      <c r="E389" s="102"/>
      <c r="F389" s="102"/>
      <c r="G389" s="102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25" t="str">
        <f t="shared" si="31"/>
        <v/>
      </c>
      <c r="S389" s="126" t="str">
        <f t="shared" si="32"/>
        <v>-</v>
      </c>
      <c r="T389" s="126"/>
      <c r="U389" s="126"/>
      <c r="V389" s="126"/>
      <c r="W389" s="126"/>
      <c r="X389" s="126"/>
      <c r="Y389" s="126"/>
      <c r="Z389" s="126"/>
    </row>
    <row r="390" spans="1:26" ht="27" customHeight="1">
      <c r="A390" s="103"/>
      <c r="B390" s="104"/>
      <c r="C390" s="104"/>
      <c r="D390" s="105"/>
      <c r="E390" s="102"/>
      <c r="F390" s="102"/>
      <c r="G390" s="102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25" t="str">
        <f t="shared" si="31"/>
        <v/>
      </c>
      <c r="S390" s="126" t="str">
        <f t="shared" si="32"/>
        <v>-</v>
      </c>
      <c r="T390" s="126"/>
      <c r="U390" s="126"/>
      <c r="V390" s="126"/>
      <c r="W390" s="126"/>
      <c r="X390" s="126"/>
      <c r="Y390" s="126"/>
      <c r="Z390" s="126"/>
    </row>
    <row r="391" spans="1:26" ht="27" customHeight="1">
      <c r="A391" s="103"/>
      <c r="B391" s="104"/>
      <c r="C391" s="104"/>
      <c r="D391" s="105"/>
      <c r="E391" s="102"/>
      <c r="F391" s="102"/>
      <c r="G391" s="102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25" t="str">
        <f t="shared" si="31"/>
        <v/>
      </c>
      <c r="S391" s="126" t="str">
        <f t="shared" si="32"/>
        <v>-</v>
      </c>
      <c r="T391" s="126"/>
      <c r="U391" s="126"/>
      <c r="V391" s="126"/>
      <c r="W391" s="126"/>
      <c r="X391" s="126"/>
      <c r="Y391" s="126"/>
      <c r="Z391" s="126"/>
    </row>
    <row r="392" spans="1:26" ht="27" customHeight="1">
      <c r="A392" s="103"/>
      <c r="B392" s="104"/>
      <c r="C392" s="104"/>
      <c r="D392" s="105"/>
      <c r="E392" s="102"/>
      <c r="F392" s="102"/>
      <c r="G392" s="102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25" t="str">
        <f t="shared" si="31"/>
        <v/>
      </c>
      <c r="S392" s="126" t="str">
        <f t="shared" si="32"/>
        <v>-</v>
      </c>
      <c r="T392" s="126"/>
      <c r="U392" s="126"/>
      <c r="V392" s="126"/>
      <c r="W392" s="126"/>
      <c r="X392" s="126"/>
      <c r="Y392" s="126"/>
      <c r="Z392" s="126"/>
    </row>
    <row r="393" spans="1:26" ht="27" customHeight="1">
      <c r="A393" s="103"/>
      <c r="B393" s="104"/>
      <c r="C393" s="104"/>
      <c r="D393" s="105"/>
      <c r="E393" s="102"/>
      <c r="F393" s="102"/>
      <c r="G393" s="102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25" t="str">
        <f t="shared" si="31"/>
        <v/>
      </c>
      <c r="S393" s="126" t="str">
        <f t="shared" si="32"/>
        <v>-</v>
      </c>
      <c r="T393" s="126"/>
      <c r="U393" s="126"/>
      <c r="V393" s="126"/>
      <c r="W393" s="126"/>
      <c r="X393" s="126"/>
      <c r="Y393" s="126"/>
      <c r="Z393" s="126"/>
    </row>
    <row r="394" spans="1:26" ht="27" customHeight="1">
      <c r="A394" s="103"/>
      <c r="B394" s="104"/>
      <c r="C394" s="104"/>
      <c r="D394" s="105"/>
      <c r="E394" s="102"/>
      <c r="F394" s="102"/>
      <c r="G394" s="102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25" t="str">
        <f t="shared" si="31"/>
        <v/>
      </c>
      <c r="S394" s="126" t="str">
        <f t="shared" si="32"/>
        <v>-</v>
      </c>
      <c r="T394" s="126"/>
      <c r="U394" s="126"/>
      <c r="V394" s="126"/>
      <c r="W394" s="126"/>
      <c r="X394" s="126"/>
      <c r="Y394" s="126"/>
      <c r="Z394" s="126"/>
    </row>
    <row r="395" spans="1:26" ht="27" customHeight="1">
      <c r="A395" s="103"/>
      <c r="B395" s="104"/>
      <c r="C395" s="104"/>
      <c r="D395" s="105"/>
      <c r="E395" s="102"/>
      <c r="F395" s="102"/>
      <c r="G395" s="102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25" t="str">
        <f t="shared" si="31"/>
        <v/>
      </c>
      <c r="S395" s="126" t="str">
        <f t="shared" si="32"/>
        <v>-</v>
      </c>
      <c r="T395" s="126"/>
      <c r="U395" s="126"/>
      <c r="V395" s="126"/>
      <c r="W395" s="126"/>
      <c r="X395" s="126"/>
      <c r="Y395" s="126"/>
      <c r="Z395" s="126"/>
    </row>
    <row r="396" spans="1:26" ht="27" customHeight="1">
      <c r="A396" s="103"/>
      <c r="B396" s="104"/>
      <c r="C396" s="104"/>
      <c r="D396" s="105"/>
      <c r="E396" s="102"/>
      <c r="F396" s="102"/>
      <c r="G396" s="102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25" t="str">
        <f t="shared" si="31"/>
        <v/>
      </c>
      <c r="S396" s="126" t="str">
        <f t="shared" si="32"/>
        <v>-</v>
      </c>
      <c r="T396" s="126"/>
      <c r="U396" s="126"/>
      <c r="V396" s="126"/>
      <c r="W396" s="126"/>
      <c r="X396" s="126"/>
      <c r="Y396" s="126"/>
      <c r="Z396" s="126"/>
    </row>
    <row r="397" spans="1:26" ht="27" customHeight="1">
      <c r="A397" s="103"/>
      <c r="B397" s="104"/>
      <c r="C397" s="104"/>
      <c r="D397" s="105"/>
      <c r="E397" s="102"/>
      <c r="F397" s="102"/>
      <c r="G397" s="102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25" t="str">
        <f t="shared" si="31"/>
        <v/>
      </c>
      <c r="S397" s="126" t="str">
        <f t="shared" si="32"/>
        <v>-</v>
      </c>
      <c r="T397" s="126"/>
      <c r="U397" s="126"/>
      <c r="V397" s="126"/>
      <c r="W397" s="126"/>
      <c r="X397" s="126"/>
      <c r="Y397" s="126"/>
      <c r="Z397" s="126"/>
    </row>
    <row r="398" spans="1:26" ht="27" customHeight="1">
      <c r="A398" s="103"/>
      <c r="B398" s="104"/>
      <c r="C398" s="104"/>
      <c r="D398" s="105"/>
      <c r="E398" s="102"/>
      <c r="F398" s="102"/>
      <c r="G398" s="102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25" t="str">
        <f t="shared" si="31"/>
        <v/>
      </c>
      <c r="S398" s="126" t="str">
        <f t="shared" si="32"/>
        <v>-</v>
      </c>
      <c r="T398" s="126"/>
      <c r="U398" s="126"/>
      <c r="V398" s="126"/>
      <c r="W398" s="126"/>
      <c r="X398" s="126"/>
      <c r="Y398" s="126"/>
      <c r="Z398" s="127"/>
    </row>
    <row r="399" spans="1:26" ht="27" customHeight="1">
      <c r="A399" s="103"/>
      <c r="B399" s="104"/>
      <c r="C399" s="104"/>
      <c r="D399" s="105"/>
      <c r="E399" s="102"/>
      <c r="F399" s="102"/>
      <c r="G399" s="102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25" t="str">
        <f t="shared" si="31"/>
        <v/>
      </c>
      <c r="S399" s="126" t="str">
        <f t="shared" si="32"/>
        <v>-</v>
      </c>
      <c r="T399" s="126"/>
      <c r="U399" s="126"/>
      <c r="V399" s="126"/>
      <c r="W399" s="126"/>
      <c r="X399" s="126"/>
      <c r="Y399" s="126"/>
      <c r="Z399" s="127"/>
    </row>
    <row r="400" spans="1:26" ht="27" customHeight="1">
      <c r="A400" s="103"/>
      <c r="B400" s="104"/>
      <c r="C400" s="104"/>
      <c r="D400" s="105"/>
      <c r="E400" s="102"/>
      <c r="F400" s="102"/>
      <c r="G400" s="102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25" t="str">
        <f t="shared" si="31"/>
        <v/>
      </c>
      <c r="S400" s="126" t="str">
        <f t="shared" si="32"/>
        <v>-</v>
      </c>
      <c r="T400" s="126"/>
      <c r="U400" s="126"/>
      <c r="V400" s="126"/>
      <c r="W400" s="126"/>
      <c r="X400" s="126"/>
      <c r="Y400" s="126"/>
      <c r="Z400" s="127"/>
    </row>
    <row r="401" spans="1:29" ht="27" customHeight="1">
      <c r="A401" s="103"/>
      <c r="B401" s="104"/>
      <c r="C401" s="104"/>
      <c r="D401" s="105"/>
      <c r="E401" s="102"/>
      <c r="F401" s="102"/>
      <c r="G401" s="102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25" t="str">
        <f t="shared" si="31"/>
        <v/>
      </c>
      <c r="S401" s="126" t="str">
        <f t="shared" si="32"/>
        <v>-</v>
      </c>
      <c r="T401" s="126"/>
      <c r="U401" s="126"/>
      <c r="V401" s="126"/>
      <c r="W401" s="126"/>
      <c r="X401" s="126"/>
      <c r="Y401" s="126"/>
      <c r="Z401" s="127"/>
    </row>
    <row r="402" spans="1:29" ht="27" customHeight="1">
      <c r="A402" s="103"/>
      <c r="B402" s="104"/>
      <c r="C402" s="104"/>
      <c r="D402" s="105"/>
      <c r="E402" s="102"/>
      <c r="F402" s="102"/>
      <c r="G402" s="102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25" t="str">
        <f t="shared" si="31"/>
        <v/>
      </c>
      <c r="S402" s="126" t="str">
        <f t="shared" si="32"/>
        <v>-</v>
      </c>
      <c r="T402" s="126"/>
      <c r="U402" s="126"/>
      <c r="V402" s="126"/>
      <c r="W402" s="126"/>
      <c r="X402" s="126"/>
      <c r="Y402" s="126"/>
      <c r="Z402" s="141"/>
      <c r="AA402" s="126"/>
      <c r="AB402" s="126"/>
      <c r="AC402" s="126"/>
    </row>
    <row r="403" spans="1:29" ht="27" customHeight="1">
      <c r="A403" s="103"/>
      <c r="B403" s="104"/>
      <c r="C403" s="104"/>
      <c r="D403" s="105"/>
      <c r="E403" s="102"/>
      <c r="F403" s="102"/>
      <c r="G403" s="102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25" t="str">
        <f t="shared" si="31"/>
        <v/>
      </c>
      <c r="S403" s="126"/>
      <c r="T403" s="126"/>
      <c r="U403" s="126"/>
      <c r="V403" s="126"/>
      <c r="W403" s="126"/>
      <c r="X403" s="126"/>
      <c r="Y403" s="126"/>
      <c r="Z403" s="141"/>
      <c r="AA403" s="126"/>
      <c r="AB403" s="126"/>
      <c r="AC403" s="126"/>
    </row>
    <row r="404" spans="1:29" ht="27" customHeight="1">
      <c r="A404" s="103"/>
      <c r="B404" s="104"/>
      <c r="C404" s="104"/>
      <c r="D404" s="105"/>
      <c r="E404" s="102"/>
      <c r="F404" s="102"/>
      <c r="G404" s="102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25" t="str">
        <f>CONCATENATE(D404,J404)</f>
        <v/>
      </c>
      <c r="S404" s="126" t="str">
        <f>IF(E404&gt;=F404,"-","ERR")</f>
        <v>-</v>
      </c>
      <c r="T404" s="126"/>
      <c r="U404" s="126"/>
      <c r="V404" s="126"/>
      <c r="W404" s="126"/>
      <c r="X404" s="126"/>
      <c r="Y404" s="126"/>
      <c r="Z404" s="126"/>
    </row>
    <row r="405" spans="1:29" ht="27" customHeight="1">
      <c r="A405" s="103"/>
      <c r="B405" s="104"/>
      <c r="C405" s="104"/>
      <c r="D405" s="105"/>
      <c r="E405" s="102"/>
      <c r="F405" s="102"/>
      <c r="G405" s="102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25" t="str">
        <f t="shared" ref="R405:R424" si="33">CONCATENATE(D405,J405)</f>
        <v/>
      </c>
      <c r="S405" s="126" t="str">
        <f t="shared" ref="S405:S423" si="34">IF(E405&gt;=F405,"-","ERR")</f>
        <v>-</v>
      </c>
      <c r="T405" s="126"/>
      <c r="U405" s="126"/>
      <c r="V405" s="126"/>
      <c r="W405" s="126"/>
      <c r="X405" s="126"/>
      <c r="Y405" s="126"/>
      <c r="Z405" s="126"/>
    </row>
    <row r="406" spans="1:29" ht="27" customHeight="1">
      <c r="A406" s="103"/>
      <c r="B406" s="104"/>
      <c r="C406" s="104"/>
      <c r="D406" s="105"/>
      <c r="E406" s="102"/>
      <c r="F406" s="102"/>
      <c r="G406" s="102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25" t="str">
        <f t="shared" si="33"/>
        <v/>
      </c>
      <c r="S406" s="126" t="str">
        <f t="shared" si="34"/>
        <v>-</v>
      </c>
      <c r="T406" s="126"/>
      <c r="U406" s="126"/>
      <c r="V406" s="126"/>
      <c r="W406" s="126"/>
      <c r="X406" s="126"/>
      <c r="Y406" s="126"/>
      <c r="Z406" s="126"/>
    </row>
    <row r="407" spans="1:29" ht="27" customHeight="1">
      <c r="A407" s="103"/>
      <c r="B407" s="104"/>
      <c r="C407" s="104"/>
      <c r="D407" s="105"/>
      <c r="E407" s="102"/>
      <c r="F407" s="102"/>
      <c r="G407" s="102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25" t="str">
        <f t="shared" si="33"/>
        <v/>
      </c>
      <c r="S407" s="126" t="str">
        <f t="shared" si="34"/>
        <v>-</v>
      </c>
      <c r="T407" s="126"/>
      <c r="U407" s="126"/>
      <c r="V407" s="126"/>
      <c r="W407" s="126"/>
      <c r="X407" s="126"/>
      <c r="Y407" s="126"/>
      <c r="Z407" s="126"/>
    </row>
    <row r="408" spans="1:29" ht="27" customHeight="1">
      <c r="A408" s="103"/>
      <c r="B408" s="104"/>
      <c r="C408" s="104"/>
      <c r="D408" s="105"/>
      <c r="E408" s="102"/>
      <c r="F408" s="102"/>
      <c r="G408" s="102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25" t="str">
        <f t="shared" si="33"/>
        <v/>
      </c>
      <c r="S408" s="126" t="str">
        <f t="shared" si="34"/>
        <v>-</v>
      </c>
      <c r="T408" s="126"/>
      <c r="U408" s="126"/>
      <c r="V408" s="126"/>
      <c r="W408" s="126"/>
      <c r="X408" s="126"/>
      <c r="Y408" s="126"/>
      <c r="Z408" s="126"/>
    </row>
    <row r="409" spans="1:29" ht="27" customHeight="1">
      <c r="A409" s="103"/>
      <c r="B409" s="104"/>
      <c r="C409" s="104"/>
      <c r="D409" s="105"/>
      <c r="E409" s="102"/>
      <c r="F409" s="102"/>
      <c r="G409" s="102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25" t="str">
        <f t="shared" si="33"/>
        <v/>
      </c>
      <c r="S409" s="126" t="str">
        <f t="shared" si="34"/>
        <v>-</v>
      </c>
      <c r="T409" s="126"/>
      <c r="U409" s="126"/>
      <c r="V409" s="126"/>
      <c r="W409" s="126"/>
      <c r="X409" s="126"/>
      <c r="Y409" s="126"/>
      <c r="Z409" s="126"/>
    </row>
    <row r="410" spans="1:29" ht="27" customHeight="1">
      <c r="A410" s="103"/>
      <c r="B410" s="104"/>
      <c r="C410" s="104"/>
      <c r="D410" s="105"/>
      <c r="E410" s="102"/>
      <c r="F410" s="102"/>
      <c r="G410" s="102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25" t="str">
        <f t="shared" si="33"/>
        <v/>
      </c>
      <c r="S410" s="126" t="str">
        <f t="shared" si="34"/>
        <v>-</v>
      </c>
      <c r="T410" s="126"/>
      <c r="U410" s="126"/>
      <c r="V410" s="126"/>
      <c r="W410" s="126"/>
      <c r="X410" s="126"/>
      <c r="Y410" s="126"/>
      <c r="Z410" s="126"/>
    </row>
    <row r="411" spans="1:29" ht="27" customHeight="1">
      <c r="A411" s="103"/>
      <c r="B411" s="104"/>
      <c r="C411" s="104"/>
      <c r="D411" s="105"/>
      <c r="E411" s="102"/>
      <c r="F411" s="102"/>
      <c r="G411" s="102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25" t="str">
        <f t="shared" si="33"/>
        <v/>
      </c>
      <c r="S411" s="126" t="str">
        <f t="shared" si="34"/>
        <v>-</v>
      </c>
      <c r="T411" s="126"/>
      <c r="U411" s="126"/>
      <c r="V411" s="126"/>
      <c r="W411" s="126"/>
      <c r="X411" s="126"/>
      <c r="Y411" s="126"/>
      <c r="Z411" s="126"/>
    </row>
    <row r="412" spans="1:29" ht="27" customHeight="1">
      <c r="A412" s="103"/>
      <c r="B412" s="104"/>
      <c r="C412" s="104"/>
      <c r="D412" s="105"/>
      <c r="E412" s="102"/>
      <c r="F412" s="102"/>
      <c r="G412" s="102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25" t="str">
        <f t="shared" si="33"/>
        <v/>
      </c>
      <c r="S412" s="126" t="str">
        <f t="shared" si="34"/>
        <v>-</v>
      </c>
      <c r="T412" s="126"/>
      <c r="U412" s="126"/>
      <c r="V412" s="126"/>
      <c r="W412" s="126"/>
      <c r="X412" s="126"/>
      <c r="Y412" s="126"/>
      <c r="Z412" s="126"/>
    </row>
    <row r="413" spans="1:29" ht="27" customHeight="1">
      <c r="A413" s="103"/>
      <c r="B413" s="104"/>
      <c r="C413" s="104"/>
      <c r="D413" s="105"/>
      <c r="E413" s="102"/>
      <c r="F413" s="102"/>
      <c r="G413" s="102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25" t="str">
        <f t="shared" si="33"/>
        <v/>
      </c>
      <c r="S413" s="126" t="str">
        <f t="shared" si="34"/>
        <v>-</v>
      </c>
      <c r="T413" s="126"/>
      <c r="U413" s="126"/>
      <c r="V413" s="126"/>
      <c r="W413" s="126"/>
      <c r="X413" s="126"/>
      <c r="Y413" s="126"/>
      <c r="Z413" s="126"/>
    </row>
    <row r="414" spans="1:29" ht="27" customHeight="1">
      <c r="A414" s="103"/>
      <c r="B414" s="104"/>
      <c r="C414" s="104"/>
      <c r="D414" s="105"/>
      <c r="E414" s="102"/>
      <c r="F414" s="102"/>
      <c r="G414" s="102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25" t="str">
        <f t="shared" si="33"/>
        <v/>
      </c>
      <c r="S414" s="126" t="str">
        <f t="shared" si="34"/>
        <v>-</v>
      </c>
      <c r="T414" s="126"/>
      <c r="U414" s="126"/>
      <c r="V414" s="126"/>
      <c r="W414" s="126"/>
      <c r="X414" s="126"/>
      <c r="Y414" s="126"/>
      <c r="Z414" s="126"/>
    </row>
    <row r="415" spans="1:29" ht="27" customHeight="1">
      <c r="A415" s="103"/>
      <c r="B415" s="104"/>
      <c r="C415" s="104"/>
      <c r="D415" s="105"/>
      <c r="E415" s="102"/>
      <c r="F415" s="102"/>
      <c r="G415" s="102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25" t="str">
        <f t="shared" si="33"/>
        <v/>
      </c>
      <c r="S415" s="126" t="str">
        <f t="shared" si="34"/>
        <v>-</v>
      </c>
      <c r="T415" s="126"/>
      <c r="U415" s="126"/>
      <c r="V415" s="126"/>
      <c r="W415" s="126"/>
      <c r="X415" s="126"/>
      <c r="Y415" s="126"/>
      <c r="Z415" s="126"/>
    </row>
    <row r="416" spans="1:29" ht="27" customHeight="1">
      <c r="A416" s="103"/>
      <c r="B416" s="104"/>
      <c r="C416" s="104"/>
      <c r="D416" s="105"/>
      <c r="E416" s="102"/>
      <c r="F416" s="102"/>
      <c r="G416" s="102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25" t="str">
        <f t="shared" si="33"/>
        <v/>
      </c>
      <c r="S416" s="126" t="str">
        <f t="shared" si="34"/>
        <v>-</v>
      </c>
      <c r="T416" s="126"/>
      <c r="U416" s="126"/>
      <c r="V416" s="126"/>
      <c r="W416" s="126"/>
      <c r="X416" s="126"/>
      <c r="Y416" s="126"/>
      <c r="Z416" s="126"/>
    </row>
    <row r="417" spans="1:29" ht="27" customHeight="1">
      <c r="A417" s="103"/>
      <c r="B417" s="104"/>
      <c r="C417" s="104"/>
      <c r="D417" s="105"/>
      <c r="E417" s="102"/>
      <c r="F417" s="102"/>
      <c r="G417" s="102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25" t="str">
        <f t="shared" si="33"/>
        <v/>
      </c>
      <c r="S417" s="126" t="str">
        <f t="shared" si="34"/>
        <v>-</v>
      </c>
      <c r="T417" s="126"/>
      <c r="U417" s="126"/>
      <c r="V417" s="126"/>
      <c r="W417" s="126"/>
      <c r="X417" s="126"/>
      <c r="Y417" s="126"/>
      <c r="Z417" s="126"/>
    </row>
    <row r="418" spans="1:29" ht="27" customHeight="1">
      <c r="A418" s="103"/>
      <c r="B418" s="104"/>
      <c r="C418" s="104"/>
      <c r="D418" s="105"/>
      <c r="E418" s="102"/>
      <c r="F418" s="102"/>
      <c r="G418" s="102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25" t="str">
        <f t="shared" si="33"/>
        <v/>
      </c>
      <c r="S418" s="126" t="str">
        <f t="shared" si="34"/>
        <v>-</v>
      </c>
      <c r="T418" s="126"/>
      <c r="U418" s="126"/>
      <c r="V418" s="126"/>
      <c r="W418" s="126"/>
      <c r="X418" s="126"/>
      <c r="Y418" s="126"/>
      <c r="Z418" s="126"/>
    </row>
    <row r="419" spans="1:29" ht="27" customHeight="1">
      <c r="A419" s="103"/>
      <c r="B419" s="104"/>
      <c r="C419" s="104"/>
      <c r="D419" s="105"/>
      <c r="E419" s="102"/>
      <c r="F419" s="102"/>
      <c r="G419" s="102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25" t="str">
        <f t="shared" si="33"/>
        <v/>
      </c>
      <c r="S419" s="126" t="str">
        <f t="shared" si="34"/>
        <v>-</v>
      </c>
      <c r="T419" s="126"/>
      <c r="U419" s="126"/>
      <c r="V419" s="126"/>
      <c r="W419" s="126"/>
      <c r="X419" s="126"/>
      <c r="Y419" s="126"/>
      <c r="Z419" s="127"/>
    </row>
    <row r="420" spans="1:29" ht="27" customHeight="1">
      <c r="A420" s="103"/>
      <c r="B420" s="104"/>
      <c r="C420" s="104"/>
      <c r="D420" s="105"/>
      <c r="E420" s="102"/>
      <c r="F420" s="102"/>
      <c r="G420" s="102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25" t="str">
        <f t="shared" si="33"/>
        <v/>
      </c>
      <c r="S420" s="126" t="str">
        <f t="shared" si="34"/>
        <v>-</v>
      </c>
      <c r="T420" s="126"/>
      <c r="U420" s="126"/>
      <c r="V420" s="126"/>
      <c r="W420" s="126"/>
      <c r="X420" s="126"/>
      <c r="Y420" s="126"/>
      <c r="Z420" s="127"/>
    </row>
    <row r="421" spans="1:29" ht="27" customHeight="1">
      <c r="A421" s="103"/>
      <c r="B421" s="104"/>
      <c r="C421" s="104"/>
      <c r="D421" s="105"/>
      <c r="E421" s="102"/>
      <c r="F421" s="102"/>
      <c r="G421" s="102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25" t="str">
        <f t="shared" si="33"/>
        <v/>
      </c>
      <c r="S421" s="126" t="str">
        <f t="shared" si="34"/>
        <v>-</v>
      </c>
      <c r="T421" s="126"/>
      <c r="U421" s="126"/>
      <c r="V421" s="126"/>
      <c r="W421" s="126"/>
      <c r="X421" s="126"/>
      <c r="Y421" s="126"/>
      <c r="Z421" s="127"/>
    </row>
    <row r="422" spans="1:29" ht="27" customHeight="1">
      <c r="A422" s="103"/>
      <c r="B422" s="104"/>
      <c r="C422" s="104"/>
      <c r="D422" s="105"/>
      <c r="E422" s="102"/>
      <c r="F422" s="102"/>
      <c r="G422" s="102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25" t="str">
        <f t="shared" si="33"/>
        <v/>
      </c>
      <c r="S422" s="126" t="str">
        <f t="shared" si="34"/>
        <v>-</v>
      </c>
      <c r="T422" s="126"/>
      <c r="U422" s="126"/>
      <c r="V422" s="126"/>
      <c r="W422" s="126"/>
      <c r="X422" s="126"/>
      <c r="Y422" s="126"/>
      <c r="Z422" s="127"/>
    </row>
    <row r="423" spans="1:29" ht="27" customHeight="1">
      <c r="A423" s="103"/>
      <c r="B423" s="104"/>
      <c r="C423" s="104"/>
      <c r="D423" s="105"/>
      <c r="E423" s="102"/>
      <c r="F423" s="102"/>
      <c r="G423" s="102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25" t="str">
        <f t="shared" si="33"/>
        <v/>
      </c>
      <c r="S423" s="126" t="str">
        <f t="shared" si="34"/>
        <v>-</v>
      </c>
      <c r="T423" s="126"/>
      <c r="U423" s="126"/>
      <c r="V423" s="126"/>
      <c r="W423" s="126"/>
      <c r="X423" s="126"/>
      <c r="Y423" s="126"/>
      <c r="Z423" s="141"/>
      <c r="AA423" s="126"/>
      <c r="AB423" s="126"/>
      <c r="AC423" s="126"/>
    </row>
    <row r="424" spans="1:29" ht="27" customHeight="1">
      <c r="A424" s="103"/>
      <c r="B424" s="104"/>
      <c r="C424" s="104"/>
      <c r="D424" s="105"/>
      <c r="E424" s="102"/>
      <c r="F424" s="102"/>
      <c r="G424" s="102"/>
      <c r="H424" s="113"/>
      <c r="I424" s="113"/>
      <c r="J424" s="71"/>
      <c r="K424" s="48"/>
      <c r="L424" s="71"/>
      <c r="M424" s="48"/>
      <c r="N424" s="71"/>
      <c r="O424" s="71"/>
      <c r="P424" s="71"/>
      <c r="Q424" s="105"/>
      <c r="R424" s="125" t="str">
        <f t="shared" si="33"/>
        <v/>
      </c>
      <c r="S424" s="126"/>
      <c r="T424" s="126"/>
      <c r="U424" s="126"/>
      <c r="V424" s="126"/>
      <c r="W424" s="126"/>
      <c r="X424" s="126"/>
      <c r="Y424" s="126"/>
      <c r="Z424" s="141"/>
      <c r="AA424" s="126"/>
      <c r="AB424" s="126"/>
      <c r="AC424" s="126"/>
    </row>
    <row r="425" spans="1:29" ht="27" customHeight="1">
      <c r="A425" s="103"/>
      <c r="B425" s="104"/>
      <c r="C425" s="104"/>
      <c r="D425" s="105"/>
      <c r="E425" s="102"/>
      <c r="F425" s="102"/>
      <c r="G425" s="102"/>
      <c r="H425" s="113"/>
      <c r="I425" s="113"/>
      <c r="J425" s="71"/>
      <c r="K425" s="48"/>
      <c r="L425" s="71"/>
      <c r="M425" s="48"/>
      <c r="N425" s="71"/>
      <c r="O425" s="71"/>
      <c r="P425" s="71"/>
      <c r="Q425" s="105"/>
      <c r="R425" s="125" t="str">
        <f>CONCATENATE(D425,J425)</f>
        <v/>
      </c>
      <c r="S425" s="126" t="str">
        <f>IF(E425&gt;=F425,"-","ERR")</f>
        <v>-</v>
      </c>
      <c r="T425" s="126"/>
      <c r="U425" s="126"/>
      <c r="V425" s="126"/>
      <c r="W425" s="126"/>
      <c r="X425" s="126"/>
      <c r="Y425" s="126"/>
      <c r="Z425" s="126"/>
    </row>
    <row r="426" spans="1:29" ht="27" customHeight="1">
      <c r="A426" s="103"/>
      <c r="B426" s="104"/>
      <c r="C426" s="104"/>
      <c r="D426" s="105"/>
      <c r="E426" s="102"/>
      <c r="F426" s="102"/>
      <c r="G426" s="102"/>
      <c r="H426" s="113"/>
      <c r="I426" s="113"/>
      <c r="J426" s="71"/>
      <c r="K426" s="48"/>
      <c r="L426" s="71"/>
      <c r="M426" s="48"/>
      <c r="N426" s="71"/>
      <c r="O426" s="71"/>
      <c r="P426" s="71"/>
      <c r="Q426" s="105"/>
      <c r="R426" s="125" t="str">
        <f t="shared" ref="R426:R445" si="35">CONCATENATE(D426,J426)</f>
        <v/>
      </c>
      <c r="S426" s="126" t="str">
        <f t="shared" ref="S426:S444" si="36">IF(E426&gt;=F426,"-","ERR")</f>
        <v>-</v>
      </c>
      <c r="T426" s="126"/>
      <c r="U426" s="126"/>
      <c r="V426" s="126"/>
      <c r="W426" s="126"/>
      <c r="X426" s="126"/>
      <c r="Y426" s="126"/>
      <c r="Z426" s="126"/>
    </row>
    <row r="427" spans="1:29" ht="27" customHeight="1">
      <c r="A427" s="103"/>
      <c r="B427" s="104"/>
      <c r="C427" s="104"/>
      <c r="D427" s="105"/>
      <c r="E427" s="102"/>
      <c r="F427" s="102"/>
      <c r="G427" s="102"/>
      <c r="H427" s="113"/>
      <c r="I427" s="113"/>
      <c r="J427" s="71"/>
      <c r="K427" s="48"/>
      <c r="L427" s="71"/>
      <c r="M427" s="48"/>
      <c r="N427" s="71"/>
      <c r="O427" s="71"/>
      <c r="P427" s="71"/>
      <c r="Q427" s="105"/>
      <c r="R427" s="125" t="str">
        <f t="shared" si="35"/>
        <v/>
      </c>
      <c r="S427" s="126" t="str">
        <f t="shared" si="36"/>
        <v>-</v>
      </c>
      <c r="T427" s="126"/>
      <c r="U427" s="126"/>
      <c r="V427" s="126"/>
      <c r="W427" s="126"/>
      <c r="X427" s="126"/>
      <c r="Y427" s="126"/>
      <c r="Z427" s="126"/>
    </row>
    <row r="428" spans="1:29" ht="27" customHeight="1">
      <c r="A428" s="103"/>
      <c r="B428" s="104"/>
      <c r="C428" s="104"/>
      <c r="D428" s="105"/>
      <c r="E428" s="102"/>
      <c r="F428" s="102"/>
      <c r="G428" s="102"/>
      <c r="H428" s="113"/>
      <c r="I428" s="113"/>
      <c r="J428" s="71"/>
      <c r="K428" s="48"/>
      <c r="L428" s="71"/>
      <c r="M428" s="48"/>
      <c r="N428" s="71"/>
      <c r="O428" s="71"/>
      <c r="P428" s="71"/>
      <c r="Q428" s="105"/>
      <c r="R428" s="125" t="str">
        <f t="shared" si="35"/>
        <v/>
      </c>
      <c r="S428" s="126" t="str">
        <f t="shared" si="36"/>
        <v>-</v>
      </c>
      <c r="T428" s="126"/>
      <c r="U428" s="126"/>
      <c r="V428" s="126"/>
      <c r="W428" s="126"/>
      <c r="X428" s="126"/>
      <c r="Y428" s="126"/>
      <c r="Z428" s="126"/>
    </row>
    <row r="429" spans="1:29" ht="27" customHeight="1">
      <c r="A429" s="103"/>
      <c r="B429" s="104"/>
      <c r="C429" s="104"/>
      <c r="D429" s="105"/>
      <c r="E429" s="102"/>
      <c r="F429" s="102"/>
      <c r="G429" s="102"/>
      <c r="H429" s="113"/>
      <c r="I429" s="113"/>
      <c r="J429" s="71"/>
      <c r="K429" s="48"/>
      <c r="L429" s="71"/>
      <c r="M429" s="48"/>
      <c r="N429" s="71"/>
      <c r="O429" s="71"/>
      <c r="P429" s="71"/>
      <c r="Q429" s="105"/>
      <c r="R429" s="125" t="str">
        <f t="shared" si="35"/>
        <v/>
      </c>
      <c r="S429" s="126" t="str">
        <f t="shared" si="36"/>
        <v>-</v>
      </c>
      <c r="T429" s="126"/>
      <c r="U429" s="126"/>
      <c r="V429" s="126"/>
      <c r="W429" s="126"/>
      <c r="X429" s="126"/>
      <c r="Y429" s="126"/>
      <c r="Z429" s="126"/>
    </row>
    <row r="430" spans="1:29" ht="27" customHeight="1">
      <c r="A430" s="103"/>
      <c r="B430" s="104"/>
      <c r="C430" s="104"/>
      <c r="D430" s="105"/>
      <c r="E430" s="102"/>
      <c r="F430" s="102"/>
      <c r="G430" s="102"/>
      <c r="H430" s="113"/>
      <c r="I430" s="113"/>
      <c r="J430" s="71"/>
      <c r="K430" s="48"/>
      <c r="L430" s="71"/>
      <c r="M430" s="48"/>
      <c r="N430" s="71"/>
      <c r="O430" s="71"/>
      <c r="P430" s="71"/>
      <c r="Q430" s="105"/>
      <c r="R430" s="125" t="str">
        <f t="shared" si="35"/>
        <v/>
      </c>
      <c r="S430" s="126" t="str">
        <f t="shared" si="36"/>
        <v>-</v>
      </c>
      <c r="T430" s="126"/>
      <c r="U430" s="126"/>
      <c r="V430" s="126"/>
      <c r="W430" s="126"/>
      <c r="X430" s="126"/>
      <c r="Y430" s="126"/>
      <c r="Z430" s="126"/>
    </row>
    <row r="431" spans="1:29" ht="27" customHeight="1">
      <c r="A431" s="103"/>
      <c r="B431" s="104"/>
      <c r="C431" s="104"/>
      <c r="D431" s="105"/>
      <c r="E431" s="102"/>
      <c r="F431" s="102"/>
      <c r="G431" s="102"/>
      <c r="H431" s="113"/>
      <c r="I431" s="113"/>
      <c r="J431" s="71"/>
      <c r="K431" s="48"/>
      <c r="L431" s="71"/>
      <c r="M431" s="48"/>
      <c r="N431" s="71"/>
      <c r="O431" s="71"/>
      <c r="P431" s="71"/>
      <c r="Q431" s="105"/>
      <c r="R431" s="125" t="str">
        <f t="shared" si="35"/>
        <v/>
      </c>
      <c r="S431" s="126" t="str">
        <f t="shared" si="36"/>
        <v>-</v>
      </c>
      <c r="T431" s="126"/>
      <c r="U431" s="126"/>
      <c r="V431" s="126"/>
      <c r="W431" s="126"/>
      <c r="X431" s="126"/>
      <c r="Y431" s="126"/>
      <c r="Z431" s="126"/>
    </row>
    <row r="432" spans="1:29" ht="27" customHeight="1">
      <c r="A432" s="103"/>
      <c r="B432" s="104"/>
      <c r="C432" s="104"/>
      <c r="D432" s="105"/>
      <c r="E432" s="102"/>
      <c r="F432" s="102"/>
      <c r="G432" s="102"/>
      <c r="H432" s="113"/>
      <c r="I432" s="113"/>
      <c r="J432" s="71"/>
      <c r="K432" s="48"/>
      <c r="L432" s="71"/>
      <c r="M432" s="48"/>
      <c r="N432" s="71"/>
      <c r="O432" s="71"/>
      <c r="P432" s="71"/>
      <c r="Q432" s="105"/>
      <c r="R432" s="125" t="str">
        <f t="shared" si="35"/>
        <v/>
      </c>
      <c r="S432" s="126" t="str">
        <f t="shared" si="36"/>
        <v>-</v>
      </c>
      <c r="T432" s="126"/>
      <c r="U432" s="126"/>
      <c r="V432" s="126"/>
      <c r="W432" s="126"/>
      <c r="X432" s="126"/>
      <c r="Y432" s="126"/>
      <c r="Z432" s="126"/>
    </row>
    <row r="433" spans="1:29" ht="27" customHeight="1">
      <c r="A433" s="103"/>
      <c r="B433" s="104"/>
      <c r="C433" s="104"/>
      <c r="D433" s="105"/>
      <c r="E433" s="102"/>
      <c r="F433" s="102"/>
      <c r="G433" s="102"/>
      <c r="H433" s="113"/>
      <c r="I433" s="113"/>
      <c r="J433" s="71"/>
      <c r="K433" s="48"/>
      <c r="L433" s="71"/>
      <c r="M433" s="48"/>
      <c r="N433" s="71"/>
      <c r="O433" s="71"/>
      <c r="P433" s="71"/>
      <c r="Q433" s="105"/>
      <c r="R433" s="125" t="str">
        <f t="shared" si="35"/>
        <v/>
      </c>
      <c r="S433" s="126" t="str">
        <f t="shared" si="36"/>
        <v>-</v>
      </c>
      <c r="T433" s="126"/>
      <c r="U433" s="126"/>
      <c r="V433" s="126"/>
      <c r="W433" s="126"/>
      <c r="X433" s="126"/>
      <c r="Y433" s="126"/>
      <c r="Z433" s="126"/>
    </row>
    <row r="434" spans="1:29" ht="27" customHeight="1">
      <c r="A434" s="103"/>
      <c r="B434" s="104"/>
      <c r="C434" s="104"/>
      <c r="D434" s="105"/>
      <c r="E434" s="102"/>
      <c r="F434" s="102"/>
      <c r="G434" s="102"/>
      <c r="H434" s="113"/>
      <c r="I434" s="113"/>
      <c r="J434" s="71"/>
      <c r="K434" s="48"/>
      <c r="L434" s="71"/>
      <c r="M434" s="48"/>
      <c r="N434" s="71"/>
      <c r="O434" s="71"/>
      <c r="P434" s="71"/>
      <c r="Q434" s="105"/>
      <c r="R434" s="125" t="str">
        <f t="shared" si="35"/>
        <v/>
      </c>
      <c r="S434" s="126" t="str">
        <f t="shared" si="36"/>
        <v>-</v>
      </c>
      <c r="T434" s="126"/>
      <c r="U434" s="126"/>
      <c r="V434" s="126"/>
      <c r="W434" s="126"/>
      <c r="X434" s="126"/>
      <c r="Y434" s="126"/>
      <c r="Z434" s="126"/>
    </row>
    <row r="435" spans="1:29" ht="27" customHeight="1">
      <c r="A435" s="103"/>
      <c r="B435" s="104"/>
      <c r="C435" s="104"/>
      <c r="D435" s="105"/>
      <c r="E435" s="102"/>
      <c r="F435" s="102"/>
      <c r="G435" s="102"/>
      <c r="H435" s="113"/>
      <c r="I435" s="113"/>
      <c r="J435" s="71"/>
      <c r="K435" s="48"/>
      <c r="L435" s="71"/>
      <c r="M435" s="48"/>
      <c r="N435" s="71"/>
      <c r="O435" s="71"/>
      <c r="P435" s="71"/>
      <c r="Q435" s="105"/>
      <c r="R435" s="125" t="str">
        <f t="shared" si="35"/>
        <v/>
      </c>
      <c r="S435" s="126" t="str">
        <f t="shared" si="36"/>
        <v>-</v>
      </c>
      <c r="T435" s="126"/>
      <c r="U435" s="126"/>
      <c r="V435" s="126"/>
      <c r="W435" s="126"/>
      <c r="X435" s="126"/>
      <c r="Y435" s="126"/>
      <c r="Z435" s="126"/>
    </row>
    <row r="436" spans="1:29" ht="27" customHeight="1">
      <c r="A436" s="103"/>
      <c r="B436" s="104"/>
      <c r="C436" s="104"/>
      <c r="D436" s="105"/>
      <c r="E436" s="102"/>
      <c r="F436" s="102"/>
      <c r="G436" s="102"/>
      <c r="H436" s="113"/>
      <c r="I436" s="113"/>
      <c r="J436" s="71"/>
      <c r="K436" s="48"/>
      <c r="L436" s="71"/>
      <c r="M436" s="48"/>
      <c r="N436" s="71"/>
      <c r="O436" s="71"/>
      <c r="P436" s="71"/>
      <c r="Q436" s="105"/>
      <c r="R436" s="125" t="str">
        <f t="shared" si="35"/>
        <v/>
      </c>
      <c r="S436" s="126" t="str">
        <f t="shared" si="36"/>
        <v>-</v>
      </c>
      <c r="T436" s="126"/>
      <c r="U436" s="126"/>
      <c r="V436" s="126"/>
      <c r="W436" s="126"/>
      <c r="X436" s="126"/>
      <c r="Y436" s="126"/>
      <c r="Z436" s="126"/>
    </row>
    <row r="437" spans="1:29" ht="27" customHeight="1">
      <c r="A437" s="103"/>
      <c r="B437" s="104"/>
      <c r="C437" s="104"/>
      <c r="D437" s="105"/>
      <c r="E437" s="102"/>
      <c r="F437" s="102"/>
      <c r="G437" s="102"/>
      <c r="H437" s="113"/>
      <c r="I437" s="113"/>
      <c r="J437" s="71"/>
      <c r="K437" s="48"/>
      <c r="L437" s="71"/>
      <c r="M437" s="48"/>
      <c r="N437" s="71"/>
      <c r="O437" s="71"/>
      <c r="P437" s="71"/>
      <c r="Q437" s="105"/>
      <c r="R437" s="125" t="str">
        <f t="shared" si="35"/>
        <v/>
      </c>
      <c r="S437" s="126" t="str">
        <f t="shared" si="36"/>
        <v>-</v>
      </c>
      <c r="T437" s="126"/>
      <c r="U437" s="126"/>
      <c r="V437" s="126"/>
      <c r="W437" s="126"/>
      <c r="X437" s="126"/>
      <c r="Y437" s="126"/>
      <c r="Z437" s="126"/>
    </row>
    <row r="438" spans="1:29" ht="27" customHeight="1">
      <c r="A438" s="103"/>
      <c r="B438" s="104"/>
      <c r="C438" s="104"/>
      <c r="D438" s="105"/>
      <c r="E438" s="102"/>
      <c r="F438" s="102"/>
      <c r="G438" s="102"/>
      <c r="H438" s="113"/>
      <c r="I438" s="113"/>
      <c r="J438" s="71"/>
      <c r="K438" s="48"/>
      <c r="L438" s="71"/>
      <c r="M438" s="48"/>
      <c r="N438" s="71"/>
      <c r="O438" s="71"/>
      <c r="P438" s="71"/>
      <c r="Q438" s="105"/>
      <c r="R438" s="125" t="str">
        <f t="shared" si="35"/>
        <v/>
      </c>
      <c r="S438" s="126" t="str">
        <f t="shared" si="36"/>
        <v>-</v>
      </c>
      <c r="T438" s="126"/>
      <c r="U438" s="126"/>
      <c r="V438" s="126"/>
      <c r="W438" s="126"/>
      <c r="X438" s="126"/>
      <c r="Y438" s="126"/>
      <c r="Z438" s="126"/>
    </row>
    <row r="439" spans="1:29" ht="27" customHeight="1">
      <c r="A439" s="103"/>
      <c r="B439" s="104"/>
      <c r="C439" s="104"/>
      <c r="D439" s="105"/>
      <c r="E439" s="102"/>
      <c r="F439" s="102"/>
      <c r="G439" s="102"/>
      <c r="H439" s="113"/>
      <c r="I439" s="113"/>
      <c r="J439" s="71"/>
      <c r="K439" s="48"/>
      <c r="L439" s="71"/>
      <c r="M439" s="48"/>
      <c r="N439" s="71"/>
      <c r="O439" s="71"/>
      <c r="P439" s="71"/>
      <c r="Q439" s="105"/>
      <c r="R439" s="125" t="str">
        <f t="shared" si="35"/>
        <v/>
      </c>
      <c r="S439" s="126" t="str">
        <f t="shared" si="36"/>
        <v>-</v>
      </c>
      <c r="T439" s="126"/>
      <c r="U439" s="126"/>
      <c r="V439" s="126"/>
      <c r="W439" s="126"/>
      <c r="X439" s="126"/>
      <c r="Y439" s="126"/>
      <c r="Z439" s="126"/>
    </row>
    <row r="440" spans="1:29" ht="27" customHeight="1">
      <c r="A440" s="103"/>
      <c r="B440" s="104"/>
      <c r="C440" s="104"/>
      <c r="D440" s="105"/>
      <c r="E440" s="102"/>
      <c r="F440" s="102"/>
      <c r="G440" s="102"/>
      <c r="H440" s="113"/>
      <c r="I440" s="113"/>
      <c r="J440" s="71"/>
      <c r="K440" s="48"/>
      <c r="L440" s="71"/>
      <c r="M440" s="48"/>
      <c r="N440" s="71"/>
      <c r="O440" s="71"/>
      <c r="P440" s="71"/>
      <c r="Q440" s="105"/>
      <c r="R440" s="125" t="str">
        <f t="shared" si="35"/>
        <v/>
      </c>
      <c r="S440" s="126" t="str">
        <f t="shared" si="36"/>
        <v>-</v>
      </c>
      <c r="T440" s="126"/>
      <c r="U440" s="126"/>
      <c r="V440" s="126"/>
      <c r="W440" s="126"/>
      <c r="X440" s="126"/>
      <c r="Y440" s="126"/>
      <c r="Z440" s="127"/>
    </row>
    <row r="441" spans="1:29" ht="27" customHeight="1">
      <c r="A441" s="103"/>
      <c r="B441" s="104"/>
      <c r="C441" s="104"/>
      <c r="D441" s="105"/>
      <c r="E441" s="102"/>
      <c r="F441" s="102"/>
      <c r="G441" s="102"/>
      <c r="H441" s="113"/>
      <c r="I441" s="113"/>
      <c r="J441" s="71"/>
      <c r="K441" s="48"/>
      <c r="L441" s="71"/>
      <c r="M441" s="48"/>
      <c r="N441" s="71"/>
      <c r="O441" s="71"/>
      <c r="P441" s="71"/>
      <c r="Q441" s="105"/>
      <c r="R441" s="125" t="str">
        <f t="shared" si="35"/>
        <v/>
      </c>
      <c r="S441" s="126" t="str">
        <f t="shared" si="36"/>
        <v>-</v>
      </c>
      <c r="T441" s="126"/>
      <c r="U441" s="126"/>
      <c r="V441" s="126"/>
      <c r="W441" s="126"/>
      <c r="X441" s="126"/>
      <c r="Y441" s="126"/>
      <c r="Z441" s="127"/>
    </row>
    <row r="442" spans="1:29" ht="27" customHeight="1">
      <c r="A442" s="103"/>
      <c r="B442" s="104"/>
      <c r="C442" s="104"/>
      <c r="D442" s="105"/>
      <c r="E442" s="102"/>
      <c r="F442" s="102"/>
      <c r="G442" s="102"/>
      <c r="H442" s="113"/>
      <c r="I442" s="113"/>
      <c r="J442" s="71"/>
      <c r="K442" s="48"/>
      <c r="L442" s="71"/>
      <c r="M442" s="48"/>
      <c r="N442" s="71"/>
      <c r="O442" s="71"/>
      <c r="P442" s="71"/>
      <c r="Q442" s="105"/>
      <c r="R442" s="125" t="str">
        <f t="shared" si="35"/>
        <v/>
      </c>
      <c r="S442" s="126" t="str">
        <f t="shared" si="36"/>
        <v>-</v>
      </c>
      <c r="T442" s="126"/>
      <c r="U442" s="126"/>
      <c r="V442" s="126"/>
      <c r="W442" s="126"/>
      <c r="X442" s="126"/>
      <c r="Y442" s="126"/>
      <c r="Z442" s="127"/>
    </row>
    <row r="443" spans="1:29" ht="27" customHeight="1">
      <c r="A443" s="103"/>
      <c r="B443" s="104"/>
      <c r="C443" s="104"/>
      <c r="D443" s="105"/>
      <c r="E443" s="102"/>
      <c r="F443" s="102"/>
      <c r="G443" s="102"/>
      <c r="H443" s="113"/>
      <c r="I443" s="113"/>
      <c r="J443" s="71"/>
      <c r="K443" s="48"/>
      <c r="L443" s="71"/>
      <c r="M443" s="48"/>
      <c r="N443" s="71"/>
      <c r="O443" s="71"/>
      <c r="P443" s="71"/>
      <c r="Q443" s="105"/>
      <c r="R443" s="125" t="str">
        <f t="shared" si="35"/>
        <v/>
      </c>
      <c r="S443" s="126" t="str">
        <f t="shared" si="36"/>
        <v>-</v>
      </c>
      <c r="T443" s="126"/>
      <c r="U443" s="126"/>
      <c r="V443" s="126"/>
      <c r="W443" s="126"/>
      <c r="X443" s="126"/>
      <c r="Y443" s="126"/>
      <c r="Z443" s="127"/>
    </row>
    <row r="444" spans="1:29" ht="27" customHeight="1">
      <c r="A444" s="103"/>
      <c r="B444" s="104"/>
      <c r="C444" s="104"/>
      <c r="D444" s="105"/>
      <c r="E444" s="102"/>
      <c r="F444" s="102"/>
      <c r="G444" s="102"/>
      <c r="H444" s="113"/>
      <c r="I444" s="113"/>
      <c r="J444" s="71"/>
      <c r="K444" s="48"/>
      <c r="L444" s="71"/>
      <c r="M444" s="48"/>
      <c r="N444" s="71"/>
      <c r="O444" s="71"/>
      <c r="P444" s="71"/>
      <c r="Q444" s="105"/>
      <c r="R444" s="125" t="str">
        <f t="shared" si="35"/>
        <v/>
      </c>
      <c r="S444" s="126" t="str">
        <f t="shared" si="36"/>
        <v>-</v>
      </c>
      <c r="T444" s="126"/>
      <c r="U444" s="126"/>
      <c r="V444" s="126"/>
      <c r="W444" s="126"/>
      <c r="X444" s="126"/>
      <c r="Y444" s="126"/>
      <c r="Z444" s="141"/>
      <c r="AA444" s="126"/>
      <c r="AB444" s="126"/>
      <c r="AC444" s="126"/>
    </row>
    <row r="445" spans="1:29" ht="27" customHeight="1">
      <c r="A445" s="103"/>
      <c r="B445" s="104"/>
      <c r="C445" s="104"/>
      <c r="D445" s="105"/>
      <c r="E445" s="102"/>
      <c r="F445" s="102"/>
      <c r="G445" s="102"/>
      <c r="H445" s="113"/>
      <c r="I445" s="113"/>
      <c r="J445" s="71"/>
      <c r="K445" s="48"/>
      <c r="L445" s="71"/>
      <c r="M445" s="48"/>
      <c r="N445" s="71"/>
      <c r="O445" s="71"/>
      <c r="P445" s="71"/>
      <c r="Q445" s="105"/>
      <c r="R445" s="125" t="str">
        <f t="shared" si="35"/>
        <v/>
      </c>
      <c r="S445" s="126"/>
      <c r="T445" s="126"/>
      <c r="U445" s="126"/>
      <c r="V445" s="126"/>
      <c r="W445" s="126"/>
      <c r="X445" s="126"/>
      <c r="Y445" s="126"/>
      <c r="Z445" s="141"/>
      <c r="AA445" s="126"/>
      <c r="AB445" s="126"/>
      <c r="AC445" s="126"/>
    </row>
    <row r="446" spans="1:29" ht="27" customHeight="1">
      <c r="A446" s="103"/>
      <c r="B446" s="104"/>
      <c r="C446" s="104"/>
      <c r="D446" s="105"/>
      <c r="E446" s="102"/>
      <c r="F446" s="102"/>
      <c r="G446" s="102"/>
      <c r="H446" s="113"/>
      <c r="I446" s="113"/>
      <c r="J446" s="71"/>
      <c r="K446" s="48"/>
      <c r="L446" s="71"/>
      <c r="M446" s="48"/>
      <c r="N446" s="71"/>
      <c r="O446" s="71"/>
      <c r="P446" s="71"/>
      <c r="Q446" s="105"/>
      <c r="R446" s="125" t="str">
        <f>CONCATENATE(D446,J446)</f>
        <v/>
      </c>
      <c r="S446" s="126" t="str">
        <f>IF(E446&gt;=F446,"-","ERR")</f>
        <v>-</v>
      </c>
      <c r="T446" s="126"/>
      <c r="U446" s="126"/>
      <c r="V446" s="126"/>
      <c r="W446" s="126"/>
      <c r="X446" s="126"/>
      <c r="Y446" s="126"/>
      <c r="Z446" s="126"/>
    </row>
    <row r="447" spans="1:29" ht="27" customHeight="1">
      <c r="A447" s="103"/>
      <c r="B447" s="104"/>
      <c r="C447" s="104"/>
      <c r="D447" s="105"/>
      <c r="E447" s="102"/>
      <c r="F447" s="102"/>
      <c r="G447" s="102"/>
      <c r="H447" s="113"/>
      <c r="I447" s="113"/>
      <c r="J447" s="71"/>
      <c r="K447" s="48"/>
      <c r="L447" s="71"/>
      <c r="M447" s="48"/>
      <c r="N447" s="71"/>
      <c r="O447" s="71"/>
      <c r="P447" s="71"/>
      <c r="Q447" s="105"/>
      <c r="R447" s="125" t="str">
        <f t="shared" ref="R447:R466" si="37">CONCATENATE(D447,J447)</f>
        <v/>
      </c>
      <c r="S447" s="126" t="str">
        <f t="shared" ref="S447:S465" si="38">IF(E447&gt;=F447,"-","ERR")</f>
        <v>-</v>
      </c>
      <c r="T447" s="126"/>
      <c r="U447" s="126"/>
      <c r="V447" s="126"/>
      <c r="W447" s="126"/>
      <c r="X447" s="126"/>
      <c r="Y447" s="126"/>
      <c r="Z447" s="126"/>
    </row>
    <row r="448" spans="1:29" ht="27" customHeight="1">
      <c r="A448" s="103"/>
      <c r="B448" s="104"/>
      <c r="C448" s="104"/>
      <c r="D448" s="105"/>
      <c r="E448" s="102"/>
      <c r="F448" s="102"/>
      <c r="G448" s="102"/>
      <c r="H448" s="113"/>
      <c r="I448" s="113"/>
      <c r="J448" s="71"/>
      <c r="K448" s="48"/>
      <c r="L448" s="71"/>
      <c r="M448" s="48"/>
      <c r="N448" s="71"/>
      <c r="O448" s="71"/>
      <c r="P448" s="71"/>
      <c r="Q448" s="105"/>
      <c r="R448" s="125" t="str">
        <f t="shared" si="37"/>
        <v/>
      </c>
      <c r="S448" s="126" t="str">
        <f t="shared" si="38"/>
        <v>-</v>
      </c>
      <c r="T448" s="126"/>
      <c r="U448" s="126"/>
      <c r="V448" s="126"/>
      <c r="W448" s="126"/>
      <c r="X448" s="126"/>
      <c r="Y448" s="126"/>
      <c r="Z448" s="126"/>
    </row>
    <row r="449" spans="1:26" ht="27" customHeight="1">
      <c r="A449" s="103"/>
      <c r="B449" s="104"/>
      <c r="C449" s="104"/>
      <c r="D449" s="105"/>
      <c r="E449" s="102"/>
      <c r="F449" s="102"/>
      <c r="G449" s="102"/>
      <c r="H449" s="113"/>
      <c r="I449" s="113"/>
      <c r="J449" s="71"/>
      <c r="K449" s="48"/>
      <c r="L449" s="71"/>
      <c r="M449" s="48"/>
      <c r="N449" s="71"/>
      <c r="O449" s="71"/>
      <c r="P449" s="71"/>
      <c r="Q449" s="105"/>
      <c r="R449" s="125" t="str">
        <f t="shared" si="37"/>
        <v/>
      </c>
      <c r="S449" s="126" t="str">
        <f t="shared" si="38"/>
        <v>-</v>
      </c>
      <c r="T449" s="126"/>
      <c r="U449" s="126"/>
      <c r="V449" s="126"/>
      <c r="W449" s="126"/>
      <c r="X449" s="126"/>
      <c r="Y449" s="126"/>
      <c r="Z449" s="126"/>
    </row>
    <row r="450" spans="1:26" ht="27" customHeight="1">
      <c r="A450" s="103"/>
      <c r="B450" s="104"/>
      <c r="C450" s="104"/>
      <c r="D450" s="105"/>
      <c r="E450" s="102"/>
      <c r="F450" s="102"/>
      <c r="G450" s="102"/>
      <c r="H450" s="113"/>
      <c r="I450" s="113"/>
      <c r="J450" s="71"/>
      <c r="K450" s="48"/>
      <c r="L450" s="71"/>
      <c r="M450" s="48"/>
      <c r="N450" s="71"/>
      <c r="O450" s="71"/>
      <c r="P450" s="71"/>
      <c r="Q450" s="105"/>
      <c r="R450" s="125" t="str">
        <f t="shared" si="37"/>
        <v/>
      </c>
      <c r="S450" s="126" t="str">
        <f t="shared" si="38"/>
        <v>-</v>
      </c>
      <c r="T450" s="126"/>
      <c r="U450" s="126"/>
      <c r="V450" s="126"/>
      <c r="W450" s="126"/>
      <c r="X450" s="126"/>
      <c r="Y450" s="126"/>
      <c r="Z450" s="126"/>
    </row>
    <row r="451" spans="1:26" ht="27" customHeight="1">
      <c r="A451" s="103"/>
      <c r="B451" s="104"/>
      <c r="C451" s="104"/>
      <c r="D451" s="105"/>
      <c r="E451" s="102"/>
      <c r="F451" s="102"/>
      <c r="G451" s="102"/>
      <c r="H451" s="113"/>
      <c r="I451" s="113"/>
      <c r="J451" s="71"/>
      <c r="K451" s="48"/>
      <c r="L451" s="71"/>
      <c r="M451" s="48"/>
      <c r="N451" s="71"/>
      <c r="O451" s="71"/>
      <c r="P451" s="71"/>
      <c r="Q451" s="105"/>
      <c r="R451" s="125" t="str">
        <f t="shared" si="37"/>
        <v/>
      </c>
      <c r="S451" s="126" t="str">
        <f t="shared" si="38"/>
        <v>-</v>
      </c>
      <c r="T451" s="126"/>
      <c r="U451" s="126"/>
      <c r="V451" s="126"/>
      <c r="W451" s="126"/>
      <c r="X451" s="126"/>
      <c r="Y451" s="126"/>
      <c r="Z451" s="126"/>
    </row>
    <row r="452" spans="1:26" ht="27" customHeight="1">
      <c r="A452" s="103"/>
      <c r="B452" s="104"/>
      <c r="C452" s="104"/>
      <c r="D452" s="105"/>
      <c r="E452" s="102"/>
      <c r="F452" s="102"/>
      <c r="G452" s="102"/>
      <c r="H452" s="113"/>
      <c r="I452" s="113"/>
      <c r="J452" s="71"/>
      <c r="K452" s="48"/>
      <c r="L452" s="71"/>
      <c r="M452" s="48"/>
      <c r="N452" s="71"/>
      <c r="O452" s="71"/>
      <c r="P452" s="71"/>
      <c r="Q452" s="105"/>
      <c r="R452" s="125" t="str">
        <f t="shared" si="37"/>
        <v/>
      </c>
      <c r="S452" s="126" t="str">
        <f t="shared" si="38"/>
        <v>-</v>
      </c>
      <c r="T452" s="126"/>
      <c r="U452" s="126"/>
      <c r="V452" s="126"/>
      <c r="W452" s="126"/>
      <c r="X452" s="126"/>
      <c r="Y452" s="126"/>
      <c r="Z452" s="126"/>
    </row>
    <row r="453" spans="1:26" ht="27" customHeight="1">
      <c r="A453" s="103"/>
      <c r="B453" s="104"/>
      <c r="C453" s="104"/>
      <c r="D453" s="105"/>
      <c r="E453" s="102"/>
      <c r="F453" s="102"/>
      <c r="G453" s="102"/>
      <c r="H453" s="113"/>
      <c r="I453" s="113"/>
      <c r="J453" s="71"/>
      <c r="K453" s="48"/>
      <c r="L453" s="71"/>
      <c r="M453" s="48"/>
      <c r="N453" s="71"/>
      <c r="O453" s="71"/>
      <c r="P453" s="71"/>
      <c r="Q453" s="105"/>
      <c r="R453" s="125" t="str">
        <f t="shared" si="37"/>
        <v/>
      </c>
      <c r="S453" s="126" t="str">
        <f t="shared" si="38"/>
        <v>-</v>
      </c>
      <c r="T453" s="126"/>
      <c r="U453" s="126"/>
      <c r="V453" s="126"/>
      <c r="W453" s="126"/>
      <c r="X453" s="126"/>
      <c r="Y453" s="126"/>
      <c r="Z453" s="126"/>
    </row>
    <row r="454" spans="1:26" ht="27" customHeight="1">
      <c r="A454" s="103" t="str">
        <f>IF(ISBLANK(D454)," ",450-COUNTBLANK($D$6:D454))</f>
        <v xml:space="preserve"> </v>
      </c>
      <c r="B454" s="104"/>
      <c r="C454" s="104"/>
      <c r="D454" s="105"/>
      <c r="E454" s="102"/>
      <c r="F454" s="102"/>
      <c r="G454" s="102"/>
      <c r="H454" s="113"/>
      <c r="I454" s="113"/>
      <c r="J454" s="71"/>
      <c r="K454" s="48"/>
      <c r="L454" s="71"/>
      <c r="M454" s="48"/>
      <c r="N454" s="71"/>
      <c r="O454" s="71"/>
      <c r="P454" s="71"/>
      <c r="Q454" s="105"/>
      <c r="R454" s="125" t="str">
        <f t="shared" si="37"/>
        <v/>
      </c>
      <c r="S454" s="126" t="str">
        <f t="shared" si="38"/>
        <v>-</v>
      </c>
      <c r="T454" s="126"/>
      <c r="U454" s="126"/>
      <c r="V454" s="126"/>
      <c r="W454" s="126"/>
      <c r="X454" s="126"/>
      <c r="Y454" s="126"/>
      <c r="Z454" s="126"/>
    </row>
    <row r="455" spans="1:26" ht="27" customHeight="1">
      <c r="A455" s="103" t="str">
        <f>IF(ISBLANK(D455)," ",451-COUNTBLANK($D$6:D455))</f>
        <v xml:space="preserve"> </v>
      </c>
      <c r="B455" s="104"/>
      <c r="C455" s="104"/>
      <c r="D455" s="105"/>
      <c r="E455" s="102"/>
      <c r="F455" s="102"/>
      <c r="G455" s="102"/>
      <c r="H455" s="113"/>
      <c r="I455" s="113"/>
      <c r="J455" s="71"/>
      <c r="K455" s="48"/>
      <c r="L455" s="71"/>
      <c r="M455" s="48"/>
      <c r="N455" s="71"/>
      <c r="O455" s="71"/>
      <c r="P455" s="71"/>
      <c r="Q455" s="105"/>
      <c r="R455" s="125" t="str">
        <f t="shared" si="37"/>
        <v/>
      </c>
      <c r="S455" s="126" t="str">
        <f t="shared" si="38"/>
        <v>-</v>
      </c>
      <c r="T455" s="126"/>
      <c r="U455" s="126"/>
      <c r="V455" s="126"/>
      <c r="W455" s="126"/>
      <c r="X455" s="126"/>
      <c r="Y455" s="126"/>
      <c r="Z455" s="126"/>
    </row>
    <row r="456" spans="1:26" ht="27" customHeight="1">
      <c r="A456" s="103" t="str">
        <f>IF(ISBLANK(D456)," ",452-COUNTBLANK($D$6:D456))</f>
        <v xml:space="preserve"> </v>
      </c>
      <c r="B456" s="104"/>
      <c r="C456" s="104"/>
      <c r="D456" s="105"/>
      <c r="E456" s="102"/>
      <c r="F456" s="102"/>
      <c r="G456" s="102"/>
      <c r="H456" s="113"/>
      <c r="I456" s="113"/>
      <c r="J456" s="71"/>
      <c r="K456" s="48"/>
      <c r="L456" s="71"/>
      <c r="M456" s="48"/>
      <c r="N456" s="71"/>
      <c r="O456" s="71"/>
      <c r="P456" s="71"/>
      <c r="Q456" s="105"/>
      <c r="R456" s="125" t="str">
        <f t="shared" si="37"/>
        <v/>
      </c>
      <c r="S456" s="126" t="str">
        <f t="shared" si="38"/>
        <v>-</v>
      </c>
      <c r="T456" s="126"/>
      <c r="U456" s="126"/>
      <c r="V456" s="126"/>
      <c r="W456" s="126"/>
      <c r="X456" s="126"/>
      <c r="Y456" s="126"/>
      <c r="Z456" s="126"/>
    </row>
    <row r="457" spans="1:26" ht="27" customHeight="1">
      <c r="A457" s="103" t="str">
        <f>IF(ISBLANK(D457)," ",453-COUNTBLANK($D$6:D457))</f>
        <v xml:space="preserve"> </v>
      </c>
      <c r="B457" s="104"/>
      <c r="C457" s="104"/>
      <c r="D457" s="105"/>
      <c r="E457" s="102"/>
      <c r="F457" s="102"/>
      <c r="G457" s="102"/>
      <c r="H457" s="113"/>
      <c r="I457" s="113"/>
      <c r="J457" s="71"/>
      <c r="K457" s="48"/>
      <c r="L457" s="71"/>
      <c r="M457" s="48"/>
      <c r="N457" s="71"/>
      <c r="O457" s="71"/>
      <c r="P457" s="71"/>
      <c r="Q457" s="105"/>
      <c r="R457" s="125" t="str">
        <f t="shared" si="37"/>
        <v/>
      </c>
      <c r="S457" s="126" t="str">
        <f t="shared" si="38"/>
        <v>-</v>
      </c>
      <c r="T457" s="126"/>
      <c r="U457" s="126"/>
      <c r="V457" s="126"/>
      <c r="W457" s="126"/>
      <c r="X457" s="126"/>
      <c r="Y457" s="126"/>
      <c r="Z457" s="126"/>
    </row>
    <row r="458" spans="1:26" ht="27" customHeight="1">
      <c r="A458" s="103" t="str">
        <f>IF(ISBLANK(D458)," ",454-COUNTBLANK($D$6:D458))</f>
        <v xml:space="preserve"> </v>
      </c>
      <c r="B458" s="104"/>
      <c r="C458" s="104"/>
      <c r="D458" s="105"/>
      <c r="E458" s="102"/>
      <c r="F458" s="102"/>
      <c r="G458" s="102"/>
      <c r="H458" s="113"/>
      <c r="I458" s="113"/>
      <c r="J458" s="71"/>
      <c r="K458" s="48"/>
      <c r="L458" s="71"/>
      <c r="M458" s="48"/>
      <c r="N458" s="71"/>
      <c r="O458" s="71"/>
      <c r="P458" s="71"/>
      <c r="Q458" s="105"/>
      <c r="R458" s="125" t="str">
        <f t="shared" si="37"/>
        <v/>
      </c>
      <c r="S458" s="126" t="str">
        <f t="shared" si="38"/>
        <v>-</v>
      </c>
      <c r="T458" s="126"/>
      <c r="U458" s="126"/>
      <c r="V458" s="126"/>
      <c r="W458" s="126"/>
      <c r="X458" s="126"/>
      <c r="Y458" s="126"/>
      <c r="Z458" s="126"/>
    </row>
    <row r="459" spans="1:26" ht="27" customHeight="1">
      <c r="A459" s="103" t="str">
        <f>IF(ISBLANK(D459)," ",455-COUNTBLANK($D$6:D459))</f>
        <v xml:space="preserve"> </v>
      </c>
      <c r="B459" s="104"/>
      <c r="C459" s="104"/>
      <c r="D459" s="105"/>
      <c r="E459" s="102"/>
      <c r="F459" s="102"/>
      <c r="G459" s="102"/>
      <c r="H459" s="113"/>
      <c r="I459" s="113"/>
      <c r="J459" s="71"/>
      <c r="K459" s="48"/>
      <c r="L459" s="71"/>
      <c r="M459" s="48"/>
      <c r="N459" s="71"/>
      <c r="O459" s="71"/>
      <c r="P459" s="71"/>
      <c r="Q459" s="105"/>
      <c r="R459" s="125" t="str">
        <f t="shared" si="37"/>
        <v/>
      </c>
      <c r="S459" s="126" t="str">
        <f t="shared" si="38"/>
        <v>-</v>
      </c>
      <c r="T459" s="126"/>
      <c r="U459" s="126"/>
      <c r="V459" s="126"/>
      <c r="W459" s="126"/>
      <c r="X459" s="126"/>
      <c r="Y459" s="126"/>
      <c r="Z459" s="126"/>
    </row>
    <row r="460" spans="1:26" ht="27" customHeight="1">
      <c r="A460" s="103" t="str">
        <f>IF(ISBLANK(D460)," ",456-COUNTBLANK($D$6:D460))</f>
        <v xml:space="preserve"> </v>
      </c>
      <c r="B460" s="104"/>
      <c r="C460" s="104"/>
      <c r="D460" s="105"/>
      <c r="E460" s="102"/>
      <c r="F460" s="102"/>
      <c r="G460" s="102"/>
      <c r="H460" s="113"/>
      <c r="I460" s="113"/>
      <c r="J460" s="71"/>
      <c r="K460" s="48"/>
      <c r="L460" s="71"/>
      <c r="M460" s="48"/>
      <c r="N460" s="71"/>
      <c r="O460" s="71"/>
      <c r="P460" s="71"/>
      <c r="Q460" s="105"/>
      <c r="R460" s="125" t="str">
        <f t="shared" si="37"/>
        <v/>
      </c>
      <c r="S460" s="126" t="str">
        <f t="shared" si="38"/>
        <v>-</v>
      </c>
      <c r="T460" s="126"/>
      <c r="U460" s="126"/>
      <c r="V460" s="126"/>
      <c r="W460" s="126"/>
      <c r="X460" s="126"/>
      <c r="Y460" s="126"/>
      <c r="Z460" s="126"/>
    </row>
    <row r="461" spans="1:26" ht="27" customHeight="1">
      <c r="A461" s="103" t="str">
        <f>IF(ISBLANK(D461)," ",457-COUNTBLANK($D$6:D461))</f>
        <v xml:space="preserve"> </v>
      </c>
      <c r="B461" s="104"/>
      <c r="C461" s="104"/>
      <c r="D461" s="105"/>
      <c r="E461" s="102"/>
      <c r="F461" s="102"/>
      <c r="G461" s="102"/>
      <c r="H461" s="113"/>
      <c r="I461" s="113"/>
      <c r="J461" s="71"/>
      <c r="K461" s="48"/>
      <c r="L461" s="71"/>
      <c r="M461" s="48"/>
      <c r="N461" s="71"/>
      <c r="O461" s="71"/>
      <c r="P461" s="71"/>
      <c r="Q461" s="105"/>
      <c r="R461" s="125" t="str">
        <f t="shared" si="37"/>
        <v/>
      </c>
      <c r="S461" s="126" t="str">
        <f t="shared" si="38"/>
        <v>-</v>
      </c>
      <c r="T461" s="126"/>
      <c r="U461" s="126"/>
      <c r="V461" s="126"/>
      <c r="W461" s="126"/>
      <c r="X461" s="126"/>
      <c r="Y461" s="126"/>
      <c r="Z461" s="127"/>
    </row>
    <row r="462" spans="1:26" ht="27" customHeight="1">
      <c r="A462" s="103" t="str">
        <f>IF(ISBLANK(D462)," ",458-COUNTBLANK($D$6:D462))</f>
        <v xml:space="preserve"> </v>
      </c>
      <c r="B462" s="104"/>
      <c r="C462" s="104"/>
      <c r="D462" s="105"/>
      <c r="E462" s="102"/>
      <c r="F462" s="102"/>
      <c r="G462" s="102"/>
      <c r="H462" s="113"/>
      <c r="I462" s="113"/>
      <c r="J462" s="71"/>
      <c r="K462" s="48"/>
      <c r="L462" s="71"/>
      <c r="M462" s="48"/>
      <c r="N462" s="71"/>
      <c r="O462" s="71"/>
      <c r="P462" s="71"/>
      <c r="Q462" s="105"/>
      <c r="R462" s="125" t="str">
        <f t="shared" si="37"/>
        <v/>
      </c>
      <c r="S462" s="126" t="str">
        <f t="shared" si="38"/>
        <v>-</v>
      </c>
      <c r="T462" s="126"/>
      <c r="U462" s="126"/>
      <c r="V462" s="126"/>
      <c r="W462" s="126"/>
      <c r="X462" s="126"/>
      <c r="Y462" s="126"/>
      <c r="Z462" s="127"/>
    </row>
    <row r="463" spans="1:26" ht="27" customHeight="1">
      <c r="A463" s="103" t="str">
        <f>IF(ISBLANK(D463)," ",459-COUNTBLANK($D$6:D463))</f>
        <v xml:space="preserve"> </v>
      </c>
      <c r="B463" s="104"/>
      <c r="C463" s="104"/>
      <c r="D463" s="105"/>
      <c r="E463" s="102"/>
      <c r="F463" s="102"/>
      <c r="G463" s="102"/>
      <c r="H463" s="113"/>
      <c r="I463" s="113"/>
      <c r="J463" s="71"/>
      <c r="K463" s="48"/>
      <c r="L463" s="71"/>
      <c r="M463" s="48"/>
      <c r="N463" s="71"/>
      <c r="O463" s="71"/>
      <c r="P463" s="71"/>
      <c r="Q463" s="105"/>
      <c r="R463" s="125" t="str">
        <f t="shared" si="37"/>
        <v/>
      </c>
      <c r="S463" s="126" t="str">
        <f t="shared" si="38"/>
        <v>-</v>
      </c>
      <c r="T463" s="126"/>
      <c r="U463" s="126"/>
      <c r="V463" s="126"/>
      <c r="W463" s="126"/>
      <c r="X463" s="126"/>
      <c r="Y463" s="126"/>
      <c r="Z463" s="127"/>
    </row>
    <row r="464" spans="1:26" ht="27" customHeight="1">
      <c r="A464" s="103" t="str">
        <f>IF(ISBLANK(D464)," ",460-COUNTBLANK($D$6:D464))</f>
        <v xml:space="preserve"> </v>
      </c>
      <c r="B464" s="104"/>
      <c r="C464" s="104"/>
      <c r="D464" s="105"/>
      <c r="E464" s="102"/>
      <c r="F464" s="102"/>
      <c r="G464" s="102"/>
      <c r="H464" s="113"/>
      <c r="I464" s="113"/>
      <c r="J464" s="71"/>
      <c r="K464" s="48"/>
      <c r="L464" s="71"/>
      <c r="M464" s="48"/>
      <c r="N464" s="71"/>
      <c r="O464" s="71"/>
      <c r="P464" s="71"/>
      <c r="Q464" s="105"/>
      <c r="R464" s="125" t="str">
        <f t="shared" si="37"/>
        <v/>
      </c>
      <c r="S464" s="126" t="str">
        <f t="shared" si="38"/>
        <v>-</v>
      </c>
      <c r="T464" s="126"/>
      <c r="U464" s="126"/>
      <c r="V464" s="126"/>
      <c r="W464" s="126"/>
      <c r="X464" s="126"/>
      <c r="Y464" s="126"/>
      <c r="Z464" s="127"/>
    </row>
    <row r="465" spans="1:29" ht="27" customHeight="1">
      <c r="A465" s="103" t="str">
        <f>IF(ISBLANK(D465)," ",461-COUNTBLANK($D$6:D465))</f>
        <v xml:space="preserve"> </v>
      </c>
      <c r="B465" s="104"/>
      <c r="C465" s="104"/>
      <c r="D465" s="105"/>
      <c r="E465" s="102"/>
      <c r="F465" s="102"/>
      <c r="G465" s="102"/>
      <c r="H465" s="113"/>
      <c r="I465" s="113"/>
      <c r="J465" s="71"/>
      <c r="K465" s="48"/>
      <c r="L465" s="71"/>
      <c r="M465" s="48"/>
      <c r="N465" s="71"/>
      <c r="O465" s="71"/>
      <c r="P465" s="71"/>
      <c r="Q465" s="105"/>
      <c r="R465" s="125" t="str">
        <f t="shared" si="37"/>
        <v/>
      </c>
      <c r="S465" s="126" t="str">
        <f t="shared" si="38"/>
        <v>-</v>
      </c>
      <c r="T465" s="126"/>
      <c r="U465" s="126"/>
      <c r="V465" s="126"/>
      <c r="W465" s="126"/>
      <c r="X465" s="126"/>
      <c r="Y465" s="126"/>
      <c r="Z465" s="141"/>
      <c r="AA465" s="126"/>
      <c r="AB465" s="126"/>
      <c r="AC465" s="126"/>
    </row>
    <row r="466" spans="1:29" ht="27" customHeight="1">
      <c r="A466" s="103" t="s">
        <v>44</v>
      </c>
      <c r="B466" s="104"/>
      <c r="C466" s="104"/>
      <c r="D466" s="105"/>
      <c r="E466" s="102"/>
      <c r="F466" s="102">
        <f>SUM(F446:F465)</f>
        <v>0</v>
      </c>
      <c r="G466" s="102"/>
      <c r="H466" s="113"/>
      <c r="I466" s="113"/>
      <c r="J466" s="71"/>
      <c r="K466" s="48"/>
      <c r="L466" s="71"/>
      <c r="M466" s="48"/>
      <c r="N466" s="71"/>
      <c r="O466" s="71"/>
      <c r="P466" s="71"/>
      <c r="Q466" s="105"/>
      <c r="R466" s="125" t="str">
        <f t="shared" si="37"/>
        <v/>
      </c>
      <c r="S466" s="126"/>
      <c r="T466" s="126"/>
      <c r="U466" s="126"/>
      <c r="V466" s="126"/>
      <c r="W466" s="126"/>
      <c r="X466" s="126"/>
      <c r="Y466" s="126"/>
      <c r="Z466" s="141"/>
      <c r="AA466" s="126"/>
      <c r="AB466" s="126"/>
      <c r="AC466" s="126"/>
    </row>
    <row r="467" spans="1:29" ht="27" customHeight="1">
      <c r="A467" s="103" t="str">
        <f>IF(ISBLANK(D467)," ",463-COUNTBLANK($D$6:D467))</f>
        <v xml:space="preserve"> </v>
      </c>
      <c r="B467" s="104"/>
      <c r="C467" s="104"/>
      <c r="D467" s="105"/>
      <c r="E467" s="102"/>
      <c r="F467" s="102"/>
      <c r="G467" s="102"/>
      <c r="H467" s="113"/>
      <c r="I467" s="113"/>
      <c r="J467" s="71"/>
      <c r="K467" s="48"/>
      <c r="L467" s="71"/>
      <c r="M467" s="48"/>
      <c r="N467" s="71"/>
      <c r="O467" s="71"/>
      <c r="P467" s="71"/>
      <c r="Q467" s="105"/>
      <c r="R467" s="125" t="str">
        <f>CONCATENATE(D467,J467)</f>
        <v/>
      </c>
      <c r="S467" s="126" t="str">
        <f>IF(E467&gt;=F467,"-","ERR")</f>
        <v>-</v>
      </c>
      <c r="T467" s="126"/>
      <c r="U467" s="126"/>
      <c r="V467" s="126"/>
      <c r="W467" s="126"/>
      <c r="X467" s="126"/>
      <c r="Y467" s="126"/>
      <c r="Z467" s="126"/>
    </row>
    <row r="468" spans="1:29" ht="27" customHeight="1">
      <c r="A468" s="103" t="str">
        <f>IF(ISBLANK(D468)," ",464-COUNTBLANK($D$6:D468))</f>
        <v xml:space="preserve"> </v>
      </c>
      <c r="B468" s="104"/>
      <c r="C468" s="104"/>
      <c r="D468" s="105"/>
      <c r="E468" s="102"/>
      <c r="F468" s="102"/>
      <c r="G468" s="102"/>
      <c r="H468" s="113"/>
      <c r="I468" s="113"/>
      <c r="J468" s="71"/>
      <c r="K468" s="48"/>
      <c r="L468" s="71"/>
      <c r="M468" s="48"/>
      <c r="N468" s="71"/>
      <c r="O468" s="71"/>
      <c r="P468" s="71"/>
      <c r="Q468" s="105"/>
      <c r="R468" s="125" t="str">
        <f t="shared" ref="R468:R487" si="39">CONCATENATE(D468,J468)</f>
        <v/>
      </c>
      <c r="S468" s="126" t="str">
        <f t="shared" ref="S468:S486" si="40">IF(E468&gt;=F468,"-","ERR")</f>
        <v>-</v>
      </c>
      <c r="T468" s="126"/>
      <c r="U468" s="126"/>
      <c r="V468" s="126"/>
      <c r="W468" s="126"/>
      <c r="X468" s="126"/>
      <c r="Y468" s="126"/>
      <c r="Z468" s="126"/>
    </row>
    <row r="469" spans="1:29" ht="27" customHeight="1">
      <c r="A469" s="103" t="str">
        <f>IF(ISBLANK(D469)," ",465-COUNTBLANK($D$6:D469))</f>
        <v xml:space="preserve"> </v>
      </c>
      <c r="B469" s="104"/>
      <c r="C469" s="104"/>
      <c r="D469" s="105"/>
      <c r="E469" s="102"/>
      <c r="F469" s="102"/>
      <c r="G469" s="102"/>
      <c r="H469" s="113"/>
      <c r="I469" s="113"/>
      <c r="J469" s="71"/>
      <c r="K469" s="48"/>
      <c r="L469" s="71"/>
      <c r="M469" s="48"/>
      <c r="N469" s="71"/>
      <c r="O469" s="71"/>
      <c r="P469" s="71"/>
      <c r="Q469" s="105"/>
      <c r="R469" s="125" t="str">
        <f t="shared" si="39"/>
        <v/>
      </c>
      <c r="S469" s="126" t="str">
        <f t="shared" si="40"/>
        <v>-</v>
      </c>
      <c r="T469" s="126"/>
      <c r="U469" s="126"/>
      <c r="V469" s="126"/>
      <c r="W469" s="126"/>
      <c r="X469" s="126"/>
      <c r="Y469" s="126"/>
      <c r="Z469" s="126"/>
    </row>
    <row r="470" spans="1:29" ht="27" customHeight="1">
      <c r="A470" s="103" t="str">
        <f>IF(ISBLANK(D470)," ",466-COUNTBLANK($D$6:D470))</f>
        <v xml:space="preserve"> </v>
      </c>
      <c r="B470" s="104"/>
      <c r="C470" s="104"/>
      <c r="D470" s="105"/>
      <c r="E470" s="102"/>
      <c r="F470" s="102"/>
      <c r="G470" s="102"/>
      <c r="H470" s="113"/>
      <c r="I470" s="113"/>
      <c r="J470" s="71"/>
      <c r="K470" s="48"/>
      <c r="L470" s="71"/>
      <c r="M470" s="48"/>
      <c r="N470" s="71"/>
      <c r="O470" s="71"/>
      <c r="P470" s="71"/>
      <c r="Q470" s="105"/>
      <c r="R470" s="125" t="str">
        <f t="shared" si="39"/>
        <v/>
      </c>
      <c r="S470" s="126" t="str">
        <f t="shared" si="40"/>
        <v>-</v>
      </c>
      <c r="T470" s="126"/>
      <c r="U470" s="126"/>
      <c r="V470" s="126"/>
      <c r="W470" s="126"/>
      <c r="X470" s="126"/>
      <c r="Y470" s="126"/>
      <c r="Z470" s="126"/>
    </row>
    <row r="471" spans="1:29" ht="27" customHeight="1">
      <c r="A471" s="103" t="str">
        <f>IF(ISBLANK(D471)," ",467-COUNTBLANK($D$6:D471))</f>
        <v xml:space="preserve"> </v>
      </c>
      <c r="B471" s="104"/>
      <c r="C471" s="104"/>
      <c r="D471" s="105"/>
      <c r="E471" s="102"/>
      <c r="F471" s="102"/>
      <c r="G471" s="102"/>
      <c r="H471" s="113"/>
      <c r="I471" s="113"/>
      <c r="J471" s="71"/>
      <c r="K471" s="48"/>
      <c r="L471" s="71"/>
      <c r="M471" s="48"/>
      <c r="N471" s="71"/>
      <c r="O471" s="71"/>
      <c r="P471" s="71"/>
      <c r="Q471" s="105"/>
      <c r="R471" s="125" t="str">
        <f t="shared" si="39"/>
        <v/>
      </c>
      <c r="S471" s="126" t="str">
        <f t="shared" si="40"/>
        <v>-</v>
      </c>
      <c r="T471" s="126"/>
      <c r="U471" s="126"/>
      <c r="V471" s="126"/>
      <c r="W471" s="126"/>
      <c r="X471" s="126"/>
      <c r="Y471" s="126"/>
      <c r="Z471" s="126"/>
    </row>
    <row r="472" spans="1:29" ht="27" customHeight="1">
      <c r="A472" s="103" t="str">
        <f>IF(ISBLANK(D472)," ",468-COUNTBLANK($D$6:D472))</f>
        <v xml:space="preserve"> </v>
      </c>
      <c r="B472" s="104"/>
      <c r="C472" s="104"/>
      <c r="D472" s="105"/>
      <c r="E472" s="102"/>
      <c r="F472" s="102"/>
      <c r="G472" s="102"/>
      <c r="H472" s="113"/>
      <c r="I472" s="113"/>
      <c r="J472" s="71"/>
      <c r="K472" s="48"/>
      <c r="L472" s="71"/>
      <c r="M472" s="48"/>
      <c r="N472" s="71"/>
      <c r="O472" s="71"/>
      <c r="P472" s="71"/>
      <c r="Q472" s="105"/>
      <c r="R472" s="125" t="str">
        <f t="shared" si="39"/>
        <v/>
      </c>
      <c r="S472" s="126" t="str">
        <f t="shared" si="40"/>
        <v>-</v>
      </c>
      <c r="T472" s="126"/>
      <c r="U472" s="126"/>
      <c r="V472" s="126"/>
      <c r="W472" s="126"/>
      <c r="X472" s="126"/>
      <c r="Y472" s="126"/>
      <c r="Z472" s="126"/>
    </row>
    <row r="473" spans="1:29" ht="27" customHeight="1">
      <c r="A473" s="103" t="str">
        <f>IF(ISBLANK(D473)," ",469-COUNTBLANK($D$6:D473))</f>
        <v xml:space="preserve"> </v>
      </c>
      <c r="B473" s="104"/>
      <c r="C473" s="104"/>
      <c r="D473" s="105"/>
      <c r="E473" s="102"/>
      <c r="F473" s="102"/>
      <c r="G473" s="102"/>
      <c r="H473" s="113"/>
      <c r="I473" s="113"/>
      <c r="J473" s="71"/>
      <c r="K473" s="48"/>
      <c r="L473" s="71"/>
      <c r="M473" s="48"/>
      <c r="N473" s="71"/>
      <c r="O473" s="71"/>
      <c r="P473" s="71"/>
      <c r="Q473" s="105"/>
      <c r="R473" s="125" t="str">
        <f t="shared" si="39"/>
        <v/>
      </c>
      <c r="S473" s="126" t="str">
        <f t="shared" si="40"/>
        <v>-</v>
      </c>
      <c r="T473" s="126"/>
      <c r="U473" s="126"/>
      <c r="V473" s="126"/>
      <c r="W473" s="126"/>
      <c r="X473" s="126"/>
      <c r="Y473" s="126"/>
      <c r="Z473" s="126"/>
    </row>
    <row r="474" spans="1:29" ht="27" customHeight="1">
      <c r="A474" s="103" t="str">
        <f>IF(ISBLANK(D474)," ",470-COUNTBLANK($D$6:D474))</f>
        <v xml:space="preserve"> </v>
      </c>
      <c r="B474" s="104"/>
      <c r="C474" s="104"/>
      <c r="D474" s="105"/>
      <c r="E474" s="102"/>
      <c r="F474" s="102"/>
      <c r="G474" s="102"/>
      <c r="H474" s="113"/>
      <c r="I474" s="113"/>
      <c r="J474" s="71"/>
      <c r="K474" s="48"/>
      <c r="L474" s="71"/>
      <c r="M474" s="48"/>
      <c r="N474" s="71"/>
      <c r="O474" s="71"/>
      <c r="P474" s="71"/>
      <c r="Q474" s="105"/>
      <c r="R474" s="125" t="str">
        <f t="shared" si="39"/>
        <v/>
      </c>
      <c r="S474" s="126" t="str">
        <f t="shared" si="40"/>
        <v>-</v>
      </c>
      <c r="T474" s="126"/>
      <c r="U474" s="126"/>
      <c r="V474" s="126"/>
      <c r="W474" s="126"/>
      <c r="X474" s="126"/>
      <c r="Y474" s="126"/>
      <c r="Z474" s="126"/>
    </row>
    <row r="475" spans="1:29" ht="27" customHeight="1">
      <c r="A475" s="103" t="str">
        <f>IF(ISBLANK(D475)," ",471-COUNTBLANK($D$6:D475))</f>
        <v xml:space="preserve"> </v>
      </c>
      <c r="B475" s="104"/>
      <c r="C475" s="104"/>
      <c r="D475" s="105"/>
      <c r="E475" s="102"/>
      <c r="F475" s="102"/>
      <c r="G475" s="102"/>
      <c r="H475" s="113"/>
      <c r="I475" s="113"/>
      <c r="J475" s="71"/>
      <c r="K475" s="48"/>
      <c r="L475" s="71"/>
      <c r="M475" s="48"/>
      <c r="N475" s="71"/>
      <c r="O475" s="71"/>
      <c r="P475" s="71"/>
      <c r="Q475" s="105"/>
      <c r="R475" s="125" t="str">
        <f t="shared" si="39"/>
        <v/>
      </c>
      <c r="S475" s="126" t="str">
        <f t="shared" si="40"/>
        <v>-</v>
      </c>
      <c r="T475" s="126"/>
      <c r="U475" s="126"/>
      <c r="V475" s="126"/>
      <c r="W475" s="126"/>
      <c r="X475" s="126"/>
      <c r="Y475" s="126"/>
      <c r="Z475" s="126"/>
    </row>
    <row r="476" spans="1:29" ht="27" customHeight="1">
      <c r="A476" s="103" t="str">
        <f>IF(ISBLANK(D476)," ",472-COUNTBLANK($D$6:D476))</f>
        <v xml:space="preserve"> </v>
      </c>
      <c r="B476" s="104"/>
      <c r="C476" s="104"/>
      <c r="D476" s="105"/>
      <c r="E476" s="102"/>
      <c r="F476" s="102"/>
      <c r="G476" s="102"/>
      <c r="H476" s="113"/>
      <c r="I476" s="113"/>
      <c r="J476" s="71"/>
      <c r="K476" s="48"/>
      <c r="L476" s="71"/>
      <c r="M476" s="48"/>
      <c r="N476" s="71"/>
      <c r="O476" s="71"/>
      <c r="P476" s="71"/>
      <c r="Q476" s="105"/>
      <c r="R476" s="125" t="str">
        <f t="shared" si="39"/>
        <v/>
      </c>
      <c r="S476" s="126" t="str">
        <f t="shared" si="40"/>
        <v>-</v>
      </c>
      <c r="T476" s="126"/>
      <c r="U476" s="126"/>
      <c r="V476" s="126"/>
      <c r="W476" s="126"/>
      <c r="X476" s="126"/>
      <c r="Y476" s="126"/>
      <c r="Z476" s="126"/>
    </row>
    <row r="477" spans="1:29" ht="27" customHeight="1">
      <c r="A477" s="103" t="str">
        <f>IF(ISBLANK(D477)," ",473-COUNTBLANK($D$6:D477))</f>
        <v xml:space="preserve"> </v>
      </c>
      <c r="B477" s="104"/>
      <c r="C477" s="104"/>
      <c r="D477" s="105"/>
      <c r="E477" s="102"/>
      <c r="F477" s="102"/>
      <c r="G477" s="102"/>
      <c r="H477" s="113"/>
      <c r="I477" s="113"/>
      <c r="J477" s="71"/>
      <c r="K477" s="48"/>
      <c r="L477" s="71"/>
      <c r="M477" s="48"/>
      <c r="N477" s="71"/>
      <c r="O477" s="71"/>
      <c r="P477" s="71"/>
      <c r="Q477" s="105"/>
      <c r="R477" s="125" t="str">
        <f t="shared" si="39"/>
        <v/>
      </c>
      <c r="S477" s="126" t="str">
        <f t="shared" si="40"/>
        <v>-</v>
      </c>
      <c r="T477" s="126"/>
      <c r="U477" s="126"/>
      <c r="V477" s="126"/>
      <c r="W477" s="126"/>
      <c r="X477" s="126"/>
      <c r="Y477" s="126"/>
      <c r="Z477" s="126"/>
    </row>
    <row r="478" spans="1:29" ht="27" customHeight="1">
      <c r="A478" s="103" t="str">
        <f>IF(ISBLANK(D478)," ",474-COUNTBLANK($D$6:D478))</f>
        <v xml:space="preserve"> </v>
      </c>
      <c r="B478" s="104"/>
      <c r="C478" s="104"/>
      <c r="D478" s="105"/>
      <c r="E478" s="102"/>
      <c r="F478" s="102"/>
      <c r="G478" s="102"/>
      <c r="H478" s="113"/>
      <c r="I478" s="113"/>
      <c r="J478" s="71"/>
      <c r="K478" s="48"/>
      <c r="L478" s="71"/>
      <c r="M478" s="48"/>
      <c r="N478" s="71"/>
      <c r="O478" s="71"/>
      <c r="P478" s="71"/>
      <c r="Q478" s="105"/>
      <c r="R478" s="125" t="str">
        <f t="shared" si="39"/>
        <v/>
      </c>
      <c r="S478" s="126" t="str">
        <f t="shared" si="40"/>
        <v>-</v>
      </c>
      <c r="T478" s="126"/>
      <c r="U478" s="126"/>
      <c r="V478" s="126"/>
      <c r="W478" s="126"/>
      <c r="X478" s="126"/>
      <c r="Y478" s="126"/>
      <c r="Z478" s="126"/>
    </row>
    <row r="479" spans="1:29" ht="27" customHeight="1">
      <c r="A479" s="103" t="str">
        <f>IF(ISBLANK(D479)," ",475-COUNTBLANK($D$6:D479))</f>
        <v xml:space="preserve"> </v>
      </c>
      <c r="B479" s="104"/>
      <c r="C479" s="104"/>
      <c r="D479" s="105"/>
      <c r="E479" s="102"/>
      <c r="F479" s="102"/>
      <c r="G479" s="102"/>
      <c r="H479" s="113"/>
      <c r="I479" s="113"/>
      <c r="J479" s="71"/>
      <c r="K479" s="48"/>
      <c r="L479" s="71"/>
      <c r="M479" s="48"/>
      <c r="N479" s="71"/>
      <c r="O479" s="71"/>
      <c r="P479" s="71"/>
      <c r="Q479" s="105"/>
      <c r="R479" s="125" t="str">
        <f t="shared" si="39"/>
        <v/>
      </c>
      <c r="S479" s="126" t="str">
        <f t="shared" si="40"/>
        <v>-</v>
      </c>
      <c r="T479" s="126"/>
      <c r="U479" s="126"/>
      <c r="V479" s="126"/>
      <c r="W479" s="126"/>
      <c r="X479" s="126"/>
      <c r="Y479" s="126"/>
      <c r="Z479" s="126"/>
    </row>
    <row r="480" spans="1:29" ht="27" customHeight="1">
      <c r="A480" s="103" t="str">
        <f>IF(ISBLANK(D480)," ",476-COUNTBLANK($D$6:D480))</f>
        <v xml:space="preserve"> </v>
      </c>
      <c r="B480" s="104"/>
      <c r="C480" s="104"/>
      <c r="D480" s="105"/>
      <c r="E480" s="102"/>
      <c r="F480" s="102"/>
      <c r="G480" s="102"/>
      <c r="H480" s="113"/>
      <c r="I480" s="113"/>
      <c r="J480" s="71"/>
      <c r="K480" s="48"/>
      <c r="L480" s="71"/>
      <c r="M480" s="48"/>
      <c r="N480" s="71"/>
      <c r="O480" s="71"/>
      <c r="P480" s="71"/>
      <c r="Q480" s="105"/>
      <c r="R480" s="125" t="str">
        <f t="shared" si="39"/>
        <v/>
      </c>
      <c r="S480" s="126" t="str">
        <f t="shared" si="40"/>
        <v>-</v>
      </c>
      <c r="T480" s="126"/>
      <c r="U480" s="126"/>
      <c r="V480" s="126"/>
      <c r="W480" s="126"/>
      <c r="X480" s="126"/>
      <c r="Y480" s="126"/>
      <c r="Z480" s="126"/>
    </row>
    <row r="481" spans="1:29" ht="27" customHeight="1">
      <c r="A481" s="103" t="str">
        <f>IF(ISBLANK(D481)," ",477-COUNTBLANK($D$6:D481))</f>
        <v xml:space="preserve"> </v>
      </c>
      <c r="B481" s="104"/>
      <c r="C481" s="104"/>
      <c r="D481" s="105"/>
      <c r="E481" s="102"/>
      <c r="F481" s="102"/>
      <c r="G481" s="102"/>
      <c r="H481" s="113"/>
      <c r="I481" s="113"/>
      <c r="J481" s="71"/>
      <c r="K481" s="48"/>
      <c r="L481" s="71"/>
      <c r="M481" s="48"/>
      <c r="N481" s="71"/>
      <c r="O481" s="71"/>
      <c r="P481" s="71"/>
      <c r="Q481" s="105"/>
      <c r="R481" s="125" t="str">
        <f t="shared" si="39"/>
        <v/>
      </c>
      <c r="S481" s="126" t="str">
        <f t="shared" si="40"/>
        <v>-</v>
      </c>
      <c r="T481" s="126"/>
      <c r="U481" s="126"/>
      <c r="V481" s="126"/>
      <c r="W481" s="126"/>
      <c r="X481" s="126"/>
      <c r="Y481" s="126"/>
      <c r="Z481" s="126"/>
    </row>
    <row r="482" spans="1:29" ht="27" customHeight="1">
      <c r="A482" s="103" t="str">
        <f>IF(ISBLANK(D482)," ",478-COUNTBLANK($D$6:D482))</f>
        <v xml:space="preserve"> </v>
      </c>
      <c r="B482" s="104"/>
      <c r="C482" s="104"/>
      <c r="D482" s="105"/>
      <c r="E482" s="102"/>
      <c r="F482" s="102"/>
      <c r="G482" s="102"/>
      <c r="H482" s="113"/>
      <c r="I482" s="113"/>
      <c r="J482" s="71"/>
      <c r="K482" s="48"/>
      <c r="L482" s="71"/>
      <c r="M482" s="48"/>
      <c r="N482" s="71"/>
      <c r="O482" s="71"/>
      <c r="P482" s="71"/>
      <c r="Q482" s="105"/>
      <c r="R482" s="125" t="str">
        <f t="shared" si="39"/>
        <v/>
      </c>
      <c r="S482" s="126" t="str">
        <f t="shared" si="40"/>
        <v>-</v>
      </c>
      <c r="T482" s="126"/>
      <c r="U482" s="126"/>
      <c r="V482" s="126"/>
      <c r="W482" s="126"/>
      <c r="X482" s="126"/>
      <c r="Y482" s="126"/>
      <c r="Z482" s="127"/>
    </row>
    <row r="483" spans="1:29" ht="27" customHeight="1">
      <c r="A483" s="103" t="str">
        <f>IF(ISBLANK(D483)," ",479-COUNTBLANK($D$6:D483))</f>
        <v xml:space="preserve"> </v>
      </c>
      <c r="B483" s="104"/>
      <c r="C483" s="104"/>
      <c r="D483" s="105"/>
      <c r="E483" s="102"/>
      <c r="F483" s="102"/>
      <c r="G483" s="102"/>
      <c r="H483" s="113"/>
      <c r="I483" s="113"/>
      <c r="J483" s="71"/>
      <c r="K483" s="48"/>
      <c r="L483" s="71"/>
      <c r="M483" s="48"/>
      <c r="N483" s="71"/>
      <c r="O483" s="71"/>
      <c r="P483" s="71"/>
      <c r="Q483" s="105"/>
      <c r="R483" s="125" t="str">
        <f t="shared" si="39"/>
        <v/>
      </c>
      <c r="S483" s="126" t="str">
        <f t="shared" si="40"/>
        <v>-</v>
      </c>
      <c r="T483" s="126"/>
      <c r="U483" s="126"/>
      <c r="V483" s="126"/>
      <c r="W483" s="126"/>
      <c r="X483" s="126"/>
      <c r="Y483" s="126"/>
      <c r="Z483" s="127"/>
    </row>
    <row r="484" spans="1:29" ht="27" customHeight="1">
      <c r="A484" s="103" t="str">
        <f>IF(ISBLANK(D484)," ",480-COUNTBLANK($D$6:D484))</f>
        <v xml:space="preserve"> </v>
      </c>
      <c r="B484" s="104"/>
      <c r="C484" s="104"/>
      <c r="D484" s="105"/>
      <c r="E484" s="102"/>
      <c r="F484" s="102"/>
      <c r="G484" s="102"/>
      <c r="H484" s="113"/>
      <c r="I484" s="113"/>
      <c r="J484" s="71"/>
      <c r="K484" s="48"/>
      <c r="L484" s="71"/>
      <c r="M484" s="48"/>
      <c r="N484" s="71"/>
      <c r="O484" s="71"/>
      <c r="P484" s="71"/>
      <c r="Q484" s="105"/>
      <c r="R484" s="125" t="str">
        <f t="shared" si="39"/>
        <v/>
      </c>
      <c r="S484" s="126" t="str">
        <f t="shared" si="40"/>
        <v>-</v>
      </c>
      <c r="T484" s="126"/>
      <c r="U484" s="126"/>
      <c r="V484" s="126"/>
      <c r="W484" s="126"/>
      <c r="X484" s="126"/>
      <c r="Y484" s="126"/>
      <c r="Z484" s="127"/>
    </row>
    <row r="485" spans="1:29" ht="27" customHeight="1">
      <c r="A485" s="103" t="str">
        <f>IF(ISBLANK(D485)," ",481-COUNTBLANK($D$6:D485))</f>
        <v xml:space="preserve"> </v>
      </c>
      <c r="B485" s="104"/>
      <c r="C485" s="104"/>
      <c r="D485" s="105"/>
      <c r="E485" s="102"/>
      <c r="F485" s="102"/>
      <c r="G485" s="102"/>
      <c r="H485" s="113"/>
      <c r="I485" s="113"/>
      <c r="J485" s="71"/>
      <c r="K485" s="48"/>
      <c r="L485" s="71"/>
      <c r="M485" s="48"/>
      <c r="N485" s="71"/>
      <c r="O485" s="71"/>
      <c r="P485" s="71"/>
      <c r="Q485" s="105"/>
      <c r="R485" s="125" t="str">
        <f t="shared" si="39"/>
        <v/>
      </c>
      <c r="S485" s="126" t="str">
        <f t="shared" si="40"/>
        <v>-</v>
      </c>
      <c r="T485" s="126"/>
      <c r="U485" s="126"/>
      <c r="V485" s="126"/>
      <c r="W485" s="126"/>
      <c r="X485" s="126"/>
      <c r="Y485" s="126"/>
      <c r="Z485" s="127"/>
    </row>
    <row r="486" spans="1:29" ht="27" customHeight="1">
      <c r="A486" s="103" t="str">
        <f>IF(ISBLANK(D486)," ",482-COUNTBLANK($D$6:D486))</f>
        <v xml:space="preserve"> </v>
      </c>
      <c r="B486" s="104"/>
      <c r="C486" s="104"/>
      <c r="D486" s="105"/>
      <c r="E486" s="102"/>
      <c r="F486" s="102"/>
      <c r="G486" s="102"/>
      <c r="H486" s="113"/>
      <c r="I486" s="113"/>
      <c r="J486" s="71"/>
      <c r="K486" s="48"/>
      <c r="L486" s="71"/>
      <c r="M486" s="48"/>
      <c r="N486" s="71"/>
      <c r="O486" s="71"/>
      <c r="P486" s="71"/>
      <c r="Q486" s="105"/>
      <c r="R486" s="125" t="str">
        <f t="shared" si="39"/>
        <v/>
      </c>
      <c r="S486" s="126" t="str">
        <f t="shared" si="40"/>
        <v>-</v>
      </c>
      <c r="T486" s="126"/>
      <c r="U486" s="126"/>
      <c r="V486" s="126"/>
      <c r="W486" s="126"/>
      <c r="X486" s="126"/>
      <c r="Y486" s="126"/>
      <c r="Z486" s="141"/>
      <c r="AA486" s="126"/>
      <c r="AB486" s="126"/>
      <c r="AC486" s="126"/>
    </row>
    <row r="487" spans="1:29" ht="27" customHeight="1">
      <c r="A487" s="103" t="s">
        <v>44</v>
      </c>
      <c r="B487" s="104"/>
      <c r="C487" s="104"/>
      <c r="D487" s="105"/>
      <c r="E487" s="102"/>
      <c r="F487" s="102">
        <f>SUM(F467:F486)</f>
        <v>0</v>
      </c>
      <c r="G487" s="102"/>
      <c r="H487" s="113"/>
      <c r="I487" s="113"/>
      <c r="J487" s="71"/>
      <c r="K487" s="48"/>
      <c r="L487" s="71"/>
      <c r="M487" s="48"/>
      <c r="N487" s="71"/>
      <c r="O487" s="71"/>
      <c r="P487" s="71"/>
      <c r="Q487" s="105"/>
      <c r="R487" s="125" t="str">
        <f t="shared" si="39"/>
        <v/>
      </c>
      <c r="S487" s="126"/>
      <c r="T487" s="126"/>
      <c r="U487" s="126"/>
      <c r="V487" s="126"/>
      <c r="W487" s="126"/>
      <c r="X487" s="126"/>
      <c r="Y487" s="126"/>
      <c r="Z487" s="141"/>
      <c r="AA487" s="126"/>
      <c r="AB487" s="126"/>
      <c r="AC487" s="126"/>
    </row>
    <row r="488" spans="1:29" ht="27" customHeight="1">
      <c r="A488" s="103" t="str">
        <f>IF(ISBLANK(D488)," ",484-COUNTBLANK($D$6:D488))</f>
        <v xml:space="preserve"> </v>
      </c>
      <c r="B488" s="104"/>
      <c r="C488" s="104"/>
      <c r="D488" s="105"/>
      <c r="E488" s="102"/>
      <c r="F488" s="102"/>
      <c r="G488" s="102"/>
      <c r="H488" s="113"/>
      <c r="I488" s="113"/>
      <c r="J488" s="71"/>
      <c r="K488" s="48"/>
      <c r="L488" s="71"/>
      <c r="M488" s="48"/>
      <c r="N488" s="71"/>
      <c r="O488" s="71"/>
      <c r="P488" s="71"/>
      <c r="Q488" s="105"/>
      <c r="R488" s="125" t="str">
        <f>CONCATENATE(D488,J488)</f>
        <v/>
      </c>
      <c r="S488" s="126" t="str">
        <f>IF(E488&gt;=F488,"-","ERR")</f>
        <v>-</v>
      </c>
      <c r="T488" s="126"/>
      <c r="U488" s="126"/>
      <c r="V488" s="126"/>
      <c r="W488" s="126"/>
      <c r="X488" s="126"/>
      <c r="Y488" s="126"/>
      <c r="Z488" s="126"/>
    </row>
    <row r="489" spans="1:29" ht="27" customHeight="1">
      <c r="A489" s="103" t="str">
        <f>IF(ISBLANK(D489)," ",485-COUNTBLANK($D$6:D489))</f>
        <v xml:space="preserve"> </v>
      </c>
      <c r="B489" s="104"/>
      <c r="C489" s="104"/>
      <c r="D489" s="105"/>
      <c r="E489" s="102"/>
      <c r="F489" s="102"/>
      <c r="G489" s="102"/>
      <c r="H489" s="113"/>
      <c r="I489" s="113"/>
      <c r="J489" s="71"/>
      <c r="K489" s="48"/>
      <c r="L489" s="71"/>
      <c r="M489" s="48"/>
      <c r="N489" s="71"/>
      <c r="O489" s="71"/>
      <c r="P489" s="71"/>
      <c r="Q489" s="105"/>
      <c r="R489" s="125" t="str">
        <f t="shared" ref="R489:R508" si="41">CONCATENATE(D489,J489)</f>
        <v/>
      </c>
      <c r="S489" s="126" t="str">
        <f t="shared" ref="S489:S507" si="42">IF(E489&gt;=F489,"-","ERR")</f>
        <v>-</v>
      </c>
      <c r="T489" s="126"/>
      <c r="U489" s="126"/>
      <c r="V489" s="126"/>
      <c r="W489" s="126"/>
      <c r="X489" s="126"/>
      <c r="Y489" s="126"/>
      <c r="Z489" s="126"/>
    </row>
    <row r="490" spans="1:29" ht="27" customHeight="1">
      <c r="A490" s="103" t="str">
        <f>IF(ISBLANK(D490)," ",486-COUNTBLANK($D$6:D490))</f>
        <v xml:space="preserve"> </v>
      </c>
      <c r="B490" s="104"/>
      <c r="C490" s="104"/>
      <c r="D490" s="105"/>
      <c r="E490" s="102"/>
      <c r="F490" s="102"/>
      <c r="G490" s="102"/>
      <c r="H490" s="113"/>
      <c r="I490" s="113"/>
      <c r="J490" s="71"/>
      <c r="K490" s="48"/>
      <c r="L490" s="71"/>
      <c r="M490" s="48"/>
      <c r="N490" s="71"/>
      <c r="O490" s="71"/>
      <c r="P490" s="71"/>
      <c r="Q490" s="105"/>
      <c r="R490" s="125" t="str">
        <f t="shared" si="41"/>
        <v/>
      </c>
      <c r="S490" s="126" t="str">
        <f t="shared" si="42"/>
        <v>-</v>
      </c>
      <c r="T490" s="126"/>
      <c r="U490" s="126"/>
      <c r="V490" s="126"/>
      <c r="W490" s="126"/>
      <c r="X490" s="126"/>
      <c r="Y490" s="126"/>
      <c r="Z490" s="126"/>
    </row>
    <row r="491" spans="1:29" ht="27" customHeight="1">
      <c r="A491" s="103" t="str">
        <f>IF(ISBLANK(D491)," ",487-COUNTBLANK($D$6:D491))</f>
        <v xml:space="preserve"> </v>
      </c>
      <c r="B491" s="104"/>
      <c r="C491" s="104"/>
      <c r="D491" s="105"/>
      <c r="E491" s="102"/>
      <c r="F491" s="102"/>
      <c r="G491" s="102"/>
      <c r="H491" s="113"/>
      <c r="I491" s="113"/>
      <c r="J491" s="71"/>
      <c r="K491" s="48"/>
      <c r="L491" s="71"/>
      <c r="M491" s="48"/>
      <c r="N491" s="71"/>
      <c r="O491" s="71"/>
      <c r="P491" s="71"/>
      <c r="Q491" s="105"/>
      <c r="R491" s="125" t="str">
        <f t="shared" si="41"/>
        <v/>
      </c>
      <c r="S491" s="126" t="str">
        <f t="shared" si="42"/>
        <v>-</v>
      </c>
      <c r="T491" s="126"/>
      <c r="U491" s="126"/>
      <c r="V491" s="126"/>
      <c r="W491" s="126"/>
      <c r="X491" s="126"/>
      <c r="Y491" s="126"/>
      <c r="Z491" s="126"/>
    </row>
    <row r="492" spans="1:29" ht="27" customHeight="1">
      <c r="A492" s="103" t="str">
        <f>IF(ISBLANK(D492)," ",488-COUNTBLANK($D$6:D492))</f>
        <v xml:space="preserve"> </v>
      </c>
      <c r="B492" s="104"/>
      <c r="C492" s="104"/>
      <c r="D492" s="105"/>
      <c r="E492" s="102"/>
      <c r="F492" s="102"/>
      <c r="G492" s="102"/>
      <c r="H492" s="113"/>
      <c r="I492" s="113"/>
      <c r="J492" s="71"/>
      <c r="K492" s="48"/>
      <c r="L492" s="71"/>
      <c r="M492" s="48"/>
      <c r="N492" s="71"/>
      <c r="O492" s="71"/>
      <c r="P492" s="71"/>
      <c r="Q492" s="105"/>
      <c r="R492" s="125" t="str">
        <f t="shared" si="41"/>
        <v/>
      </c>
      <c r="S492" s="126" t="str">
        <f t="shared" si="42"/>
        <v>-</v>
      </c>
      <c r="T492" s="126"/>
      <c r="U492" s="126"/>
      <c r="V492" s="126"/>
      <c r="W492" s="126"/>
      <c r="X492" s="126"/>
      <c r="Y492" s="126"/>
      <c r="Z492" s="126"/>
    </row>
    <row r="493" spans="1:29" ht="27" customHeight="1">
      <c r="A493" s="103" t="str">
        <f>IF(ISBLANK(D493)," ",489-COUNTBLANK($D$6:D493))</f>
        <v xml:space="preserve"> </v>
      </c>
      <c r="B493" s="104"/>
      <c r="C493" s="104"/>
      <c r="D493" s="105"/>
      <c r="E493" s="102"/>
      <c r="F493" s="102"/>
      <c r="G493" s="102"/>
      <c r="H493" s="113"/>
      <c r="I493" s="113"/>
      <c r="J493" s="71"/>
      <c r="K493" s="48"/>
      <c r="L493" s="71"/>
      <c r="M493" s="48"/>
      <c r="N493" s="71"/>
      <c r="O493" s="71"/>
      <c r="P493" s="71"/>
      <c r="Q493" s="105"/>
      <c r="R493" s="125" t="str">
        <f t="shared" si="41"/>
        <v/>
      </c>
      <c r="S493" s="126" t="str">
        <f t="shared" si="42"/>
        <v>-</v>
      </c>
      <c r="T493" s="126"/>
      <c r="U493" s="126"/>
      <c r="V493" s="126"/>
      <c r="W493" s="126"/>
      <c r="X493" s="126"/>
      <c r="Y493" s="126"/>
      <c r="Z493" s="126"/>
    </row>
    <row r="494" spans="1:29" ht="27" customHeight="1">
      <c r="A494" s="103" t="str">
        <f>IF(ISBLANK(D494)," ",490-COUNTBLANK($D$6:D494))</f>
        <v xml:space="preserve"> </v>
      </c>
      <c r="B494" s="104"/>
      <c r="C494" s="104"/>
      <c r="D494" s="105"/>
      <c r="E494" s="102"/>
      <c r="F494" s="102"/>
      <c r="G494" s="102"/>
      <c r="H494" s="113"/>
      <c r="I494" s="113"/>
      <c r="J494" s="71"/>
      <c r="K494" s="48"/>
      <c r="L494" s="71"/>
      <c r="M494" s="48"/>
      <c r="N494" s="71"/>
      <c r="O494" s="71"/>
      <c r="P494" s="71"/>
      <c r="Q494" s="105"/>
      <c r="R494" s="125" t="str">
        <f t="shared" si="41"/>
        <v/>
      </c>
      <c r="S494" s="126" t="str">
        <f t="shared" si="42"/>
        <v>-</v>
      </c>
      <c r="T494" s="126"/>
      <c r="U494" s="126"/>
      <c r="V494" s="126"/>
      <c r="W494" s="126"/>
      <c r="X494" s="126"/>
      <c r="Y494" s="126"/>
      <c r="Z494" s="126"/>
    </row>
    <row r="495" spans="1:29" ht="27" customHeight="1">
      <c r="A495" s="103" t="str">
        <f>IF(ISBLANK(D495)," ",491-COUNTBLANK($D$6:D495))</f>
        <v xml:space="preserve"> </v>
      </c>
      <c r="B495" s="104"/>
      <c r="C495" s="104"/>
      <c r="D495" s="105"/>
      <c r="E495" s="102"/>
      <c r="F495" s="102"/>
      <c r="G495" s="102"/>
      <c r="H495" s="113"/>
      <c r="I495" s="113"/>
      <c r="J495" s="71"/>
      <c r="K495" s="48"/>
      <c r="L495" s="71"/>
      <c r="M495" s="48"/>
      <c r="N495" s="71"/>
      <c r="O495" s="71"/>
      <c r="P495" s="71"/>
      <c r="Q495" s="105"/>
      <c r="R495" s="125" t="str">
        <f t="shared" si="41"/>
        <v/>
      </c>
      <c r="S495" s="126" t="str">
        <f t="shared" si="42"/>
        <v>-</v>
      </c>
      <c r="T495" s="126"/>
      <c r="U495" s="126"/>
      <c r="V495" s="126"/>
      <c r="W495" s="126"/>
      <c r="X495" s="126"/>
      <c r="Y495" s="126"/>
      <c r="Z495" s="126"/>
    </row>
    <row r="496" spans="1:29" ht="27" customHeight="1">
      <c r="A496" s="103" t="str">
        <f>IF(ISBLANK(D496)," ",492-COUNTBLANK($D$6:D496))</f>
        <v xml:space="preserve"> </v>
      </c>
      <c r="B496" s="104"/>
      <c r="C496" s="104"/>
      <c r="D496" s="105"/>
      <c r="E496" s="102"/>
      <c r="F496" s="102"/>
      <c r="G496" s="102"/>
      <c r="H496" s="113"/>
      <c r="I496" s="113"/>
      <c r="J496" s="71"/>
      <c r="K496" s="48"/>
      <c r="L496" s="71"/>
      <c r="M496" s="48"/>
      <c r="N496" s="71"/>
      <c r="O496" s="71"/>
      <c r="P496" s="71"/>
      <c r="Q496" s="105"/>
      <c r="R496" s="125" t="str">
        <f t="shared" si="41"/>
        <v/>
      </c>
      <c r="S496" s="126" t="str">
        <f t="shared" si="42"/>
        <v>-</v>
      </c>
      <c r="T496" s="126"/>
      <c r="U496" s="126"/>
      <c r="V496" s="126"/>
      <c r="W496" s="126"/>
      <c r="X496" s="126"/>
      <c r="Y496" s="126"/>
      <c r="Z496" s="126"/>
    </row>
    <row r="497" spans="1:29" ht="27" customHeight="1">
      <c r="A497" s="103" t="str">
        <f>IF(ISBLANK(D497)," ",493-COUNTBLANK($D$6:D497))</f>
        <v xml:space="preserve"> </v>
      </c>
      <c r="B497" s="104"/>
      <c r="C497" s="104"/>
      <c r="D497" s="105"/>
      <c r="E497" s="102"/>
      <c r="F497" s="102"/>
      <c r="G497" s="102"/>
      <c r="H497" s="113"/>
      <c r="I497" s="113"/>
      <c r="J497" s="71"/>
      <c r="K497" s="48"/>
      <c r="L497" s="71"/>
      <c r="M497" s="48"/>
      <c r="N497" s="71"/>
      <c r="O497" s="71"/>
      <c r="P497" s="71"/>
      <c r="Q497" s="105"/>
      <c r="R497" s="125" t="str">
        <f t="shared" si="41"/>
        <v/>
      </c>
      <c r="S497" s="126" t="str">
        <f t="shared" si="42"/>
        <v>-</v>
      </c>
      <c r="T497" s="126"/>
      <c r="U497" s="126"/>
      <c r="V497" s="126"/>
      <c r="W497" s="126"/>
      <c r="X497" s="126"/>
      <c r="Y497" s="126"/>
      <c r="Z497" s="126"/>
    </row>
    <row r="498" spans="1:29" ht="27" customHeight="1">
      <c r="A498" s="103" t="str">
        <f>IF(ISBLANK(D498)," ",494-COUNTBLANK($D$6:D498))</f>
        <v xml:space="preserve"> </v>
      </c>
      <c r="B498" s="104"/>
      <c r="C498" s="104"/>
      <c r="D498" s="105"/>
      <c r="E498" s="102"/>
      <c r="F498" s="102"/>
      <c r="G498" s="102"/>
      <c r="H498" s="113"/>
      <c r="I498" s="113"/>
      <c r="J498" s="71"/>
      <c r="K498" s="48"/>
      <c r="L498" s="71"/>
      <c r="M498" s="48"/>
      <c r="N498" s="71"/>
      <c r="O498" s="71"/>
      <c r="P498" s="71"/>
      <c r="Q498" s="105"/>
      <c r="R498" s="125" t="str">
        <f t="shared" si="41"/>
        <v/>
      </c>
      <c r="S498" s="126" t="str">
        <f t="shared" si="42"/>
        <v>-</v>
      </c>
      <c r="T498" s="126"/>
      <c r="U498" s="126"/>
      <c r="V498" s="126"/>
      <c r="W498" s="126"/>
      <c r="X498" s="126"/>
      <c r="Y498" s="126"/>
      <c r="Z498" s="126"/>
    </row>
    <row r="499" spans="1:29" ht="27" customHeight="1">
      <c r="A499" s="73" t="str">
        <f>IF(ISBLANK(D499)," ",495-COUNTBLANK($D$6:D499))</f>
        <v xml:space="preserve"> </v>
      </c>
      <c r="B499" s="57"/>
      <c r="C499" s="57"/>
      <c r="D499" s="57"/>
      <c r="E499" s="96"/>
      <c r="F499" s="96"/>
      <c r="G499" s="96"/>
      <c r="H499" s="69"/>
      <c r="I499" s="69"/>
      <c r="J499" s="69"/>
      <c r="K499" s="69"/>
      <c r="L499" s="69"/>
      <c r="M499" s="69"/>
      <c r="N499" s="69"/>
      <c r="O499" s="69"/>
      <c r="P499" s="69"/>
      <c r="Q499" s="86"/>
      <c r="R499" s="125" t="str">
        <f t="shared" si="41"/>
        <v/>
      </c>
      <c r="S499" s="126" t="str">
        <f t="shared" si="42"/>
        <v>-</v>
      </c>
      <c r="T499" s="126"/>
      <c r="U499" s="126"/>
      <c r="V499" s="126"/>
      <c r="W499" s="126"/>
      <c r="X499" s="126"/>
      <c r="Y499" s="126"/>
      <c r="Z499" s="126"/>
    </row>
    <row r="500" spans="1:29" ht="27" customHeight="1">
      <c r="A500" s="73" t="str">
        <f>IF(ISBLANK(D500)," ",496-COUNTBLANK($D$6:D500))</f>
        <v xml:space="preserve"> </v>
      </c>
      <c r="B500" s="57"/>
      <c r="C500" s="57"/>
      <c r="D500" s="57"/>
      <c r="E500" s="96"/>
      <c r="F500" s="96"/>
      <c r="G500" s="96"/>
      <c r="H500" s="69"/>
      <c r="I500" s="69"/>
      <c r="J500" s="69"/>
      <c r="K500" s="69"/>
      <c r="L500" s="69"/>
      <c r="M500" s="69"/>
      <c r="N500" s="69"/>
      <c r="O500" s="69"/>
      <c r="P500" s="69"/>
      <c r="Q500" s="86"/>
      <c r="R500" s="125" t="str">
        <f t="shared" si="41"/>
        <v/>
      </c>
      <c r="S500" s="126" t="str">
        <f t="shared" si="42"/>
        <v>-</v>
      </c>
      <c r="T500" s="126"/>
      <c r="U500" s="126"/>
      <c r="V500" s="126"/>
      <c r="W500" s="126"/>
      <c r="X500" s="126"/>
      <c r="Y500" s="126"/>
      <c r="Z500" s="126"/>
    </row>
    <row r="501" spans="1:29" ht="27" customHeight="1">
      <c r="A501" s="73" t="str">
        <f>IF(ISBLANK(D501)," ",497-COUNTBLANK($D$6:D501))</f>
        <v xml:space="preserve"> </v>
      </c>
      <c r="B501" s="57"/>
      <c r="C501" s="57"/>
      <c r="D501" s="57"/>
      <c r="E501" s="96"/>
      <c r="F501" s="96"/>
      <c r="G501" s="96"/>
      <c r="H501" s="69"/>
      <c r="I501" s="69"/>
      <c r="J501" s="69"/>
      <c r="K501" s="69"/>
      <c r="L501" s="69"/>
      <c r="M501" s="69"/>
      <c r="N501" s="69"/>
      <c r="O501" s="69"/>
      <c r="P501" s="69"/>
      <c r="Q501" s="86"/>
      <c r="R501" s="125" t="str">
        <f t="shared" si="41"/>
        <v/>
      </c>
      <c r="S501" s="126" t="str">
        <f t="shared" si="42"/>
        <v>-</v>
      </c>
      <c r="T501" s="126"/>
      <c r="U501" s="126"/>
      <c r="V501" s="126"/>
      <c r="W501" s="126"/>
      <c r="X501" s="126"/>
      <c r="Y501" s="126"/>
      <c r="Z501" s="126"/>
    </row>
    <row r="502" spans="1:29" ht="27" customHeight="1">
      <c r="A502" s="73" t="str">
        <f>IF(ISBLANK(D502)," ",498-COUNTBLANK($D$6:D502))</f>
        <v xml:space="preserve"> </v>
      </c>
      <c r="B502" s="57"/>
      <c r="C502" s="57"/>
      <c r="D502" s="57"/>
      <c r="E502" s="96"/>
      <c r="F502" s="96"/>
      <c r="G502" s="96"/>
      <c r="H502" s="69"/>
      <c r="I502" s="69"/>
      <c r="J502" s="69"/>
      <c r="K502" s="69"/>
      <c r="L502" s="69"/>
      <c r="M502" s="69"/>
      <c r="N502" s="69"/>
      <c r="O502" s="69"/>
      <c r="P502" s="69"/>
      <c r="Q502" s="86"/>
      <c r="R502" s="125" t="str">
        <f t="shared" si="41"/>
        <v/>
      </c>
      <c r="S502" s="126" t="str">
        <f t="shared" si="42"/>
        <v>-</v>
      </c>
      <c r="T502" s="126"/>
      <c r="U502" s="126"/>
      <c r="V502" s="126"/>
      <c r="W502" s="126"/>
      <c r="X502" s="126"/>
      <c r="Y502" s="126"/>
      <c r="Z502" s="126"/>
    </row>
    <row r="503" spans="1:29" ht="27" customHeight="1">
      <c r="A503" s="73" t="str">
        <f>IF(ISBLANK(D503)," ",499-COUNTBLANK($D$6:D503))</f>
        <v xml:space="preserve"> </v>
      </c>
      <c r="B503" s="57"/>
      <c r="C503" s="57"/>
      <c r="D503" s="57"/>
      <c r="E503" s="96"/>
      <c r="F503" s="96"/>
      <c r="G503" s="96"/>
      <c r="H503" s="69"/>
      <c r="I503" s="69"/>
      <c r="J503" s="69"/>
      <c r="K503" s="69"/>
      <c r="L503" s="69"/>
      <c r="M503" s="69"/>
      <c r="N503" s="69"/>
      <c r="O503" s="69"/>
      <c r="P503" s="69"/>
      <c r="Q503" s="86"/>
      <c r="R503" s="125" t="str">
        <f t="shared" si="41"/>
        <v/>
      </c>
      <c r="S503" s="126" t="str">
        <f t="shared" si="42"/>
        <v>-</v>
      </c>
      <c r="T503" s="126"/>
      <c r="U503" s="126"/>
      <c r="V503" s="126"/>
      <c r="W503" s="126"/>
      <c r="X503" s="126"/>
      <c r="Y503" s="126"/>
      <c r="Z503" s="127"/>
    </row>
    <row r="504" spans="1:29" ht="27" customHeight="1">
      <c r="A504" s="73" t="str">
        <f>IF(ISBLANK(D504)," ",500-COUNTBLANK($D$6:D504))</f>
        <v xml:space="preserve"> </v>
      </c>
      <c r="B504" s="57"/>
      <c r="C504" s="57"/>
      <c r="D504" s="57"/>
      <c r="E504" s="96"/>
      <c r="F504" s="96"/>
      <c r="G504" s="96"/>
      <c r="H504" s="69"/>
      <c r="I504" s="69"/>
      <c r="J504" s="69"/>
      <c r="K504" s="69"/>
      <c r="L504" s="69"/>
      <c r="M504" s="69"/>
      <c r="N504" s="69"/>
      <c r="O504" s="69"/>
      <c r="P504" s="69"/>
      <c r="Q504" s="86"/>
      <c r="R504" s="125" t="str">
        <f t="shared" si="41"/>
        <v/>
      </c>
      <c r="S504" s="126" t="str">
        <f t="shared" si="42"/>
        <v>-</v>
      </c>
      <c r="T504" s="126"/>
      <c r="U504" s="126"/>
      <c r="V504" s="126"/>
      <c r="W504" s="126"/>
      <c r="X504" s="126"/>
      <c r="Y504" s="126"/>
      <c r="Z504" s="127"/>
    </row>
    <row r="505" spans="1:29" ht="27" customHeight="1">
      <c r="A505" s="73" t="str">
        <f>IF(ISBLANK(D505)," ",501-COUNTBLANK($D$6:D505))</f>
        <v xml:space="preserve"> </v>
      </c>
      <c r="B505" s="57"/>
      <c r="C505" s="57"/>
      <c r="D505" s="57"/>
      <c r="E505" s="96"/>
      <c r="F505" s="96"/>
      <c r="G505" s="96"/>
      <c r="H505" s="69"/>
      <c r="I505" s="69"/>
      <c r="J505" s="69"/>
      <c r="K505" s="69"/>
      <c r="L505" s="69"/>
      <c r="M505" s="69"/>
      <c r="N505" s="69"/>
      <c r="O505" s="69"/>
      <c r="P505" s="69"/>
      <c r="Q505" s="86"/>
      <c r="R505" s="125" t="str">
        <f t="shared" si="41"/>
        <v/>
      </c>
      <c r="S505" s="126" t="str">
        <f t="shared" si="42"/>
        <v>-</v>
      </c>
      <c r="T505" s="126"/>
      <c r="U505" s="126"/>
      <c r="V505" s="126"/>
      <c r="W505" s="126"/>
      <c r="X505" s="126"/>
      <c r="Y505" s="126"/>
      <c r="Z505" s="127"/>
    </row>
    <row r="506" spans="1:29" ht="27" customHeight="1">
      <c r="A506" s="73" t="str">
        <f>IF(ISBLANK(D506)," ",502-COUNTBLANK($D$6:D506))</f>
        <v xml:space="preserve"> </v>
      </c>
      <c r="B506" s="57"/>
      <c r="C506" s="57"/>
      <c r="D506" s="57"/>
      <c r="E506" s="96"/>
      <c r="F506" s="96"/>
      <c r="G506" s="96"/>
      <c r="H506" s="69"/>
      <c r="I506" s="69"/>
      <c r="J506" s="69"/>
      <c r="K506" s="69"/>
      <c r="L506" s="69"/>
      <c r="M506" s="69"/>
      <c r="N506" s="69"/>
      <c r="O506" s="69"/>
      <c r="P506" s="69"/>
      <c r="Q506" s="86"/>
      <c r="R506" s="125" t="str">
        <f t="shared" si="41"/>
        <v/>
      </c>
      <c r="S506" s="126" t="str">
        <f t="shared" si="42"/>
        <v>-</v>
      </c>
      <c r="T506" s="126"/>
      <c r="U506" s="126"/>
      <c r="V506" s="126"/>
      <c r="W506" s="126"/>
      <c r="X506" s="126"/>
      <c r="Y506" s="126"/>
      <c r="Z506" s="127"/>
    </row>
    <row r="507" spans="1:29" ht="27" customHeight="1">
      <c r="A507" s="73" t="str">
        <f>IF(ISBLANK(D507)," ",503-COUNTBLANK($D$6:D507))</f>
        <v xml:space="preserve"> </v>
      </c>
      <c r="B507" s="57"/>
      <c r="C507" s="57"/>
      <c r="D507" s="57"/>
      <c r="E507" s="96"/>
      <c r="F507" s="96"/>
      <c r="G507" s="96"/>
      <c r="H507" s="69"/>
      <c r="I507" s="69"/>
      <c r="J507" s="69"/>
      <c r="K507" s="69"/>
      <c r="L507" s="69"/>
      <c r="M507" s="69"/>
      <c r="N507" s="69"/>
      <c r="O507" s="69"/>
      <c r="P507" s="69"/>
      <c r="Q507" s="86"/>
      <c r="R507" s="125" t="str">
        <f t="shared" si="41"/>
        <v/>
      </c>
      <c r="S507" s="126" t="str">
        <f t="shared" si="42"/>
        <v>-</v>
      </c>
      <c r="T507" s="126"/>
      <c r="U507" s="126"/>
      <c r="V507" s="126"/>
      <c r="W507" s="126"/>
      <c r="X507" s="126"/>
      <c r="Y507" s="126"/>
      <c r="Z507" s="141"/>
      <c r="AA507" s="126"/>
      <c r="AB507" s="126"/>
      <c r="AC507" s="126"/>
    </row>
    <row r="508" spans="1:29" ht="27" customHeight="1">
      <c r="A508" s="73" t="s">
        <v>44</v>
      </c>
      <c r="B508" s="57"/>
      <c r="C508" s="57"/>
      <c r="D508" s="57"/>
      <c r="E508" s="96"/>
      <c r="F508" s="96">
        <f>SUM(F488:F507)</f>
        <v>0</v>
      </c>
      <c r="G508" s="96"/>
      <c r="H508" s="69"/>
      <c r="I508" s="69"/>
      <c r="J508" s="69"/>
      <c r="K508" s="69"/>
      <c r="L508" s="69"/>
      <c r="M508" s="69"/>
      <c r="N508" s="69"/>
      <c r="O508" s="69"/>
      <c r="P508" s="69"/>
      <c r="Q508" s="86"/>
      <c r="R508" s="125" t="str">
        <f t="shared" si="41"/>
        <v/>
      </c>
      <c r="S508" s="126"/>
      <c r="T508" s="126"/>
      <c r="U508" s="126"/>
      <c r="V508" s="126"/>
      <c r="W508" s="126"/>
      <c r="X508" s="126"/>
      <c r="Y508" s="126"/>
      <c r="Z508" s="141"/>
      <c r="AA508" s="126"/>
      <c r="AB508" s="126"/>
      <c r="AC508" s="126"/>
    </row>
    <row r="509" spans="1:29" ht="27" customHeight="1">
      <c r="A509" s="73" t="str">
        <f>IF(ISBLANK(D509)," ",505-COUNTBLANK($D$6:D509))</f>
        <v xml:space="preserve"> </v>
      </c>
      <c r="B509" s="57"/>
      <c r="C509" s="57"/>
      <c r="D509" s="57"/>
      <c r="E509" s="96"/>
      <c r="F509" s="96"/>
      <c r="G509" s="96"/>
      <c r="H509" s="69"/>
      <c r="I509" s="69"/>
      <c r="J509" s="69"/>
      <c r="K509" s="69"/>
      <c r="L509" s="69"/>
      <c r="M509" s="69"/>
      <c r="N509" s="69"/>
      <c r="O509" s="69"/>
      <c r="P509" s="69"/>
      <c r="Q509" s="86"/>
      <c r="R509" s="125" t="str">
        <f>CONCATENATE(D509,J509)</f>
        <v/>
      </c>
      <c r="S509" s="126" t="str">
        <f>IF(E509&gt;=F509,"-","ERR")</f>
        <v>-</v>
      </c>
      <c r="T509" s="126"/>
      <c r="U509" s="126"/>
      <c r="V509" s="126"/>
      <c r="W509" s="126"/>
      <c r="X509" s="126"/>
      <c r="Y509" s="126"/>
      <c r="Z509" s="126"/>
    </row>
    <row r="510" spans="1:29" ht="27" customHeight="1">
      <c r="A510" s="73" t="str">
        <f>IF(ISBLANK(D510)," ",506-COUNTBLANK($D$6:D510))</f>
        <v xml:space="preserve"> </v>
      </c>
      <c r="B510" s="57"/>
      <c r="C510" s="57"/>
      <c r="D510" s="57"/>
      <c r="E510" s="96"/>
      <c r="F510" s="96"/>
      <c r="G510" s="96"/>
      <c r="H510" s="69"/>
      <c r="I510" s="69"/>
      <c r="J510" s="69"/>
      <c r="K510" s="69"/>
      <c r="L510" s="69"/>
      <c r="M510" s="69"/>
      <c r="N510" s="69"/>
      <c r="O510" s="69"/>
      <c r="P510" s="69"/>
      <c r="Q510" s="86"/>
      <c r="R510" s="125" t="str">
        <f t="shared" ref="R510:R529" si="43">CONCATENATE(D510,J510)</f>
        <v/>
      </c>
      <c r="S510" s="126" t="str">
        <f t="shared" ref="S510:S528" si="44">IF(E510&gt;=F510,"-","ERR")</f>
        <v>-</v>
      </c>
      <c r="T510" s="126"/>
      <c r="U510" s="126"/>
      <c r="V510" s="126"/>
      <c r="W510" s="126"/>
      <c r="X510" s="126"/>
      <c r="Y510" s="126"/>
      <c r="Z510" s="126"/>
    </row>
    <row r="511" spans="1:29" ht="27" customHeight="1">
      <c r="A511" s="73" t="str">
        <f>IF(ISBLANK(D511)," ",507-COUNTBLANK($D$6:D511))</f>
        <v xml:space="preserve"> </v>
      </c>
      <c r="B511" s="57"/>
      <c r="C511" s="57"/>
      <c r="D511" s="57"/>
      <c r="E511" s="96"/>
      <c r="F511" s="96"/>
      <c r="G511" s="96"/>
      <c r="H511" s="69"/>
      <c r="I511" s="69"/>
      <c r="J511" s="69"/>
      <c r="K511" s="69"/>
      <c r="L511" s="69"/>
      <c r="M511" s="69"/>
      <c r="N511" s="69"/>
      <c r="O511" s="69"/>
      <c r="P511" s="69"/>
      <c r="Q511" s="86"/>
      <c r="R511" s="125" t="str">
        <f t="shared" si="43"/>
        <v/>
      </c>
      <c r="S511" s="126" t="str">
        <f t="shared" si="44"/>
        <v>-</v>
      </c>
      <c r="T511" s="126"/>
      <c r="U511" s="126"/>
      <c r="V511" s="126"/>
      <c r="W511" s="126"/>
      <c r="X511" s="126"/>
      <c r="Y511" s="126"/>
      <c r="Z511" s="126"/>
    </row>
    <row r="512" spans="1:29" ht="27" customHeight="1">
      <c r="A512" s="73" t="str">
        <f>IF(ISBLANK(D512)," ",508-COUNTBLANK($D$6:D512))</f>
        <v xml:space="preserve"> </v>
      </c>
      <c r="B512" s="57"/>
      <c r="C512" s="57"/>
      <c r="D512" s="57"/>
      <c r="E512" s="96"/>
      <c r="F512" s="96"/>
      <c r="G512" s="96"/>
      <c r="H512" s="69"/>
      <c r="I512" s="69"/>
      <c r="J512" s="69"/>
      <c r="K512" s="69"/>
      <c r="L512" s="69"/>
      <c r="M512" s="69"/>
      <c r="N512" s="69"/>
      <c r="O512" s="69"/>
      <c r="P512" s="69"/>
      <c r="Q512" s="86"/>
      <c r="R512" s="125" t="str">
        <f t="shared" si="43"/>
        <v/>
      </c>
      <c r="S512" s="126" t="str">
        <f t="shared" si="44"/>
        <v>-</v>
      </c>
      <c r="T512" s="126"/>
      <c r="U512" s="126"/>
      <c r="V512" s="126"/>
      <c r="W512" s="126"/>
      <c r="X512" s="126"/>
      <c r="Y512" s="126"/>
      <c r="Z512" s="126"/>
    </row>
    <row r="513" spans="1:29" ht="27" customHeight="1">
      <c r="A513" s="73" t="str">
        <f>IF(ISBLANK(D513)," ",509-COUNTBLANK($D$6:D513))</f>
        <v xml:space="preserve"> </v>
      </c>
      <c r="B513" s="57"/>
      <c r="C513" s="57"/>
      <c r="D513" s="57"/>
      <c r="E513" s="96"/>
      <c r="F513" s="96"/>
      <c r="G513" s="96"/>
      <c r="H513" s="69"/>
      <c r="I513" s="69"/>
      <c r="J513" s="69"/>
      <c r="K513" s="69"/>
      <c r="L513" s="69"/>
      <c r="M513" s="69"/>
      <c r="N513" s="69"/>
      <c r="O513" s="69"/>
      <c r="P513" s="69"/>
      <c r="Q513" s="86"/>
      <c r="R513" s="125" t="str">
        <f t="shared" si="43"/>
        <v/>
      </c>
      <c r="S513" s="126" t="str">
        <f t="shared" si="44"/>
        <v>-</v>
      </c>
      <c r="T513" s="126"/>
      <c r="U513" s="126"/>
      <c r="V513" s="126"/>
      <c r="W513" s="126"/>
      <c r="X513" s="126"/>
      <c r="Y513" s="126"/>
      <c r="Z513" s="126"/>
    </row>
    <row r="514" spans="1:29" ht="27" customHeight="1">
      <c r="A514" s="73" t="str">
        <f>IF(ISBLANK(D514)," ",510-COUNTBLANK($D$6:D514))</f>
        <v xml:space="preserve"> </v>
      </c>
      <c r="B514" s="57"/>
      <c r="C514" s="57"/>
      <c r="D514" s="57"/>
      <c r="E514" s="96"/>
      <c r="F514" s="96"/>
      <c r="G514" s="96"/>
      <c r="H514" s="69"/>
      <c r="I514" s="69"/>
      <c r="J514" s="69"/>
      <c r="K514" s="69"/>
      <c r="L514" s="69"/>
      <c r="M514" s="69"/>
      <c r="N514" s="69"/>
      <c r="O514" s="69"/>
      <c r="P514" s="69"/>
      <c r="Q514" s="86"/>
      <c r="R514" s="125" t="str">
        <f t="shared" si="43"/>
        <v/>
      </c>
      <c r="S514" s="126" t="str">
        <f t="shared" si="44"/>
        <v>-</v>
      </c>
      <c r="T514" s="126"/>
      <c r="U514" s="126"/>
      <c r="V514" s="126"/>
      <c r="W514" s="126"/>
      <c r="X514" s="126"/>
      <c r="Y514" s="126"/>
      <c r="Z514" s="126"/>
    </row>
    <row r="515" spans="1:29" ht="27" customHeight="1">
      <c r="A515" s="73" t="str">
        <f>IF(ISBLANK(D515)," ",511-COUNTBLANK($D$6:D515))</f>
        <v xml:space="preserve"> </v>
      </c>
      <c r="B515" s="57"/>
      <c r="C515" s="57"/>
      <c r="D515" s="57"/>
      <c r="E515" s="96"/>
      <c r="F515" s="96"/>
      <c r="G515" s="96"/>
      <c r="H515" s="69"/>
      <c r="I515" s="69"/>
      <c r="J515" s="69"/>
      <c r="K515" s="69"/>
      <c r="L515" s="69"/>
      <c r="M515" s="69"/>
      <c r="N515" s="69"/>
      <c r="O515" s="69"/>
      <c r="P515" s="69"/>
      <c r="Q515" s="86"/>
      <c r="R515" s="125" t="str">
        <f t="shared" si="43"/>
        <v/>
      </c>
      <c r="S515" s="126" t="str">
        <f t="shared" si="44"/>
        <v>-</v>
      </c>
      <c r="T515" s="126"/>
      <c r="U515" s="126"/>
      <c r="V515" s="126"/>
      <c r="W515" s="126"/>
      <c r="X515" s="126"/>
      <c r="Y515" s="126"/>
      <c r="Z515" s="126"/>
    </row>
    <row r="516" spans="1:29" ht="27" customHeight="1">
      <c r="A516" s="89" t="str">
        <f>IF(ISBLANK(D516)," ",512-COUNTBLANK($D$6:D516))</f>
        <v xml:space="preserve"> </v>
      </c>
      <c r="B516" s="90"/>
      <c r="C516" s="91"/>
      <c r="D516" s="92"/>
      <c r="E516" s="95"/>
      <c r="F516" s="95"/>
      <c r="G516" s="95"/>
      <c r="H516" s="93"/>
      <c r="I516" s="93"/>
      <c r="J516" s="93"/>
      <c r="K516" s="93"/>
      <c r="L516" s="93"/>
      <c r="M516" s="93"/>
      <c r="N516" s="93"/>
      <c r="O516" s="93"/>
      <c r="P516" s="93"/>
      <c r="Q516" s="94"/>
      <c r="R516" s="125" t="str">
        <f t="shared" si="43"/>
        <v/>
      </c>
      <c r="S516" s="126" t="str">
        <f t="shared" si="44"/>
        <v>-</v>
      </c>
      <c r="T516" s="126"/>
      <c r="U516" s="126"/>
      <c r="V516" s="126"/>
      <c r="W516" s="126"/>
      <c r="X516" s="126"/>
      <c r="Y516" s="126"/>
      <c r="Z516" s="126"/>
    </row>
    <row r="517" spans="1:29" ht="27" customHeight="1">
      <c r="A517" s="88" t="str">
        <f>IF(ISBLANK(D517)," ",513-COUNTBLANK($D$6:D517))</f>
        <v xml:space="preserve"> </v>
      </c>
      <c r="B517" s="72"/>
      <c r="C517" s="72"/>
      <c r="D517" s="72"/>
      <c r="E517" s="97"/>
      <c r="F517" s="97"/>
      <c r="G517" s="97"/>
      <c r="H517" s="70"/>
      <c r="I517" s="70"/>
      <c r="J517" s="70"/>
      <c r="K517" s="70"/>
      <c r="L517" s="70"/>
      <c r="M517" s="70"/>
      <c r="N517" s="70"/>
      <c r="O517" s="70"/>
      <c r="P517" s="70"/>
      <c r="Q517" s="87"/>
      <c r="R517" s="125" t="str">
        <f t="shared" si="43"/>
        <v/>
      </c>
      <c r="S517" s="126" t="str">
        <f t="shared" si="44"/>
        <v>-</v>
      </c>
      <c r="T517" s="126"/>
      <c r="U517" s="126"/>
      <c r="V517" s="126"/>
      <c r="W517" s="126"/>
      <c r="X517" s="126"/>
      <c r="Y517" s="126"/>
      <c r="Z517" s="126"/>
    </row>
    <row r="518" spans="1:29" ht="27" customHeight="1">
      <c r="A518" s="73" t="str">
        <f>IF(ISBLANK(D518)," ",514-COUNTBLANK($D$6:D518))</f>
        <v xml:space="preserve"> </v>
      </c>
      <c r="B518" s="57"/>
      <c r="C518" s="57"/>
      <c r="D518" s="57"/>
      <c r="E518" s="96"/>
      <c r="F518" s="96"/>
      <c r="G518" s="96"/>
      <c r="H518" s="69"/>
      <c r="I518" s="69"/>
      <c r="J518" s="69"/>
      <c r="K518" s="69"/>
      <c r="L518" s="69"/>
      <c r="M518" s="69"/>
      <c r="N518" s="69"/>
      <c r="O518" s="69"/>
      <c r="P518" s="69"/>
      <c r="Q518" s="86"/>
      <c r="R518" s="125" t="str">
        <f t="shared" si="43"/>
        <v/>
      </c>
      <c r="S518" s="126" t="str">
        <f t="shared" si="44"/>
        <v>-</v>
      </c>
      <c r="T518" s="126"/>
      <c r="U518" s="126"/>
      <c r="V518" s="126"/>
      <c r="W518" s="126"/>
      <c r="X518" s="126"/>
      <c r="Y518" s="126"/>
      <c r="Z518" s="126"/>
    </row>
    <row r="519" spans="1:29" ht="27" customHeight="1">
      <c r="A519" s="73" t="str">
        <f>IF(ISBLANK(D519)," ",515-COUNTBLANK($D$6:D519))</f>
        <v xml:space="preserve"> </v>
      </c>
      <c r="B519" s="57"/>
      <c r="C519" s="57"/>
      <c r="D519" s="57"/>
      <c r="E519" s="96"/>
      <c r="F519" s="96"/>
      <c r="G519" s="96"/>
      <c r="H519" s="69"/>
      <c r="I519" s="69"/>
      <c r="J519" s="69"/>
      <c r="K519" s="69"/>
      <c r="L519" s="69"/>
      <c r="M519" s="69"/>
      <c r="N519" s="69"/>
      <c r="O519" s="69"/>
      <c r="P519" s="69"/>
      <c r="Q519" s="86"/>
      <c r="R519" s="125" t="str">
        <f t="shared" si="43"/>
        <v/>
      </c>
      <c r="S519" s="126" t="str">
        <f t="shared" si="44"/>
        <v>-</v>
      </c>
      <c r="T519" s="126"/>
      <c r="U519" s="126"/>
      <c r="V519" s="126"/>
      <c r="W519" s="126"/>
      <c r="X519" s="126"/>
      <c r="Y519" s="126"/>
      <c r="Z519" s="126"/>
    </row>
    <row r="520" spans="1:29" ht="27" customHeight="1">
      <c r="A520" s="73" t="str">
        <f>IF(ISBLANK(D520)," ",516-COUNTBLANK($D$6:D520))</f>
        <v xml:space="preserve"> </v>
      </c>
      <c r="B520" s="57"/>
      <c r="C520" s="57"/>
      <c r="D520" s="57"/>
      <c r="E520" s="96"/>
      <c r="F520" s="96"/>
      <c r="G520" s="96"/>
      <c r="H520" s="69"/>
      <c r="I520" s="69"/>
      <c r="J520" s="69"/>
      <c r="K520" s="69"/>
      <c r="L520" s="69"/>
      <c r="M520" s="69"/>
      <c r="N520" s="69"/>
      <c r="O520" s="69"/>
      <c r="P520" s="69"/>
      <c r="Q520" s="86"/>
      <c r="R520" s="125" t="str">
        <f t="shared" si="43"/>
        <v/>
      </c>
      <c r="S520" s="126" t="str">
        <f t="shared" si="44"/>
        <v>-</v>
      </c>
      <c r="T520" s="126"/>
      <c r="U520" s="126"/>
      <c r="V520" s="126"/>
      <c r="W520" s="126"/>
      <c r="X520" s="126"/>
      <c r="Y520" s="126"/>
      <c r="Z520" s="126"/>
    </row>
    <row r="521" spans="1:29" ht="27" customHeight="1">
      <c r="A521" s="73" t="str">
        <f>IF(ISBLANK(D521)," ",517-COUNTBLANK($D$6:D521))</f>
        <v xml:space="preserve"> </v>
      </c>
      <c r="B521" s="57"/>
      <c r="C521" s="57"/>
      <c r="D521" s="57"/>
      <c r="E521" s="96"/>
      <c r="F521" s="96"/>
      <c r="G521" s="96"/>
      <c r="H521" s="69"/>
      <c r="I521" s="69"/>
      <c r="J521" s="69"/>
      <c r="K521" s="69"/>
      <c r="L521" s="69"/>
      <c r="M521" s="69"/>
      <c r="N521" s="69"/>
      <c r="O521" s="69"/>
      <c r="P521" s="69"/>
      <c r="Q521" s="86"/>
      <c r="R521" s="125" t="str">
        <f t="shared" si="43"/>
        <v/>
      </c>
      <c r="S521" s="126" t="str">
        <f t="shared" si="44"/>
        <v>-</v>
      </c>
      <c r="T521" s="126"/>
      <c r="U521" s="126"/>
      <c r="V521" s="126"/>
      <c r="W521" s="126"/>
      <c r="X521" s="126"/>
      <c r="Y521" s="126"/>
      <c r="Z521" s="126"/>
    </row>
    <row r="522" spans="1:29" ht="27" customHeight="1">
      <c r="A522" s="73" t="str">
        <f>IF(ISBLANK(D522)," ",518-COUNTBLANK($D$6:D522))</f>
        <v xml:space="preserve"> </v>
      </c>
      <c r="B522" s="57"/>
      <c r="C522" s="57"/>
      <c r="D522" s="57"/>
      <c r="E522" s="96"/>
      <c r="F522" s="96"/>
      <c r="G522" s="96"/>
      <c r="H522" s="69"/>
      <c r="I522" s="69"/>
      <c r="J522" s="69"/>
      <c r="K522" s="69"/>
      <c r="L522" s="69"/>
      <c r="M522" s="69"/>
      <c r="N522" s="69"/>
      <c r="O522" s="69"/>
      <c r="P522" s="69"/>
      <c r="Q522" s="86"/>
      <c r="R522" s="125" t="str">
        <f t="shared" si="43"/>
        <v/>
      </c>
      <c r="S522" s="126" t="str">
        <f t="shared" si="44"/>
        <v>-</v>
      </c>
      <c r="T522" s="126"/>
      <c r="U522" s="126"/>
      <c r="V522" s="126"/>
      <c r="W522" s="126"/>
      <c r="X522" s="126"/>
      <c r="Y522" s="126"/>
      <c r="Z522" s="126"/>
    </row>
    <row r="523" spans="1:29" ht="27" customHeight="1">
      <c r="A523" s="73" t="str">
        <f>IF(ISBLANK(D523)," ",519-COUNTBLANK($D$6:D523))</f>
        <v xml:space="preserve"> </v>
      </c>
      <c r="B523" s="57"/>
      <c r="C523" s="57"/>
      <c r="D523" s="57"/>
      <c r="E523" s="96"/>
      <c r="F523" s="96"/>
      <c r="G523" s="96"/>
      <c r="H523" s="69"/>
      <c r="I523" s="69"/>
      <c r="J523" s="69"/>
      <c r="K523" s="69"/>
      <c r="L523" s="69"/>
      <c r="M523" s="69"/>
      <c r="N523" s="69"/>
      <c r="O523" s="69"/>
      <c r="P523" s="69"/>
      <c r="Q523" s="86"/>
      <c r="R523" s="125" t="str">
        <f t="shared" si="43"/>
        <v/>
      </c>
      <c r="S523" s="126" t="str">
        <f t="shared" si="44"/>
        <v>-</v>
      </c>
      <c r="T523" s="126"/>
      <c r="U523" s="126"/>
      <c r="V523" s="126"/>
      <c r="W523" s="126"/>
      <c r="X523" s="126"/>
      <c r="Y523" s="126"/>
      <c r="Z523" s="126"/>
    </row>
    <row r="524" spans="1:29" ht="27" customHeight="1">
      <c r="A524" s="73" t="str">
        <f>IF(ISBLANK(D524)," ",520-COUNTBLANK($D$6:D524))</f>
        <v xml:space="preserve"> </v>
      </c>
      <c r="B524" s="57"/>
      <c r="C524" s="57"/>
      <c r="D524" s="57"/>
      <c r="E524" s="96"/>
      <c r="F524" s="96"/>
      <c r="G524" s="96"/>
      <c r="H524" s="69"/>
      <c r="I524" s="69"/>
      <c r="J524" s="69"/>
      <c r="K524" s="69"/>
      <c r="L524" s="69"/>
      <c r="M524" s="69"/>
      <c r="N524" s="69"/>
      <c r="O524" s="69"/>
      <c r="P524" s="69"/>
      <c r="Q524" s="86"/>
      <c r="R524" s="125" t="str">
        <f t="shared" si="43"/>
        <v/>
      </c>
      <c r="S524" s="126" t="str">
        <f t="shared" si="44"/>
        <v>-</v>
      </c>
      <c r="T524" s="126"/>
      <c r="U524" s="126"/>
      <c r="V524" s="126"/>
      <c r="W524" s="126"/>
      <c r="X524" s="126"/>
      <c r="Y524" s="126"/>
      <c r="Z524" s="127"/>
    </row>
    <row r="525" spans="1:29" ht="27" customHeight="1">
      <c r="A525" s="73" t="str">
        <f>IF(ISBLANK(D525)," ",521-COUNTBLANK($D$6:D525))</f>
        <v xml:space="preserve"> </v>
      </c>
      <c r="B525" s="57"/>
      <c r="C525" s="57"/>
      <c r="D525" s="57"/>
      <c r="E525" s="96"/>
      <c r="F525" s="96"/>
      <c r="G525" s="96"/>
      <c r="H525" s="69"/>
      <c r="I525" s="69"/>
      <c r="J525" s="69"/>
      <c r="K525" s="69"/>
      <c r="L525" s="69"/>
      <c r="M525" s="69"/>
      <c r="N525" s="69"/>
      <c r="O525" s="69"/>
      <c r="P525" s="69"/>
      <c r="Q525" s="86"/>
      <c r="R525" s="125" t="str">
        <f t="shared" si="43"/>
        <v/>
      </c>
      <c r="S525" s="126" t="str">
        <f t="shared" si="44"/>
        <v>-</v>
      </c>
      <c r="T525" s="126"/>
      <c r="U525" s="126"/>
      <c r="V525" s="126"/>
      <c r="W525" s="126"/>
      <c r="X525" s="126"/>
      <c r="Y525" s="126"/>
      <c r="Z525" s="127"/>
    </row>
    <row r="526" spans="1:29" ht="27" customHeight="1">
      <c r="A526" s="73" t="str">
        <f>IF(ISBLANK(D526)," ",522-COUNTBLANK($D$6:D526))</f>
        <v xml:space="preserve"> </v>
      </c>
      <c r="B526" s="57"/>
      <c r="C526" s="57"/>
      <c r="D526" s="57"/>
      <c r="E526" s="96"/>
      <c r="F526" s="96"/>
      <c r="G526" s="96"/>
      <c r="H526" s="69"/>
      <c r="I526" s="69"/>
      <c r="J526" s="69"/>
      <c r="K526" s="69"/>
      <c r="L526" s="69"/>
      <c r="M526" s="69"/>
      <c r="N526" s="69"/>
      <c r="O526" s="69"/>
      <c r="P526" s="69"/>
      <c r="Q526" s="86"/>
      <c r="R526" s="125" t="str">
        <f t="shared" si="43"/>
        <v/>
      </c>
      <c r="S526" s="126" t="str">
        <f t="shared" si="44"/>
        <v>-</v>
      </c>
      <c r="T526" s="126"/>
      <c r="U526" s="126"/>
      <c r="V526" s="126"/>
      <c r="W526" s="126"/>
      <c r="X526" s="126"/>
      <c r="Y526" s="126"/>
      <c r="Z526" s="127"/>
    </row>
    <row r="527" spans="1:29" ht="27" customHeight="1">
      <c r="A527" s="73" t="str">
        <f>IF(ISBLANK(D527)," ",523-COUNTBLANK($D$6:D527))</f>
        <v xml:space="preserve"> </v>
      </c>
      <c r="B527" s="57"/>
      <c r="C527" s="57"/>
      <c r="D527" s="57"/>
      <c r="E527" s="96"/>
      <c r="F527" s="96"/>
      <c r="G527" s="96"/>
      <c r="H527" s="69"/>
      <c r="I527" s="69"/>
      <c r="J527" s="69"/>
      <c r="K527" s="69"/>
      <c r="L527" s="69"/>
      <c r="M527" s="69"/>
      <c r="N527" s="69"/>
      <c r="O527" s="69"/>
      <c r="P527" s="69"/>
      <c r="Q527" s="86"/>
      <c r="R527" s="125" t="str">
        <f t="shared" si="43"/>
        <v/>
      </c>
      <c r="S527" s="126" t="str">
        <f t="shared" si="44"/>
        <v>-</v>
      </c>
      <c r="T527" s="126"/>
      <c r="U527" s="126"/>
      <c r="V527" s="126"/>
      <c r="W527" s="126"/>
      <c r="X527" s="126"/>
      <c r="Y527" s="126"/>
      <c r="Z527" s="127"/>
    </row>
    <row r="528" spans="1:29" ht="27" customHeight="1">
      <c r="A528" s="73" t="str">
        <f>IF(ISBLANK(D528)," ",524-COUNTBLANK($D$6:D528))</f>
        <v xml:space="preserve"> </v>
      </c>
      <c r="B528" s="57"/>
      <c r="C528" s="57"/>
      <c r="D528" s="57"/>
      <c r="E528" s="96"/>
      <c r="F528" s="96"/>
      <c r="G528" s="96"/>
      <c r="H528" s="69"/>
      <c r="I528" s="69"/>
      <c r="J528" s="69"/>
      <c r="K528" s="69"/>
      <c r="L528" s="69"/>
      <c r="M528" s="69"/>
      <c r="N528" s="69"/>
      <c r="O528" s="69"/>
      <c r="P528" s="69"/>
      <c r="Q528" s="86"/>
      <c r="R528" s="125" t="str">
        <f t="shared" si="43"/>
        <v/>
      </c>
      <c r="S528" s="126" t="str">
        <f t="shared" si="44"/>
        <v>-</v>
      </c>
      <c r="T528" s="126"/>
      <c r="U528" s="126"/>
      <c r="V528" s="126"/>
      <c r="W528" s="126"/>
      <c r="X528" s="126"/>
      <c r="Y528" s="126"/>
      <c r="Z528" s="141"/>
      <c r="AA528" s="126"/>
      <c r="AB528" s="126"/>
      <c r="AC528" s="126"/>
    </row>
    <row r="529" spans="1:29" ht="27" customHeight="1">
      <c r="A529" s="73" t="s">
        <v>44</v>
      </c>
      <c r="B529" s="57"/>
      <c r="C529" s="57"/>
      <c r="D529" s="57"/>
      <c r="E529" s="96"/>
      <c r="F529" s="96">
        <f>SUM(F509:F528)</f>
        <v>0</v>
      </c>
      <c r="G529" s="96"/>
      <c r="H529" s="69"/>
      <c r="I529" s="69"/>
      <c r="J529" s="69"/>
      <c r="K529" s="69"/>
      <c r="L529" s="69"/>
      <c r="M529" s="69"/>
      <c r="N529" s="69"/>
      <c r="O529" s="69"/>
      <c r="P529" s="69"/>
      <c r="Q529" s="86"/>
      <c r="R529" s="125" t="str">
        <f t="shared" si="43"/>
        <v/>
      </c>
      <c r="S529" s="126"/>
      <c r="T529" s="126"/>
      <c r="U529" s="126"/>
      <c r="V529" s="126"/>
      <c r="W529" s="126"/>
      <c r="X529" s="126"/>
      <c r="Y529" s="126"/>
      <c r="Z529" s="141"/>
      <c r="AA529" s="126"/>
      <c r="AB529" s="126"/>
      <c r="AC529" s="126"/>
    </row>
    <row r="530" spans="1:29">
      <c r="A530" s="73"/>
      <c r="B530" s="57"/>
      <c r="C530" s="57"/>
      <c r="D530" s="57"/>
      <c r="E530" s="96"/>
      <c r="F530" s="96"/>
      <c r="G530" s="96"/>
      <c r="H530" s="69"/>
      <c r="I530" s="69"/>
      <c r="J530" s="69"/>
      <c r="K530" s="69"/>
      <c r="L530" s="69"/>
      <c r="M530" s="69"/>
      <c r="N530" s="69"/>
      <c r="O530" s="69"/>
      <c r="P530" s="69"/>
      <c r="Q530" s="86"/>
      <c r="S530" s="142"/>
      <c r="T530" s="142"/>
      <c r="U530" s="142"/>
      <c r="V530" s="142"/>
      <c r="W530" s="142"/>
      <c r="X530" s="142"/>
      <c r="Y530" s="142"/>
      <c r="Z530" s="142"/>
    </row>
    <row r="531" spans="1:29">
      <c r="A531" s="73"/>
      <c r="B531" s="57"/>
      <c r="C531" s="57"/>
      <c r="D531" s="57"/>
      <c r="E531" s="96"/>
      <c r="F531" s="96"/>
      <c r="G531" s="96"/>
      <c r="H531" s="69"/>
      <c r="I531" s="69"/>
      <c r="J531" s="69"/>
      <c r="K531" s="69"/>
      <c r="L531" s="69"/>
      <c r="M531" s="69"/>
      <c r="N531" s="69"/>
      <c r="O531" s="69"/>
      <c r="P531" s="69"/>
      <c r="Q531" s="86"/>
      <c r="S531" s="142"/>
      <c r="T531" s="142"/>
      <c r="U531" s="142"/>
      <c r="V531" s="142"/>
      <c r="W531" s="142"/>
      <c r="X531" s="142"/>
      <c r="Y531" s="142"/>
      <c r="Z531" s="142"/>
    </row>
    <row r="532" spans="1:29">
      <c r="A532" s="73"/>
      <c r="B532" s="57"/>
      <c r="C532" s="57"/>
      <c r="D532" s="57"/>
      <c r="E532" s="96"/>
      <c r="F532" s="96"/>
      <c r="G532" s="96"/>
      <c r="H532" s="69"/>
      <c r="I532" s="69"/>
      <c r="J532" s="69"/>
      <c r="K532" s="69"/>
      <c r="L532" s="69"/>
      <c r="M532" s="69"/>
      <c r="N532" s="69"/>
      <c r="O532" s="69"/>
      <c r="P532" s="69"/>
      <c r="Q532" s="86"/>
    </row>
    <row r="533" spans="1:29">
      <c r="A533" s="73"/>
      <c r="B533" s="57"/>
      <c r="C533" s="57"/>
      <c r="D533" s="57"/>
      <c r="E533" s="96"/>
      <c r="F533" s="96"/>
      <c r="G533" s="96"/>
      <c r="H533" s="69"/>
      <c r="I533" s="69"/>
      <c r="J533" s="69"/>
      <c r="K533" s="69"/>
      <c r="L533" s="69"/>
      <c r="M533" s="69"/>
      <c r="N533" s="69"/>
      <c r="O533" s="69"/>
      <c r="P533" s="69"/>
      <c r="Q533" s="86"/>
    </row>
    <row r="534" spans="1:29">
      <c r="A534" s="73"/>
      <c r="B534" s="57"/>
      <c r="C534" s="57"/>
      <c r="D534" s="57"/>
      <c r="E534" s="96"/>
      <c r="F534" s="96"/>
      <c r="G534" s="96"/>
      <c r="H534" s="69"/>
      <c r="I534" s="69"/>
      <c r="J534" s="69"/>
      <c r="K534" s="69"/>
      <c r="L534" s="69"/>
      <c r="M534" s="69"/>
      <c r="N534" s="69"/>
      <c r="O534" s="69"/>
      <c r="P534" s="69"/>
      <c r="Q534" s="86"/>
    </row>
    <row r="535" spans="1:29">
      <c r="A535" s="73"/>
      <c r="B535" s="57"/>
      <c r="C535" s="57"/>
      <c r="D535" s="57"/>
      <c r="E535" s="96"/>
      <c r="F535" s="96"/>
      <c r="G535" s="96"/>
      <c r="H535" s="69"/>
      <c r="I535" s="69"/>
      <c r="J535" s="69"/>
      <c r="K535" s="69"/>
      <c r="L535" s="69"/>
      <c r="M535" s="69"/>
      <c r="N535" s="69"/>
      <c r="O535" s="69"/>
      <c r="P535" s="69"/>
      <c r="Q535" s="86"/>
    </row>
    <row r="536" spans="1:29">
      <c r="A536" s="73"/>
      <c r="B536" s="57"/>
      <c r="C536" s="57"/>
      <c r="D536" s="57"/>
      <c r="E536" s="96"/>
      <c r="F536" s="96"/>
      <c r="G536" s="96"/>
      <c r="H536" s="69"/>
      <c r="I536" s="69"/>
      <c r="J536" s="69"/>
      <c r="K536" s="69"/>
      <c r="L536" s="69"/>
      <c r="M536" s="69"/>
      <c r="N536" s="69"/>
      <c r="O536" s="69"/>
      <c r="P536" s="69"/>
      <c r="Q536" s="86"/>
    </row>
    <row r="537" spans="1:29">
      <c r="A537" s="89"/>
      <c r="B537" s="90"/>
      <c r="C537" s="91"/>
      <c r="D537" s="92"/>
      <c r="E537" s="95"/>
      <c r="F537" s="95"/>
      <c r="G537" s="95"/>
      <c r="H537" s="93"/>
      <c r="I537" s="93"/>
      <c r="J537" s="93"/>
      <c r="K537" s="93"/>
      <c r="L537" s="93"/>
      <c r="M537" s="93"/>
      <c r="N537" s="93"/>
      <c r="O537" s="93"/>
      <c r="P537" s="93"/>
      <c r="Q537" s="94"/>
    </row>
  </sheetData>
  <mergeCells count="6">
    <mergeCell ref="B4:C4"/>
    <mergeCell ref="D4:D5"/>
    <mergeCell ref="F4:G4"/>
    <mergeCell ref="J4:K4"/>
    <mergeCell ref="Q4:Q5"/>
    <mergeCell ref="L4:M4"/>
  </mergeCells>
  <phoneticPr fontId="6" type="noConversion"/>
  <printOptions horizontalCentered="1"/>
  <pageMargins left="0.19685039370078741" right="0.19685039370078741" top="1.1811023622047245" bottom="0.78740157480314965" header="0.59055118110236227" footer="0.19685039370078741"/>
  <pageSetup paperSize="9" scale="86" fitToHeight="100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showZeros="0" view="pageBreakPreview" zoomScale="40" zoomScaleNormal="100" workbookViewId="0">
      <selection activeCell="G139" sqref="G139"/>
    </sheetView>
  </sheetViews>
  <sheetFormatPr defaultRowHeight="11.25"/>
  <cols>
    <col min="1" max="1" width="3.88671875" style="149" customWidth="1"/>
    <col min="2" max="2" width="5.77734375" style="195" customWidth="1"/>
    <col min="3" max="3" width="3.77734375" style="149" customWidth="1"/>
    <col min="4" max="4" width="8.44140625" style="149" customWidth="1"/>
    <col min="5" max="5" width="6.77734375" style="196" customWidth="1"/>
    <col min="6" max="6" width="4.21875" style="149" customWidth="1"/>
    <col min="7" max="7" width="6.77734375" style="149" customWidth="1"/>
    <col min="8" max="8" width="5.77734375" style="149" customWidth="1"/>
    <col min="9" max="9" width="11.6640625" style="149" customWidth="1"/>
    <col min="10" max="10" width="5.77734375" style="149" customWidth="1"/>
    <col min="11" max="11" width="11.77734375" style="149" customWidth="1"/>
    <col min="12" max="12" width="6.77734375" style="149" customWidth="1"/>
    <col min="13" max="13" width="4.77734375" style="149" customWidth="1"/>
    <col min="14" max="14" width="20.77734375" style="197" customWidth="1"/>
    <col min="15" max="15" width="9.77734375" style="56" customWidth="1"/>
    <col min="16" max="21" width="9.77734375" style="149" customWidth="1"/>
    <col min="22" max="22" width="10.77734375" style="149" customWidth="1"/>
    <col min="23" max="16384" width="8.88671875" style="149"/>
  </cols>
  <sheetData>
    <row r="1" spans="1:22" ht="30" customHeight="1">
      <c r="A1" s="143" t="s">
        <v>45</v>
      </c>
      <c r="B1" s="144"/>
      <c r="C1" s="145"/>
      <c r="D1" s="145"/>
      <c r="E1" s="146"/>
      <c r="F1" s="145"/>
      <c r="G1" s="145"/>
      <c r="H1" s="145"/>
      <c r="I1" s="145"/>
      <c r="J1" s="145"/>
      <c r="K1" s="145"/>
      <c r="L1" s="145"/>
      <c r="M1" s="145"/>
      <c r="N1" s="147"/>
      <c r="O1" s="80"/>
      <c r="P1" s="148"/>
      <c r="Q1" s="148"/>
      <c r="R1" s="148"/>
      <c r="S1" s="148"/>
      <c r="T1" s="148"/>
      <c r="U1" s="148"/>
      <c r="V1" s="148"/>
    </row>
    <row r="2" spans="1:22" ht="19.899999999999999" customHeight="1">
      <c r="A2" s="150"/>
      <c r="B2" s="151"/>
      <c r="C2" s="150"/>
      <c r="D2" s="150"/>
      <c r="E2" s="152"/>
      <c r="F2" s="150"/>
      <c r="G2" s="150"/>
      <c r="H2" s="150"/>
      <c r="I2" s="150"/>
      <c r="J2" s="153"/>
      <c r="K2" s="198"/>
      <c r="L2" s="155"/>
      <c r="M2" s="155"/>
      <c r="N2" s="156"/>
      <c r="O2" s="80"/>
      <c r="P2" s="148"/>
      <c r="Q2" s="148"/>
      <c r="R2" s="148"/>
      <c r="S2" s="148"/>
      <c r="T2" s="148"/>
      <c r="U2" s="148"/>
      <c r="V2" s="148"/>
    </row>
    <row r="3" spans="1:22" ht="10.15" customHeight="1">
      <c r="A3" s="150"/>
      <c r="B3" s="151"/>
      <c r="C3" s="150"/>
      <c r="D3" s="150"/>
      <c r="E3" s="152"/>
      <c r="F3" s="150"/>
      <c r="G3" s="150"/>
      <c r="H3" s="150"/>
      <c r="I3" s="150"/>
      <c r="J3" s="150"/>
      <c r="K3" s="150"/>
      <c r="L3" s="150"/>
      <c r="M3" s="150"/>
      <c r="N3" s="150"/>
      <c r="O3" s="80"/>
      <c r="P3" s="148"/>
      <c r="Q3" s="148"/>
      <c r="R3" s="148"/>
      <c r="S3" s="148"/>
      <c r="T3" s="148"/>
      <c r="U3" s="148"/>
      <c r="V3" s="148"/>
    </row>
    <row r="4" spans="1:22" s="159" customFormat="1" ht="27" customHeight="1">
      <c r="A4" s="19" t="s">
        <v>31</v>
      </c>
      <c r="B4" s="225" t="s">
        <v>32</v>
      </c>
      <c r="C4" s="227" t="s">
        <v>33</v>
      </c>
      <c r="D4" s="20" t="s">
        <v>34</v>
      </c>
      <c r="E4" s="21" t="s">
        <v>35</v>
      </c>
      <c r="F4" s="22" t="s">
        <v>36</v>
      </c>
      <c r="G4" s="22"/>
      <c r="H4" s="229" t="s">
        <v>37</v>
      </c>
      <c r="I4" s="230"/>
      <c r="J4" s="23" t="s">
        <v>38</v>
      </c>
      <c r="K4" s="22"/>
      <c r="L4" s="24"/>
      <c r="M4" s="231" t="s">
        <v>30</v>
      </c>
      <c r="N4" s="157"/>
      <c r="O4" s="134"/>
      <c r="P4" s="158"/>
      <c r="Q4" s="158"/>
      <c r="R4" s="158"/>
      <c r="S4" s="158"/>
      <c r="T4" s="158"/>
      <c r="U4" s="158"/>
      <c r="V4" s="158"/>
    </row>
    <row r="5" spans="1:22" s="159" customFormat="1" ht="27" customHeight="1">
      <c r="A5" s="25" t="s">
        <v>39</v>
      </c>
      <c r="B5" s="226"/>
      <c r="C5" s="228"/>
      <c r="D5" s="26" t="s">
        <v>46</v>
      </c>
      <c r="E5" s="26" t="s">
        <v>46</v>
      </c>
      <c r="F5" s="1" t="s">
        <v>33</v>
      </c>
      <c r="G5" s="27" t="s">
        <v>40</v>
      </c>
      <c r="H5" s="27" t="s">
        <v>41</v>
      </c>
      <c r="I5" s="1" t="s">
        <v>42</v>
      </c>
      <c r="J5" s="27" t="s">
        <v>41</v>
      </c>
      <c r="K5" s="27" t="s">
        <v>42</v>
      </c>
      <c r="L5" s="1" t="s">
        <v>43</v>
      </c>
      <c r="M5" s="232"/>
      <c r="N5" s="160"/>
      <c r="O5" s="137"/>
      <c r="P5" s="161"/>
      <c r="Q5" s="161"/>
      <c r="R5" s="161"/>
      <c r="S5" s="161"/>
      <c r="T5" s="161"/>
      <c r="U5" s="161"/>
      <c r="V5" s="162"/>
    </row>
    <row r="6" spans="1:22" ht="27" customHeight="1">
      <c r="A6" s="37">
        <v>1</v>
      </c>
      <c r="B6" s="41"/>
      <c r="C6" s="42"/>
      <c r="D6" s="64"/>
      <c r="E6" s="64"/>
      <c r="F6" s="43"/>
      <c r="G6" s="43"/>
      <c r="H6" s="47"/>
      <c r="I6" s="47"/>
      <c r="J6" s="32"/>
      <c r="K6" s="32"/>
      <c r="L6" s="32"/>
      <c r="M6" s="13"/>
      <c r="N6" s="163" t="str">
        <f>CONCATENATE(C6,H6)</f>
        <v/>
      </c>
      <c r="O6" s="126" t="str">
        <f>IF(D6&gt;=E6,"-","ERR")</f>
        <v>-</v>
      </c>
      <c r="P6" s="164"/>
      <c r="Q6" s="164"/>
      <c r="R6" s="164"/>
      <c r="S6" s="164"/>
      <c r="T6" s="164"/>
      <c r="U6" s="164"/>
      <c r="V6" s="164"/>
    </row>
    <row r="7" spans="1:22" ht="27" customHeight="1">
      <c r="A7" s="38">
        <v>2</v>
      </c>
      <c r="B7" s="44"/>
      <c r="C7" s="45"/>
      <c r="D7" s="65"/>
      <c r="E7" s="52"/>
      <c r="F7" s="46"/>
      <c r="G7" s="46"/>
      <c r="H7" s="47"/>
      <c r="I7" s="47"/>
      <c r="J7" s="2"/>
      <c r="K7" s="2"/>
      <c r="L7" s="2"/>
      <c r="M7" s="8"/>
      <c r="N7" s="163" t="str">
        <f t="shared" ref="N7:N70" si="0">CONCATENATE(C7,H7)</f>
        <v/>
      </c>
      <c r="O7" s="126" t="str">
        <f t="shared" ref="O7:O25" si="1">IF(D7&gt;=E7,"-","ERR")</f>
        <v>-</v>
      </c>
      <c r="P7" s="164"/>
      <c r="Q7" s="164"/>
      <c r="R7" s="164"/>
      <c r="S7" s="164"/>
      <c r="T7" s="164"/>
      <c r="U7" s="164"/>
      <c r="V7" s="164"/>
    </row>
    <row r="8" spans="1:22" ht="27" customHeight="1">
      <c r="A8" s="38">
        <v>3</v>
      </c>
      <c r="B8" s="44"/>
      <c r="C8" s="45"/>
      <c r="D8" s="65"/>
      <c r="E8" s="52"/>
      <c r="F8" s="46"/>
      <c r="G8" s="46"/>
      <c r="H8" s="47"/>
      <c r="I8" s="47"/>
      <c r="J8" s="2"/>
      <c r="K8" s="2"/>
      <c r="L8" s="2"/>
      <c r="M8" s="8"/>
      <c r="N8" s="163" t="str">
        <f t="shared" si="0"/>
        <v/>
      </c>
      <c r="O8" s="126" t="str">
        <f t="shared" si="1"/>
        <v>-</v>
      </c>
      <c r="P8" s="164"/>
      <c r="Q8" s="164"/>
      <c r="R8" s="164"/>
      <c r="S8" s="164"/>
      <c r="T8" s="164"/>
      <c r="U8" s="164"/>
      <c r="V8" s="164"/>
    </row>
    <row r="9" spans="1:22" ht="27" customHeight="1">
      <c r="A9" s="38">
        <v>4</v>
      </c>
      <c r="B9" s="44"/>
      <c r="C9" s="45"/>
      <c r="D9" s="65"/>
      <c r="E9" s="52"/>
      <c r="F9" s="46"/>
      <c r="G9" s="46"/>
      <c r="H9" s="47"/>
      <c r="I9" s="47"/>
      <c r="J9" s="2"/>
      <c r="K9" s="2"/>
      <c r="L9" s="2"/>
      <c r="M9" s="8"/>
      <c r="N9" s="163" t="str">
        <f t="shared" si="0"/>
        <v/>
      </c>
      <c r="O9" s="126" t="str">
        <f t="shared" si="1"/>
        <v>-</v>
      </c>
      <c r="P9" s="164"/>
      <c r="Q9" s="164"/>
      <c r="R9" s="164"/>
      <c r="S9" s="164"/>
      <c r="T9" s="164"/>
      <c r="U9" s="164"/>
      <c r="V9" s="164"/>
    </row>
    <row r="10" spans="1:22" ht="27" customHeight="1">
      <c r="A10" s="38">
        <v>5</v>
      </c>
      <c r="B10" s="44"/>
      <c r="C10" s="45"/>
      <c r="D10" s="65"/>
      <c r="E10" s="52"/>
      <c r="F10" s="46"/>
      <c r="G10" s="46"/>
      <c r="H10" s="47"/>
      <c r="I10" s="47"/>
      <c r="J10" s="2"/>
      <c r="K10" s="2"/>
      <c r="L10" s="2"/>
      <c r="M10" s="8"/>
      <c r="N10" s="163" t="str">
        <f t="shared" si="0"/>
        <v/>
      </c>
      <c r="O10" s="126" t="str">
        <f t="shared" si="1"/>
        <v>-</v>
      </c>
      <c r="P10" s="164"/>
      <c r="Q10" s="164"/>
      <c r="R10" s="164"/>
      <c r="S10" s="164"/>
      <c r="T10" s="164"/>
      <c r="U10" s="164"/>
      <c r="V10" s="164"/>
    </row>
    <row r="11" spans="1:22" ht="27" customHeight="1">
      <c r="A11" s="38">
        <v>6</v>
      </c>
      <c r="B11" s="44"/>
      <c r="C11" s="45"/>
      <c r="D11" s="65"/>
      <c r="E11" s="52"/>
      <c r="F11" s="46"/>
      <c r="G11" s="46"/>
      <c r="H11" s="47"/>
      <c r="I11" s="47"/>
      <c r="J11" s="2"/>
      <c r="K11" s="2"/>
      <c r="L11" s="2"/>
      <c r="M11" s="8"/>
      <c r="N11" s="163" t="str">
        <f t="shared" si="0"/>
        <v/>
      </c>
      <c r="O11" s="126" t="str">
        <f t="shared" si="1"/>
        <v>-</v>
      </c>
      <c r="P11" s="164"/>
      <c r="Q11" s="164"/>
      <c r="R11" s="164"/>
      <c r="S11" s="164"/>
      <c r="T11" s="164"/>
      <c r="U11" s="164"/>
      <c r="V11" s="164"/>
    </row>
    <row r="12" spans="1:22" ht="27" customHeight="1">
      <c r="A12" s="38">
        <v>7</v>
      </c>
      <c r="B12" s="44"/>
      <c r="C12" s="45"/>
      <c r="D12" s="65"/>
      <c r="E12" s="52"/>
      <c r="F12" s="46"/>
      <c r="G12" s="46"/>
      <c r="H12" s="47"/>
      <c r="I12" s="47"/>
      <c r="J12" s="2"/>
      <c r="K12" s="2"/>
      <c r="L12" s="2"/>
      <c r="M12" s="8"/>
      <c r="N12" s="163" t="str">
        <f t="shared" si="0"/>
        <v/>
      </c>
      <c r="O12" s="126" t="str">
        <f t="shared" si="1"/>
        <v>-</v>
      </c>
      <c r="P12" s="164"/>
      <c r="Q12" s="164"/>
      <c r="R12" s="164"/>
      <c r="S12" s="164"/>
      <c r="T12" s="164"/>
      <c r="U12" s="164"/>
      <c r="V12" s="164"/>
    </row>
    <row r="13" spans="1:22" ht="27" customHeight="1">
      <c r="A13" s="38">
        <v>8</v>
      </c>
      <c r="B13" s="44"/>
      <c r="C13" s="45"/>
      <c r="D13" s="65"/>
      <c r="E13" s="52"/>
      <c r="F13" s="46"/>
      <c r="G13" s="46"/>
      <c r="H13" s="47"/>
      <c r="I13" s="47"/>
      <c r="J13" s="2"/>
      <c r="K13" s="2"/>
      <c r="L13" s="2"/>
      <c r="M13" s="8"/>
      <c r="N13" s="163" t="str">
        <f t="shared" si="0"/>
        <v/>
      </c>
      <c r="O13" s="126" t="str">
        <f t="shared" si="1"/>
        <v>-</v>
      </c>
      <c r="P13" s="164"/>
      <c r="Q13" s="164"/>
      <c r="R13" s="164"/>
      <c r="S13" s="164"/>
      <c r="T13" s="164"/>
      <c r="U13" s="164"/>
      <c r="V13" s="164"/>
    </row>
    <row r="14" spans="1:22" ht="27" customHeight="1">
      <c r="A14" s="38">
        <v>9</v>
      </c>
      <c r="B14" s="44"/>
      <c r="C14" s="45"/>
      <c r="D14" s="65"/>
      <c r="E14" s="52"/>
      <c r="F14" s="46"/>
      <c r="G14" s="46"/>
      <c r="H14" s="47"/>
      <c r="I14" s="47"/>
      <c r="J14" s="2"/>
      <c r="K14" s="2"/>
      <c r="L14" s="2"/>
      <c r="M14" s="8"/>
      <c r="N14" s="163" t="str">
        <f t="shared" si="0"/>
        <v/>
      </c>
      <c r="O14" s="126" t="str">
        <f t="shared" si="1"/>
        <v>-</v>
      </c>
      <c r="P14" s="164"/>
      <c r="Q14" s="164"/>
      <c r="R14" s="164"/>
      <c r="S14" s="164"/>
      <c r="T14" s="164"/>
      <c r="U14" s="164"/>
      <c r="V14" s="164"/>
    </row>
    <row r="15" spans="1:22" ht="27" customHeight="1">
      <c r="A15" s="38">
        <v>10</v>
      </c>
      <c r="B15" s="44"/>
      <c r="C15" s="45"/>
      <c r="D15" s="65"/>
      <c r="E15" s="52"/>
      <c r="F15" s="46"/>
      <c r="G15" s="46"/>
      <c r="H15" s="47"/>
      <c r="I15" s="47"/>
      <c r="J15" s="2"/>
      <c r="K15" s="2"/>
      <c r="L15" s="2"/>
      <c r="M15" s="8"/>
      <c r="N15" s="163" t="str">
        <f t="shared" si="0"/>
        <v/>
      </c>
      <c r="O15" s="126" t="str">
        <f t="shared" si="1"/>
        <v>-</v>
      </c>
      <c r="P15" s="164"/>
      <c r="Q15" s="164"/>
      <c r="R15" s="164"/>
      <c r="S15" s="164"/>
      <c r="T15" s="164"/>
      <c r="U15" s="164"/>
      <c r="V15" s="164"/>
    </row>
    <row r="16" spans="1:22" ht="27" customHeight="1">
      <c r="A16" s="38">
        <v>11</v>
      </c>
      <c r="B16" s="44"/>
      <c r="C16" s="45"/>
      <c r="D16" s="65"/>
      <c r="E16" s="52"/>
      <c r="F16" s="46"/>
      <c r="G16" s="46"/>
      <c r="H16" s="47"/>
      <c r="I16" s="47"/>
      <c r="J16" s="2"/>
      <c r="K16" s="2"/>
      <c r="L16" s="2"/>
      <c r="M16" s="8"/>
      <c r="N16" s="163" t="str">
        <f t="shared" si="0"/>
        <v/>
      </c>
      <c r="O16" s="126" t="str">
        <f t="shared" si="1"/>
        <v>-</v>
      </c>
      <c r="P16" s="164"/>
      <c r="Q16" s="164"/>
      <c r="R16" s="164"/>
      <c r="S16" s="164"/>
      <c r="T16" s="164"/>
      <c r="U16" s="164"/>
      <c r="V16" s="164"/>
    </row>
    <row r="17" spans="1:25" ht="27" customHeight="1">
      <c r="A17" s="38">
        <v>12</v>
      </c>
      <c r="B17" s="44"/>
      <c r="C17" s="45"/>
      <c r="D17" s="65"/>
      <c r="E17" s="52"/>
      <c r="F17" s="46"/>
      <c r="G17" s="46"/>
      <c r="H17" s="47"/>
      <c r="I17" s="47"/>
      <c r="J17" s="2"/>
      <c r="K17" s="2"/>
      <c r="L17" s="2"/>
      <c r="M17" s="8"/>
      <c r="N17" s="163" t="str">
        <f t="shared" si="0"/>
        <v/>
      </c>
      <c r="O17" s="126" t="str">
        <f t="shared" si="1"/>
        <v>-</v>
      </c>
      <c r="P17" s="164"/>
      <c r="Q17" s="164"/>
      <c r="R17" s="164"/>
      <c r="S17" s="164"/>
      <c r="T17" s="164"/>
      <c r="U17" s="164"/>
      <c r="V17" s="164"/>
    </row>
    <row r="18" spans="1:25" ht="27" customHeight="1">
      <c r="A18" s="38">
        <v>13</v>
      </c>
      <c r="B18" s="44"/>
      <c r="C18" s="45"/>
      <c r="D18" s="65"/>
      <c r="E18" s="52"/>
      <c r="F18" s="46"/>
      <c r="G18" s="46"/>
      <c r="H18" s="47"/>
      <c r="I18" s="48"/>
      <c r="J18" s="2"/>
      <c r="K18" s="2"/>
      <c r="L18" s="2"/>
      <c r="M18" s="8"/>
      <c r="N18" s="163" t="str">
        <f t="shared" si="0"/>
        <v/>
      </c>
      <c r="O18" s="126" t="str">
        <f t="shared" si="1"/>
        <v>-</v>
      </c>
      <c r="P18" s="164"/>
      <c r="Q18" s="164"/>
      <c r="R18" s="164"/>
      <c r="S18" s="164"/>
      <c r="T18" s="164"/>
      <c r="U18" s="164"/>
      <c r="V18" s="164"/>
    </row>
    <row r="19" spans="1:25" ht="27" customHeight="1">
      <c r="A19" s="38">
        <v>14</v>
      </c>
      <c r="B19" s="44"/>
      <c r="C19" s="45"/>
      <c r="D19" s="65"/>
      <c r="E19" s="52"/>
      <c r="F19" s="46"/>
      <c r="G19" s="46"/>
      <c r="H19" s="47"/>
      <c r="I19" s="68"/>
      <c r="J19" s="2"/>
      <c r="K19" s="2"/>
      <c r="L19" s="2"/>
      <c r="M19" s="8"/>
      <c r="N19" s="163" t="str">
        <f t="shared" si="0"/>
        <v/>
      </c>
      <c r="O19" s="126" t="str">
        <f t="shared" si="1"/>
        <v>-</v>
      </c>
      <c r="P19" s="164"/>
      <c r="Q19" s="164"/>
      <c r="R19" s="164"/>
      <c r="S19" s="164"/>
      <c r="T19" s="164"/>
      <c r="U19" s="164"/>
      <c r="V19" s="164"/>
    </row>
    <row r="20" spans="1:25" ht="27" customHeight="1">
      <c r="A20" s="38">
        <v>15</v>
      </c>
      <c r="B20" s="44"/>
      <c r="C20" s="45"/>
      <c r="D20" s="65"/>
      <c r="E20" s="52"/>
      <c r="F20" s="46"/>
      <c r="G20" s="46"/>
      <c r="H20" s="47"/>
      <c r="I20" s="48"/>
      <c r="J20" s="2"/>
      <c r="K20" s="2"/>
      <c r="L20" s="2"/>
      <c r="M20" s="8"/>
      <c r="N20" s="163" t="str">
        <f t="shared" si="0"/>
        <v/>
      </c>
      <c r="O20" s="126" t="str">
        <f t="shared" si="1"/>
        <v>-</v>
      </c>
      <c r="P20" s="164"/>
      <c r="Q20" s="164"/>
      <c r="R20" s="164"/>
      <c r="S20" s="164"/>
      <c r="T20" s="164"/>
      <c r="U20" s="164"/>
      <c r="V20" s="164"/>
    </row>
    <row r="21" spans="1:25" ht="27" customHeight="1">
      <c r="A21" s="38">
        <v>16</v>
      </c>
      <c r="B21" s="44"/>
      <c r="C21" s="45"/>
      <c r="D21" s="65"/>
      <c r="E21" s="52"/>
      <c r="F21" s="46"/>
      <c r="G21" s="46"/>
      <c r="H21" s="47"/>
      <c r="I21" s="47"/>
      <c r="J21" s="2"/>
      <c r="K21" s="2"/>
      <c r="L21" s="2"/>
      <c r="M21" s="8"/>
      <c r="N21" s="163" t="str">
        <f t="shared" si="0"/>
        <v/>
      </c>
      <c r="O21" s="126" t="str">
        <f t="shared" si="1"/>
        <v>-</v>
      </c>
      <c r="P21" s="164"/>
      <c r="Q21" s="164"/>
      <c r="R21" s="164"/>
      <c r="S21" s="164"/>
      <c r="T21" s="164"/>
      <c r="U21" s="164"/>
      <c r="V21" s="165"/>
    </row>
    <row r="22" spans="1:25" ht="27" customHeight="1">
      <c r="A22" s="38">
        <v>17</v>
      </c>
      <c r="B22" s="44"/>
      <c r="C22" s="45"/>
      <c r="D22" s="65"/>
      <c r="E22" s="52"/>
      <c r="F22" s="46"/>
      <c r="G22" s="46"/>
      <c r="H22" s="47"/>
      <c r="I22" s="47"/>
      <c r="J22" s="2"/>
      <c r="K22" s="2"/>
      <c r="L22" s="2"/>
      <c r="M22" s="8"/>
      <c r="N22" s="163" t="str">
        <f t="shared" si="0"/>
        <v/>
      </c>
      <c r="O22" s="126" t="str">
        <f t="shared" si="1"/>
        <v>-</v>
      </c>
      <c r="P22" s="164"/>
      <c r="Q22" s="164"/>
      <c r="R22" s="164"/>
      <c r="S22" s="164"/>
      <c r="T22" s="164"/>
      <c r="U22" s="164"/>
      <c r="V22" s="165"/>
    </row>
    <row r="23" spans="1:25" ht="27" customHeight="1">
      <c r="A23" s="38">
        <v>18</v>
      </c>
      <c r="B23" s="44"/>
      <c r="C23" s="45"/>
      <c r="D23" s="65"/>
      <c r="E23" s="52"/>
      <c r="F23" s="46"/>
      <c r="G23" s="46"/>
      <c r="H23" s="47"/>
      <c r="I23" s="47"/>
      <c r="J23" s="2"/>
      <c r="K23" s="2"/>
      <c r="L23" s="2"/>
      <c r="M23" s="8"/>
      <c r="N23" s="163" t="str">
        <f t="shared" si="0"/>
        <v/>
      </c>
      <c r="O23" s="126" t="str">
        <f t="shared" si="1"/>
        <v>-</v>
      </c>
      <c r="P23" s="164"/>
      <c r="Q23" s="164"/>
      <c r="R23" s="164"/>
      <c r="S23" s="164"/>
      <c r="T23" s="164"/>
      <c r="U23" s="164"/>
      <c r="V23" s="165"/>
    </row>
    <row r="24" spans="1:25" ht="27" customHeight="1">
      <c r="A24" s="38">
        <v>19</v>
      </c>
      <c r="B24" s="44"/>
      <c r="C24" s="45"/>
      <c r="D24" s="65"/>
      <c r="E24" s="52"/>
      <c r="F24" s="46"/>
      <c r="G24" s="46"/>
      <c r="H24" s="47"/>
      <c r="I24" s="47"/>
      <c r="J24" s="2"/>
      <c r="K24" s="2"/>
      <c r="L24" s="2"/>
      <c r="M24" s="8"/>
      <c r="N24" s="163" t="str">
        <f t="shared" si="0"/>
        <v/>
      </c>
      <c r="O24" s="126" t="str">
        <f t="shared" si="1"/>
        <v>-</v>
      </c>
      <c r="P24" s="164"/>
      <c r="Q24" s="164"/>
      <c r="R24" s="164"/>
      <c r="S24" s="164"/>
      <c r="T24" s="164"/>
      <c r="U24" s="164"/>
      <c r="V24" s="165"/>
    </row>
    <row r="25" spans="1:25" ht="27" customHeight="1">
      <c r="A25" s="39">
        <v>20</v>
      </c>
      <c r="B25" s="49"/>
      <c r="C25" s="50"/>
      <c r="D25" s="66"/>
      <c r="E25" s="53"/>
      <c r="F25" s="51"/>
      <c r="G25" s="51"/>
      <c r="H25" s="55"/>
      <c r="I25" s="55"/>
      <c r="J25" s="3"/>
      <c r="K25" s="3"/>
      <c r="L25" s="3"/>
      <c r="M25" s="18"/>
      <c r="N25" s="163" t="str">
        <f t="shared" si="0"/>
        <v/>
      </c>
      <c r="O25" s="126" t="str">
        <f t="shared" si="1"/>
        <v>-</v>
      </c>
      <c r="P25" s="164"/>
      <c r="Q25" s="164"/>
      <c r="R25" s="164"/>
      <c r="S25" s="164"/>
      <c r="T25" s="164"/>
      <c r="U25" s="164"/>
      <c r="V25" s="166"/>
      <c r="W25" s="164"/>
      <c r="X25" s="164"/>
      <c r="Y25" s="164"/>
    </row>
    <row r="26" spans="1:25" ht="27" customHeight="1">
      <c r="A26" s="167" t="s">
        <v>44</v>
      </c>
      <c r="B26" s="199"/>
      <c r="C26" s="199"/>
      <c r="D26" s="200">
        <f>SUM(D6:D25)</f>
        <v>0</v>
      </c>
      <c r="E26" s="201">
        <f>SUM(E6:E25)</f>
        <v>0</v>
      </c>
      <c r="F26" s="202"/>
      <c r="G26" s="202"/>
      <c r="H26" s="93"/>
      <c r="I26" s="93"/>
      <c r="J26" s="170"/>
      <c r="K26" s="170"/>
      <c r="L26" s="170"/>
      <c r="M26" s="171"/>
      <c r="N26" s="163" t="str">
        <f t="shared" si="0"/>
        <v/>
      </c>
      <c r="O26" s="126"/>
      <c r="P26" s="164"/>
      <c r="Q26" s="164"/>
      <c r="R26" s="164"/>
      <c r="S26" s="164"/>
      <c r="T26" s="164"/>
      <c r="U26" s="164"/>
      <c r="V26" s="166"/>
      <c r="W26" s="164"/>
      <c r="X26" s="164"/>
      <c r="Y26" s="164"/>
    </row>
    <row r="27" spans="1:25" ht="27" customHeight="1">
      <c r="A27" s="37">
        <v>21</v>
      </c>
      <c r="B27" s="41"/>
      <c r="C27" s="42"/>
      <c r="D27" s="64"/>
      <c r="E27" s="54"/>
      <c r="F27" s="43"/>
      <c r="G27" s="43"/>
      <c r="H27" s="40"/>
      <c r="I27" s="40"/>
      <c r="J27" s="32"/>
      <c r="K27" s="32"/>
      <c r="L27" s="32"/>
      <c r="M27" s="13"/>
      <c r="N27" s="163" t="str">
        <f t="shared" si="0"/>
        <v/>
      </c>
      <c r="O27" s="126" t="str">
        <f>IF(D27&gt;=E27,"-","ERR")</f>
        <v>-</v>
      </c>
      <c r="P27" s="164"/>
      <c r="Q27" s="164"/>
      <c r="R27" s="164"/>
      <c r="S27" s="164"/>
      <c r="T27" s="164"/>
      <c r="U27" s="164"/>
      <c r="V27" s="164"/>
    </row>
    <row r="28" spans="1:25" ht="27" customHeight="1">
      <c r="A28" s="38">
        <v>22</v>
      </c>
      <c r="B28" s="44"/>
      <c r="C28" s="45"/>
      <c r="D28" s="65"/>
      <c r="E28" s="52"/>
      <c r="F28" s="46"/>
      <c r="G28" s="46"/>
      <c r="H28" s="47"/>
      <c r="I28" s="47"/>
      <c r="J28" s="2"/>
      <c r="K28" s="2"/>
      <c r="L28" s="2"/>
      <c r="M28" s="8"/>
      <c r="N28" s="163" t="str">
        <f t="shared" si="0"/>
        <v/>
      </c>
      <c r="O28" s="126" t="str">
        <f t="shared" ref="O28:O43" si="2">IF(D28&gt;=E28,"-","ERR")</f>
        <v>-</v>
      </c>
      <c r="P28" s="164"/>
      <c r="Q28" s="164"/>
      <c r="R28" s="164"/>
      <c r="S28" s="164"/>
      <c r="T28" s="164"/>
      <c r="U28" s="164"/>
      <c r="V28" s="164"/>
    </row>
    <row r="29" spans="1:25" ht="27" customHeight="1">
      <c r="A29" s="38">
        <v>23</v>
      </c>
      <c r="B29" s="44"/>
      <c r="C29" s="45"/>
      <c r="D29" s="65"/>
      <c r="E29" s="52"/>
      <c r="F29" s="46"/>
      <c r="G29" s="46"/>
      <c r="H29" s="47"/>
      <c r="I29" s="47"/>
      <c r="J29" s="2"/>
      <c r="K29" s="2"/>
      <c r="L29" s="2"/>
      <c r="M29" s="8"/>
      <c r="N29" s="163" t="str">
        <f t="shared" si="0"/>
        <v/>
      </c>
      <c r="O29" s="126" t="str">
        <f t="shared" si="2"/>
        <v>-</v>
      </c>
      <c r="P29" s="164"/>
      <c r="Q29" s="164"/>
      <c r="R29" s="164"/>
      <c r="S29" s="164"/>
      <c r="T29" s="164"/>
      <c r="U29" s="164"/>
      <c r="V29" s="164"/>
    </row>
    <row r="30" spans="1:25" ht="27" customHeight="1">
      <c r="A30" s="38">
        <v>24</v>
      </c>
      <c r="B30" s="44"/>
      <c r="C30" s="45"/>
      <c r="D30" s="65"/>
      <c r="E30" s="52"/>
      <c r="F30" s="46"/>
      <c r="G30" s="46"/>
      <c r="H30" s="47"/>
      <c r="I30" s="47"/>
      <c r="J30" s="2"/>
      <c r="K30" s="2"/>
      <c r="L30" s="2"/>
      <c r="M30" s="8"/>
      <c r="N30" s="163" t="str">
        <f t="shared" si="0"/>
        <v/>
      </c>
      <c r="O30" s="126" t="str">
        <f t="shared" si="2"/>
        <v>-</v>
      </c>
      <c r="P30" s="164"/>
      <c r="Q30" s="164"/>
      <c r="R30" s="164"/>
      <c r="S30" s="164"/>
      <c r="T30" s="164"/>
      <c r="U30" s="164"/>
      <c r="V30" s="164"/>
    </row>
    <row r="31" spans="1:25" ht="27" customHeight="1">
      <c r="A31" s="38">
        <v>25</v>
      </c>
      <c r="B31" s="44"/>
      <c r="C31" s="45"/>
      <c r="D31" s="65"/>
      <c r="E31" s="52"/>
      <c r="F31" s="46"/>
      <c r="G31" s="46"/>
      <c r="H31" s="47"/>
      <c r="I31" s="47"/>
      <c r="J31" s="2"/>
      <c r="K31" s="2"/>
      <c r="L31" s="2"/>
      <c r="M31" s="8"/>
      <c r="N31" s="163" t="str">
        <f t="shared" si="0"/>
        <v/>
      </c>
      <c r="O31" s="126" t="str">
        <f t="shared" si="2"/>
        <v>-</v>
      </c>
      <c r="P31" s="164"/>
      <c r="Q31" s="164"/>
      <c r="R31" s="164"/>
      <c r="S31" s="164"/>
      <c r="T31" s="164"/>
      <c r="U31" s="164"/>
      <c r="V31" s="164"/>
    </row>
    <row r="32" spans="1:25" ht="27" customHeight="1">
      <c r="A32" s="38">
        <v>26</v>
      </c>
      <c r="B32" s="44"/>
      <c r="C32" s="45"/>
      <c r="D32" s="65"/>
      <c r="E32" s="52"/>
      <c r="F32" s="46"/>
      <c r="G32" s="46"/>
      <c r="H32" s="55"/>
      <c r="I32" s="55"/>
      <c r="J32" s="2"/>
      <c r="K32" s="2"/>
      <c r="L32" s="2"/>
      <c r="M32" s="8"/>
      <c r="N32" s="163" t="str">
        <f t="shared" si="0"/>
        <v/>
      </c>
      <c r="O32" s="126" t="str">
        <f t="shared" si="2"/>
        <v>-</v>
      </c>
      <c r="P32" s="164"/>
      <c r="Q32" s="164"/>
      <c r="R32" s="164"/>
      <c r="S32" s="164"/>
      <c r="T32" s="164"/>
      <c r="U32" s="164"/>
      <c r="V32" s="164"/>
    </row>
    <row r="33" spans="1:25" ht="27" customHeight="1">
      <c r="A33" s="38">
        <v>27</v>
      </c>
      <c r="B33" s="44"/>
      <c r="C33" s="45"/>
      <c r="D33" s="65"/>
      <c r="E33" s="52"/>
      <c r="F33" s="46"/>
      <c r="G33" s="46"/>
      <c r="H33" s="47"/>
      <c r="I33" s="47"/>
      <c r="J33" s="2"/>
      <c r="K33" s="2"/>
      <c r="L33" s="2"/>
      <c r="M33" s="8"/>
      <c r="N33" s="163" t="str">
        <f t="shared" si="0"/>
        <v/>
      </c>
      <c r="O33" s="126" t="str">
        <f t="shared" si="2"/>
        <v>-</v>
      </c>
      <c r="P33" s="164"/>
      <c r="Q33" s="164"/>
      <c r="R33" s="164"/>
      <c r="S33" s="164"/>
      <c r="T33" s="164"/>
      <c r="U33" s="164"/>
      <c r="V33" s="164"/>
    </row>
    <row r="34" spans="1:25" ht="27" customHeight="1">
      <c r="A34" s="38">
        <v>28</v>
      </c>
      <c r="B34" s="44"/>
      <c r="C34" s="45"/>
      <c r="D34" s="65"/>
      <c r="E34" s="52"/>
      <c r="F34" s="46"/>
      <c r="G34" s="46"/>
      <c r="H34" s="47"/>
      <c r="I34" s="47"/>
      <c r="J34" s="2"/>
      <c r="K34" s="2"/>
      <c r="L34" s="67"/>
      <c r="M34" s="8"/>
      <c r="N34" s="163" t="str">
        <f t="shared" si="0"/>
        <v/>
      </c>
      <c r="O34" s="126" t="str">
        <f t="shared" si="2"/>
        <v>-</v>
      </c>
      <c r="P34" s="164"/>
      <c r="Q34" s="164"/>
      <c r="R34" s="164"/>
      <c r="S34" s="164"/>
      <c r="T34" s="164"/>
      <c r="U34" s="164"/>
      <c r="V34" s="164"/>
    </row>
    <row r="35" spans="1:25" ht="27" customHeight="1">
      <c r="A35" s="38">
        <v>29</v>
      </c>
      <c r="B35" s="44"/>
      <c r="C35" s="45"/>
      <c r="D35" s="65"/>
      <c r="E35" s="52"/>
      <c r="F35" s="46"/>
      <c r="G35" s="46"/>
      <c r="H35" s="47"/>
      <c r="I35" s="47"/>
      <c r="J35" s="2"/>
      <c r="K35" s="2"/>
      <c r="L35" s="2"/>
      <c r="M35" s="8"/>
      <c r="N35" s="163" t="str">
        <f t="shared" si="0"/>
        <v/>
      </c>
      <c r="O35" s="126" t="str">
        <f t="shared" si="2"/>
        <v>-</v>
      </c>
      <c r="P35" s="164"/>
      <c r="Q35" s="164"/>
      <c r="R35" s="164"/>
      <c r="S35" s="164"/>
      <c r="T35" s="164"/>
      <c r="U35" s="164"/>
      <c r="V35" s="164"/>
    </row>
    <row r="36" spans="1:25" ht="27" customHeight="1">
      <c r="A36" s="38">
        <v>30</v>
      </c>
      <c r="B36" s="4"/>
      <c r="C36" s="5"/>
      <c r="D36" s="34"/>
      <c r="E36" s="34"/>
      <c r="F36" s="6"/>
      <c r="G36" s="6"/>
      <c r="H36" s="7"/>
      <c r="I36" s="7"/>
      <c r="J36" s="2"/>
      <c r="K36" s="2"/>
      <c r="L36" s="2"/>
      <c r="M36" s="8"/>
      <c r="N36" s="163" t="str">
        <f t="shared" si="0"/>
        <v/>
      </c>
      <c r="O36" s="126" t="str">
        <f t="shared" si="2"/>
        <v>-</v>
      </c>
      <c r="P36" s="164"/>
      <c r="Q36" s="164"/>
      <c r="R36" s="164"/>
      <c r="S36" s="164"/>
      <c r="T36" s="164"/>
      <c r="U36" s="164"/>
      <c r="V36" s="164"/>
    </row>
    <row r="37" spans="1:25" ht="27" customHeight="1">
      <c r="A37" s="38">
        <v>31</v>
      </c>
      <c r="B37" s="4"/>
      <c r="C37" s="5"/>
      <c r="D37" s="34"/>
      <c r="E37" s="34"/>
      <c r="F37" s="6"/>
      <c r="G37" s="6"/>
      <c r="H37" s="7"/>
      <c r="I37" s="7"/>
      <c r="J37" s="2"/>
      <c r="K37" s="2"/>
      <c r="L37" s="67"/>
      <c r="M37" s="8"/>
      <c r="N37" s="163" t="str">
        <f t="shared" si="0"/>
        <v/>
      </c>
      <c r="O37" s="126" t="str">
        <f t="shared" si="2"/>
        <v>-</v>
      </c>
      <c r="P37" s="164"/>
      <c r="Q37" s="164"/>
      <c r="R37" s="164"/>
      <c r="S37" s="164"/>
      <c r="T37" s="164"/>
      <c r="U37" s="164"/>
      <c r="V37" s="164"/>
    </row>
    <row r="38" spans="1:25" ht="27" customHeight="1">
      <c r="A38" s="38">
        <v>32</v>
      </c>
      <c r="B38" s="4"/>
      <c r="C38" s="5"/>
      <c r="D38" s="34"/>
      <c r="E38" s="34"/>
      <c r="F38" s="6"/>
      <c r="G38" s="6"/>
      <c r="H38" s="7"/>
      <c r="I38" s="7"/>
      <c r="J38" s="2"/>
      <c r="K38" s="2"/>
      <c r="L38" s="2"/>
      <c r="M38" s="8"/>
      <c r="N38" s="163" t="str">
        <f t="shared" si="0"/>
        <v/>
      </c>
      <c r="O38" s="126" t="str">
        <f t="shared" si="2"/>
        <v>-</v>
      </c>
      <c r="P38" s="164"/>
      <c r="Q38" s="164"/>
      <c r="R38" s="164"/>
      <c r="S38" s="164"/>
      <c r="T38" s="164"/>
      <c r="U38" s="164"/>
      <c r="V38" s="164"/>
    </row>
    <row r="39" spans="1:25" ht="27" customHeight="1">
      <c r="A39" s="38">
        <v>33</v>
      </c>
      <c r="B39" s="4"/>
      <c r="C39" s="5"/>
      <c r="D39" s="34"/>
      <c r="E39" s="34"/>
      <c r="F39" s="6"/>
      <c r="G39" s="6"/>
      <c r="H39" s="7"/>
      <c r="I39" s="7"/>
      <c r="J39" s="2"/>
      <c r="K39" s="2"/>
      <c r="L39" s="2"/>
      <c r="M39" s="8"/>
      <c r="N39" s="163" t="str">
        <f t="shared" si="0"/>
        <v/>
      </c>
      <c r="O39" s="126" t="str">
        <f t="shared" si="2"/>
        <v>-</v>
      </c>
      <c r="P39" s="164"/>
      <c r="Q39" s="164"/>
      <c r="R39" s="164"/>
      <c r="S39" s="164"/>
      <c r="T39" s="164"/>
      <c r="U39" s="164"/>
      <c r="V39" s="164"/>
    </row>
    <row r="40" spans="1:25" ht="27" customHeight="1">
      <c r="A40" s="38">
        <v>34</v>
      </c>
      <c r="B40" s="4"/>
      <c r="C40" s="5"/>
      <c r="D40" s="34"/>
      <c r="E40" s="34"/>
      <c r="F40" s="6"/>
      <c r="G40" s="6"/>
      <c r="H40" s="7"/>
      <c r="I40" s="7"/>
      <c r="J40" s="2"/>
      <c r="K40" s="2"/>
      <c r="L40" s="2"/>
      <c r="M40" s="8"/>
      <c r="N40" s="163" t="str">
        <f t="shared" si="0"/>
        <v/>
      </c>
      <c r="O40" s="126" t="str">
        <f t="shared" si="2"/>
        <v>-</v>
      </c>
      <c r="P40" s="164"/>
      <c r="Q40" s="164"/>
      <c r="R40" s="164"/>
      <c r="S40" s="164"/>
      <c r="T40" s="164"/>
      <c r="U40" s="164"/>
      <c r="V40" s="164"/>
    </row>
    <row r="41" spans="1:25" ht="27" customHeight="1">
      <c r="A41" s="38">
        <v>35</v>
      </c>
      <c r="B41" s="4"/>
      <c r="C41" s="5"/>
      <c r="D41" s="34"/>
      <c r="E41" s="34"/>
      <c r="F41" s="6"/>
      <c r="G41" s="6"/>
      <c r="H41" s="7"/>
      <c r="I41" s="7"/>
      <c r="J41" s="2"/>
      <c r="K41" s="2"/>
      <c r="L41" s="2"/>
      <c r="M41" s="8"/>
      <c r="N41" s="163" t="str">
        <f t="shared" si="0"/>
        <v/>
      </c>
      <c r="O41" s="126" t="str">
        <f t="shared" si="2"/>
        <v>-</v>
      </c>
      <c r="P41" s="164"/>
      <c r="Q41" s="164"/>
      <c r="R41" s="164"/>
      <c r="S41" s="164"/>
      <c r="T41" s="164"/>
      <c r="U41" s="164"/>
      <c r="V41" s="164"/>
    </row>
    <row r="42" spans="1:25" ht="27" customHeight="1">
      <c r="A42" s="38">
        <v>36</v>
      </c>
      <c r="B42" s="4"/>
      <c r="C42" s="5"/>
      <c r="D42" s="34"/>
      <c r="E42" s="34"/>
      <c r="F42" s="6"/>
      <c r="G42" s="6"/>
      <c r="H42" s="7"/>
      <c r="I42" s="7"/>
      <c r="J42" s="2"/>
      <c r="K42" s="2"/>
      <c r="L42" s="2"/>
      <c r="M42" s="8"/>
      <c r="N42" s="163" t="str">
        <f t="shared" si="0"/>
        <v/>
      </c>
      <c r="O42" s="126" t="str">
        <f t="shared" si="2"/>
        <v>-</v>
      </c>
      <c r="P42" s="164"/>
      <c r="Q42" s="164"/>
      <c r="R42" s="164"/>
      <c r="S42" s="164"/>
      <c r="T42" s="164"/>
      <c r="U42" s="164"/>
      <c r="V42" s="165"/>
    </row>
    <row r="43" spans="1:25" ht="27" customHeight="1">
      <c r="A43" s="38">
        <v>37</v>
      </c>
      <c r="B43" s="4"/>
      <c r="C43" s="5"/>
      <c r="D43" s="34"/>
      <c r="E43" s="34"/>
      <c r="F43" s="6"/>
      <c r="G43" s="6"/>
      <c r="H43" s="7"/>
      <c r="I43" s="7"/>
      <c r="J43" s="2"/>
      <c r="K43" s="2"/>
      <c r="L43" s="2"/>
      <c r="M43" s="8"/>
      <c r="N43" s="163" t="str">
        <f t="shared" si="0"/>
        <v/>
      </c>
      <c r="O43" s="126" t="str">
        <f t="shared" si="2"/>
        <v>-</v>
      </c>
      <c r="P43" s="164"/>
      <c r="Q43" s="164"/>
      <c r="R43" s="164"/>
      <c r="S43" s="164"/>
      <c r="T43" s="164"/>
      <c r="U43" s="164"/>
      <c r="V43" s="165"/>
    </row>
    <row r="44" spans="1:25" ht="27" customHeight="1">
      <c r="A44" s="38">
        <v>38</v>
      </c>
      <c r="B44" s="4"/>
      <c r="C44" s="5"/>
      <c r="D44" s="34"/>
      <c r="E44" s="34"/>
      <c r="F44" s="6"/>
      <c r="G44" s="6"/>
      <c r="H44" s="7"/>
      <c r="I44" s="7"/>
      <c r="J44" s="2"/>
      <c r="K44" s="2"/>
      <c r="L44" s="2"/>
      <c r="M44" s="8"/>
      <c r="N44" s="163" t="str">
        <f>CONCATENATE(C44,H44)</f>
        <v/>
      </c>
      <c r="O44" s="126" t="str">
        <f>IF(D44&gt;=E44,"-","ERR")</f>
        <v>-</v>
      </c>
      <c r="P44" s="164"/>
      <c r="Q44" s="164"/>
      <c r="R44" s="164"/>
      <c r="S44" s="164"/>
      <c r="T44" s="164"/>
      <c r="U44" s="164"/>
      <c r="V44" s="165"/>
    </row>
    <row r="45" spans="1:25" ht="27" customHeight="1">
      <c r="A45" s="38">
        <v>39</v>
      </c>
      <c r="B45" s="4"/>
      <c r="C45" s="5"/>
      <c r="D45" s="34"/>
      <c r="E45" s="34"/>
      <c r="F45" s="6"/>
      <c r="G45" s="6"/>
      <c r="H45" s="7"/>
      <c r="I45" s="7"/>
      <c r="J45" s="2"/>
      <c r="K45" s="2"/>
      <c r="L45" s="2"/>
      <c r="M45" s="8"/>
      <c r="N45" s="163" t="str">
        <f>CONCATENATE(C45,H45)</f>
        <v/>
      </c>
      <c r="O45" s="126" t="str">
        <f>IF(D45&gt;=E45,"-","ERR")</f>
        <v>-</v>
      </c>
      <c r="P45" s="164"/>
      <c r="Q45" s="164"/>
      <c r="R45" s="164"/>
      <c r="S45" s="164"/>
      <c r="T45" s="164"/>
      <c r="U45" s="164"/>
      <c r="V45" s="165"/>
    </row>
    <row r="46" spans="1:25" ht="27" customHeight="1">
      <c r="A46" s="39">
        <v>40</v>
      </c>
      <c r="B46" s="14"/>
      <c r="C46" s="15"/>
      <c r="D46" s="35"/>
      <c r="E46" s="35"/>
      <c r="F46" s="16"/>
      <c r="G46" s="16"/>
      <c r="H46" s="17"/>
      <c r="I46" s="17"/>
      <c r="J46" s="3"/>
      <c r="K46" s="3"/>
      <c r="L46" s="3"/>
      <c r="M46" s="18"/>
      <c r="N46" s="163" t="str">
        <f>CONCATENATE(C46,H46)</f>
        <v/>
      </c>
      <c r="O46" s="126" t="str">
        <f>IF(D46&gt;=E46,"-","ERR")</f>
        <v>-</v>
      </c>
      <c r="P46" s="164"/>
      <c r="Q46" s="164"/>
      <c r="R46" s="164"/>
      <c r="S46" s="164"/>
      <c r="T46" s="164"/>
      <c r="U46" s="164"/>
      <c r="V46" s="166"/>
      <c r="W46" s="164"/>
      <c r="X46" s="164"/>
      <c r="Y46" s="164"/>
    </row>
    <row r="47" spans="1:25" ht="27" customHeight="1">
      <c r="A47" s="167" t="s">
        <v>44</v>
      </c>
      <c r="B47" s="168"/>
      <c r="C47" s="168"/>
      <c r="D47" s="169"/>
      <c r="E47" s="169">
        <f>SUM(E27:E46)</f>
        <v>0</v>
      </c>
      <c r="F47" s="170"/>
      <c r="G47" s="170"/>
      <c r="H47" s="170"/>
      <c r="I47" s="170"/>
      <c r="J47" s="170"/>
      <c r="K47" s="170"/>
      <c r="L47" s="170"/>
      <c r="M47" s="171"/>
      <c r="N47" s="163" t="str">
        <f t="shared" si="0"/>
        <v/>
      </c>
      <c r="O47" s="126"/>
      <c r="P47" s="164"/>
      <c r="Q47" s="164"/>
      <c r="R47" s="164"/>
      <c r="S47" s="164"/>
      <c r="T47" s="164"/>
      <c r="U47" s="164"/>
      <c r="V47" s="166"/>
      <c r="W47" s="164"/>
      <c r="X47" s="164"/>
      <c r="Y47" s="164"/>
    </row>
    <row r="48" spans="1:25" ht="27" customHeight="1">
      <c r="A48" s="37">
        <v>41</v>
      </c>
      <c r="B48" s="9"/>
      <c r="C48" s="10"/>
      <c r="D48" s="33"/>
      <c r="E48" s="33"/>
      <c r="F48" s="11"/>
      <c r="G48" s="11"/>
      <c r="H48" s="12"/>
      <c r="I48" s="12"/>
      <c r="J48" s="32"/>
      <c r="K48" s="32"/>
      <c r="L48" s="32"/>
      <c r="M48" s="13"/>
      <c r="N48" s="163" t="str">
        <f t="shared" si="0"/>
        <v/>
      </c>
      <c r="O48" s="126" t="str">
        <f>IF(D48&gt;=E48,"-","ERR")</f>
        <v>-</v>
      </c>
      <c r="P48" s="164"/>
      <c r="Q48" s="164"/>
      <c r="R48" s="164"/>
      <c r="S48" s="164"/>
      <c r="T48" s="164"/>
      <c r="U48" s="164"/>
      <c r="V48" s="164"/>
    </row>
    <row r="49" spans="1:22" ht="27" customHeight="1">
      <c r="A49" s="38">
        <v>42</v>
      </c>
      <c r="B49" s="4"/>
      <c r="C49" s="5"/>
      <c r="D49" s="34"/>
      <c r="E49" s="34"/>
      <c r="F49" s="6"/>
      <c r="G49" s="6"/>
      <c r="H49" s="7"/>
      <c r="I49" s="7"/>
      <c r="J49" s="2"/>
      <c r="K49" s="2"/>
      <c r="L49" s="2"/>
      <c r="M49" s="8"/>
      <c r="N49" s="163" t="str">
        <f t="shared" si="0"/>
        <v/>
      </c>
      <c r="O49" s="126" t="str">
        <f t="shared" ref="O49:O67" si="3">IF(D49&gt;=E49,"-","ERR")</f>
        <v>-</v>
      </c>
      <c r="P49" s="164"/>
      <c r="Q49" s="164"/>
      <c r="R49" s="164"/>
      <c r="S49" s="164"/>
      <c r="T49" s="164"/>
      <c r="U49" s="164"/>
      <c r="V49" s="164"/>
    </row>
    <row r="50" spans="1:22" ht="27" customHeight="1">
      <c r="A50" s="38">
        <v>43</v>
      </c>
      <c r="B50" s="4"/>
      <c r="C50" s="5"/>
      <c r="D50" s="34"/>
      <c r="E50" s="34"/>
      <c r="F50" s="6"/>
      <c r="G50" s="6"/>
      <c r="H50" s="7"/>
      <c r="I50" s="7"/>
      <c r="J50" s="2"/>
      <c r="K50" s="2"/>
      <c r="L50" s="2"/>
      <c r="M50" s="8"/>
      <c r="N50" s="163" t="str">
        <f t="shared" si="0"/>
        <v/>
      </c>
      <c r="O50" s="126" t="str">
        <f t="shared" si="3"/>
        <v>-</v>
      </c>
      <c r="P50" s="164"/>
      <c r="Q50" s="164"/>
      <c r="R50" s="164"/>
      <c r="S50" s="164"/>
      <c r="T50" s="164"/>
      <c r="U50" s="164"/>
      <c r="V50" s="164"/>
    </row>
    <row r="51" spans="1:22" ht="27" customHeight="1">
      <c r="A51" s="38">
        <v>44</v>
      </c>
      <c r="B51" s="4"/>
      <c r="C51" s="5"/>
      <c r="D51" s="34"/>
      <c r="E51" s="34"/>
      <c r="F51" s="6"/>
      <c r="G51" s="6"/>
      <c r="H51" s="7"/>
      <c r="I51" s="7"/>
      <c r="J51" s="2"/>
      <c r="K51" s="2"/>
      <c r="L51" s="2"/>
      <c r="M51" s="8"/>
      <c r="N51" s="163" t="str">
        <f t="shared" si="0"/>
        <v/>
      </c>
      <c r="O51" s="126" t="str">
        <f t="shared" si="3"/>
        <v>-</v>
      </c>
      <c r="P51" s="164"/>
      <c r="Q51" s="164"/>
      <c r="R51" s="164"/>
      <c r="S51" s="164"/>
      <c r="T51" s="164"/>
      <c r="U51" s="164"/>
      <c r="V51" s="164"/>
    </row>
    <row r="52" spans="1:22" ht="27" customHeight="1">
      <c r="A52" s="38">
        <v>45</v>
      </c>
      <c r="B52" s="4"/>
      <c r="C52" s="5"/>
      <c r="D52" s="34"/>
      <c r="E52" s="34"/>
      <c r="F52" s="6"/>
      <c r="G52" s="6"/>
      <c r="H52" s="7"/>
      <c r="I52" s="7"/>
      <c r="J52" s="2"/>
      <c r="K52" s="2"/>
      <c r="L52" s="2"/>
      <c r="M52" s="8"/>
      <c r="N52" s="163" t="str">
        <f t="shared" si="0"/>
        <v/>
      </c>
      <c r="O52" s="126" t="str">
        <f t="shared" si="3"/>
        <v>-</v>
      </c>
      <c r="P52" s="164"/>
      <c r="Q52" s="164"/>
      <c r="R52" s="164"/>
      <c r="S52" s="164"/>
      <c r="T52" s="164"/>
      <c r="U52" s="164"/>
      <c r="V52" s="164"/>
    </row>
    <row r="53" spans="1:22" ht="27" customHeight="1">
      <c r="A53" s="38">
        <v>46</v>
      </c>
      <c r="B53" s="4"/>
      <c r="C53" s="5"/>
      <c r="D53" s="34"/>
      <c r="E53" s="34"/>
      <c r="F53" s="6"/>
      <c r="G53" s="6"/>
      <c r="H53" s="58"/>
      <c r="I53" s="7"/>
      <c r="J53" s="2"/>
      <c r="K53" s="2"/>
      <c r="L53" s="2"/>
      <c r="M53" s="8"/>
      <c r="N53" s="163" t="str">
        <f t="shared" si="0"/>
        <v/>
      </c>
      <c r="O53" s="126" t="str">
        <f t="shared" si="3"/>
        <v>-</v>
      </c>
      <c r="P53" s="164"/>
      <c r="Q53" s="164"/>
      <c r="R53" s="164"/>
      <c r="S53" s="164"/>
      <c r="T53" s="164"/>
      <c r="U53" s="164"/>
      <c r="V53" s="164"/>
    </row>
    <row r="54" spans="1:22" ht="27" customHeight="1">
      <c r="A54" s="38">
        <v>47</v>
      </c>
      <c r="B54" s="4"/>
      <c r="C54" s="5"/>
      <c r="D54" s="34"/>
      <c r="E54" s="34"/>
      <c r="F54" s="6"/>
      <c r="G54" s="6"/>
      <c r="H54" s="58"/>
      <c r="I54" s="7"/>
      <c r="J54" s="2"/>
      <c r="K54" s="2"/>
      <c r="L54" s="2"/>
      <c r="M54" s="8"/>
      <c r="N54" s="163" t="str">
        <f t="shared" si="0"/>
        <v/>
      </c>
      <c r="O54" s="126" t="str">
        <f t="shared" si="3"/>
        <v>-</v>
      </c>
      <c r="P54" s="164"/>
      <c r="Q54" s="164"/>
      <c r="R54" s="164"/>
      <c r="S54" s="164"/>
      <c r="T54" s="164"/>
      <c r="U54" s="164"/>
      <c r="V54" s="164"/>
    </row>
    <row r="55" spans="1:22" ht="27" customHeight="1">
      <c r="A55" s="38">
        <v>48</v>
      </c>
      <c r="B55" s="4"/>
      <c r="C55" s="5"/>
      <c r="D55" s="34"/>
      <c r="E55" s="34"/>
      <c r="F55" s="6"/>
      <c r="G55" s="6"/>
      <c r="H55" s="7"/>
      <c r="I55" s="7"/>
      <c r="J55" s="2"/>
      <c r="K55" s="2"/>
      <c r="L55" s="2"/>
      <c r="M55" s="8"/>
      <c r="N55" s="163" t="str">
        <f t="shared" si="0"/>
        <v/>
      </c>
      <c r="O55" s="126" t="str">
        <f t="shared" si="3"/>
        <v>-</v>
      </c>
      <c r="P55" s="164"/>
      <c r="Q55" s="164"/>
      <c r="R55" s="164"/>
      <c r="S55" s="164"/>
      <c r="T55" s="164"/>
      <c r="U55" s="164"/>
      <c r="V55" s="164"/>
    </row>
    <row r="56" spans="1:22" ht="27" customHeight="1">
      <c r="A56" s="38">
        <v>49</v>
      </c>
      <c r="B56" s="4"/>
      <c r="C56" s="5"/>
      <c r="D56" s="34"/>
      <c r="E56" s="34"/>
      <c r="F56" s="6"/>
      <c r="G56" s="6"/>
      <c r="H56" s="58"/>
      <c r="I56" s="7"/>
      <c r="J56" s="2"/>
      <c r="K56" s="2"/>
      <c r="L56" s="2"/>
      <c r="M56" s="8"/>
      <c r="N56" s="163" t="str">
        <f t="shared" si="0"/>
        <v/>
      </c>
      <c r="O56" s="126" t="str">
        <f t="shared" si="3"/>
        <v>-</v>
      </c>
      <c r="P56" s="164"/>
      <c r="Q56" s="164"/>
      <c r="R56" s="164"/>
      <c r="S56" s="164"/>
      <c r="T56" s="164"/>
      <c r="U56" s="164"/>
      <c r="V56" s="164"/>
    </row>
    <row r="57" spans="1:22" ht="27" customHeight="1">
      <c r="A57" s="38">
        <v>50</v>
      </c>
      <c r="B57" s="4"/>
      <c r="C57" s="5"/>
      <c r="D57" s="34"/>
      <c r="E57" s="34"/>
      <c r="F57" s="6"/>
      <c r="G57" s="6"/>
      <c r="H57" s="7"/>
      <c r="I57" s="7"/>
      <c r="J57" s="2"/>
      <c r="K57" s="2"/>
      <c r="L57" s="2"/>
      <c r="M57" s="8"/>
      <c r="N57" s="163" t="str">
        <f t="shared" si="0"/>
        <v/>
      </c>
      <c r="O57" s="126" t="str">
        <f t="shared" si="3"/>
        <v>-</v>
      </c>
      <c r="P57" s="164"/>
      <c r="Q57" s="164"/>
      <c r="R57" s="164"/>
      <c r="S57" s="164"/>
      <c r="T57" s="164"/>
      <c r="U57" s="164"/>
      <c r="V57" s="164"/>
    </row>
    <row r="58" spans="1:22" ht="27" customHeight="1">
      <c r="A58" s="38">
        <v>51</v>
      </c>
      <c r="B58" s="4"/>
      <c r="C58" s="5"/>
      <c r="D58" s="34"/>
      <c r="E58" s="34"/>
      <c r="F58" s="6"/>
      <c r="G58" s="6"/>
      <c r="H58" s="7"/>
      <c r="I58" s="7"/>
      <c r="J58" s="2"/>
      <c r="K58" s="2"/>
      <c r="L58" s="2"/>
      <c r="M58" s="8"/>
      <c r="N58" s="163" t="str">
        <f t="shared" si="0"/>
        <v/>
      </c>
      <c r="O58" s="126" t="str">
        <f t="shared" si="3"/>
        <v>-</v>
      </c>
      <c r="P58" s="164"/>
      <c r="Q58" s="164"/>
      <c r="R58" s="164"/>
      <c r="S58" s="164"/>
      <c r="T58" s="164"/>
      <c r="U58" s="164"/>
      <c r="V58" s="164"/>
    </row>
    <row r="59" spans="1:22" ht="27" customHeight="1">
      <c r="A59" s="38">
        <v>52</v>
      </c>
      <c r="B59" s="4"/>
      <c r="C59" s="5"/>
      <c r="D59" s="34"/>
      <c r="E59" s="34"/>
      <c r="F59" s="6"/>
      <c r="G59" s="6"/>
      <c r="H59" s="7"/>
      <c r="I59" s="7"/>
      <c r="J59" s="2"/>
      <c r="K59" s="2"/>
      <c r="L59" s="2"/>
      <c r="M59" s="8"/>
      <c r="N59" s="163" t="str">
        <f t="shared" si="0"/>
        <v/>
      </c>
      <c r="O59" s="126" t="str">
        <f t="shared" si="3"/>
        <v>-</v>
      </c>
      <c r="P59" s="164"/>
      <c r="Q59" s="164"/>
      <c r="R59" s="164"/>
      <c r="S59" s="164"/>
      <c r="T59" s="164"/>
      <c r="U59" s="164"/>
      <c r="V59" s="164"/>
    </row>
    <row r="60" spans="1:22" ht="27" customHeight="1">
      <c r="A60" s="38">
        <v>53</v>
      </c>
      <c r="B60" s="4"/>
      <c r="C60" s="5"/>
      <c r="D60" s="34"/>
      <c r="E60" s="34"/>
      <c r="F60" s="6"/>
      <c r="G60" s="6"/>
      <c r="H60" s="7"/>
      <c r="I60" s="7"/>
      <c r="J60" s="2"/>
      <c r="K60" s="2"/>
      <c r="L60" s="2"/>
      <c r="M60" s="8"/>
      <c r="N60" s="163" t="str">
        <f t="shared" si="0"/>
        <v/>
      </c>
      <c r="O60" s="126" t="str">
        <f t="shared" si="3"/>
        <v>-</v>
      </c>
      <c r="P60" s="164"/>
      <c r="Q60" s="164"/>
      <c r="R60" s="164"/>
      <c r="S60" s="164"/>
      <c r="T60" s="164"/>
      <c r="U60" s="164"/>
      <c r="V60" s="164"/>
    </row>
    <row r="61" spans="1:22" ht="27" customHeight="1">
      <c r="A61" s="38">
        <v>54</v>
      </c>
      <c r="B61" s="4"/>
      <c r="C61" s="5"/>
      <c r="D61" s="34"/>
      <c r="E61" s="34"/>
      <c r="F61" s="6"/>
      <c r="G61" s="6"/>
      <c r="H61" s="7"/>
      <c r="I61" s="7"/>
      <c r="J61" s="2"/>
      <c r="K61" s="2"/>
      <c r="L61" s="2"/>
      <c r="M61" s="8"/>
      <c r="N61" s="163" t="str">
        <f t="shared" si="0"/>
        <v/>
      </c>
      <c r="O61" s="126" t="str">
        <f t="shared" si="3"/>
        <v>-</v>
      </c>
      <c r="P61" s="164"/>
      <c r="Q61" s="164"/>
      <c r="R61" s="164"/>
      <c r="S61" s="164"/>
      <c r="T61" s="164"/>
      <c r="U61" s="164"/>
      <c r="V61" s="164"/>
    </row>
    <row r="62" spans="1:22" ht="27" customHeight="1">
      <c r="A62" s="38">
        <v>55</v>
      </c>
      <c r="B62" s="4"/>
      <c r="C62" s="5"/>
      <c r="D62" s="34"/>
      <c r="E62" s="34"/>
      <c r="F62" s="6"/>
      <c r="G62" s="6"/>
      <c r="H62" s="7"/>
      <c r="I62" s="7"/>
      <c r="J62" s="2"/>
      <c r="K62" s="2"/>
      <c r="L62" s="2"/>
      <c r="M62" s="8"/>
      <c r="N62" s="163" t="str">
        <f t="shared" si="0"/>
        <v/>
      </c>
      <c r="O62" s="126" t="str">
        <f t="shared" si="3"/>
        <v>-</v>
      </c>
      <c r="P62" s="164"/>
      <c r="Q62" s="164"/>
      <c r="R62" s="164"/>
      <c r="S62" s="164"/>
      <c r="T62" s="164"/>
      <c r="U62" s="164"/>
      <c r="V62" s="164"/>
    </row>
    <row r="63" spans="1:22" ht="27" customHeight="1">
      <c r="A63" s="38">
        <v>56</v>
      </c>
      <c r="B63" s="4"/>
      <c r="C63" s="5"/>
      <c r="D63" s="34"/>
      <c r="E63" s="34"/>
      <c r="F63" s="6"/>
      <c r="G63" s="6"/>
      <c r="H63" s="7"/>
      <c r="I63" s="7"/>
      <c r="J63" s="2"/>
      <c r="K63" s="2"/>
      <c r="L63" s="2"/>
      <c r="M63" s="8"/>
      <c r="N63" s="163" t="str">
        <f t="shared" si="0"/>
        <v/>
      </c>
      <c r="O63" s="126" t="str">
        <f t="shared" si="3"/>
        <v>-</v>
      </c>
      <c r="P63" s="164"/>
      <c r="Q63" s="164"/>
      <c r="R63" s="164"/>
      <c r="S63" s="164"/>
      <c r="T63" s="164"/>
      <c r="U63" s="164"/>
      <c r="V63" s="165"/>
    </row>
    <row r="64" spans="1:22" ht="27" customHeight="1">
      <c r="A64" s="38">
        <v>57</v>
      </c>
      <c r="B64" s="4"/>
      <c r="C64" s="5"/>
      <c r="D64" s="34"/>
      <c r="E64" s="34"/>
      <c r="F64" s="6"/>
      <c r="G64" s="6"/>
      <c r="H64" s="7"/>
      <c r="I64" s="7"/>
      <c r="J64" s="2"/>
      <c r="K64" s="2"/>
      <c r="L64" s="2"/>
      <c r="M64" s="8"/>
      <c r="N64" s="163" t="str">
        <f t="shared" si="0"/>
        <v/>
      </c>
      <c r="O64" s="126" t="str">
        <f t="shared" si="3"/>
        <v>-</v>
      </c>
      <c r="P64" s="164"/>
      <c r="Q64" s="164"/>
      <c r="R64" s="164"/>
      <c r="S64" s="164"/>
      <c r="T64" s="164"/>
      <c r="U64" s="164"/>
      <c r="V64" s="165"/>
    </row>
    <row r="65" spans="1:25" ht="27" customHeight="1">
      <c r="A65" s="38">
        <v>58</v>
      </c>
      <c r="B65" s="4"/>
      <c r="C65" s="5"/>
      <c r="D65" s="34"/>
      <c r="E65" s="34"/>
      <c r="F65" s="6"/>
      <c r="G65" s="6"/>
      <c r="H65" s="7"/>
      <c r="I65" s="7"/>
      <c r="J65" s="2"/>
      <c r="K65" s="2"/>
      <c r="L65" s="2"/>
      <c r="M65" s="8"/>
      <c r="N65" s="163" t="str">
        <f t="shared" si="0"/>
        <v/>
      </c>
      <c r="O65" s="126" t="str">
        <f t="shared" si="3"/>
        <v>-</v>
      </c>
      <c r="P65" s="164"/>
      <c r="Q65" s="164"/>
      <c r="R65" s="164"/>
      <c r="S65" s="164"/>
      <c r="T65" s="164"/>
      <c r="U65" s="164"/>
      <c r="V65" s="165"/>
    </row>
    <row r="66" spans="1:25" ht="27" customHeight="1">
      <c r="A66" s="38">
        <v>59</v>
      </c>
      <c r="B66" s="4"/>
      <c r="C66" s="5"/>
      <c r="D66" s="34"/>
      <c r="E66" s="34"/>
      <c r="F66" s="6"/>
      <c r="G66" s="6"/>
      <c r="H66" s="58"/>
      <c r="I66" s="7"/>
      <c r="J66" s="2"/>
      <c r="K66" s="2"/>
      <c r="L66" s="2"/>
      <c r="M66" s="8"/>
      <c r="N66" s="163" t="str">
        <f t="shared" si="0"/>
        <v/>
      </c>
      <c r="O66" s="126" t="str">
        <f t="shared" si="3"/>
        <v>-</v>
      </c>
      <c r="P66" s="164"/>
      <c r="Q66" s="164"/>
      <c r="R66" s="164"/>
      <c r="S66" s="164"/>
      <c r="T66" s="164"/>
      <c r="U66" s="164"/>
      <c r="V66" s="165"/>
    </row>
    <row r="67" spans="1:25" ht="27" customHeight="1">
      <c r="A67" s="39">
        <v>60</v>
      </c>
      <c r="B67" s="14"/>
      <c r="C67" s="15"/>
      <c r="D67" s="35"/>
      <c r="E67" s="35"/>
      <c r="F67" s="16"/>
      <c r="G67" s="16"/>
      <c r="H67" s="17"/>
      <c r="I67" s="17"/>
      <c r="J67" s="3"/>
      <c r="K67" s="3"/>
      <c r="L67" s="3"/>
      <c r="M67" s="18"/>
      <c r="N67" s="163" t="str">
        <f t="shared" si="0"/>
        <v/>
      </c>
      <c r="O67" s="126" t="str">
        <f t="shared" si="3"/>
        <v>-</v>
      </c>
      <c r="P67" s="164"/>
      <c r="Q67" s="164"/>
      <c r="R67" s="164"/>
      <c r="S67" s="164"/>
      <c r="T67" s="164"/>
      <c r="U67" s="164"/>
      <c r="V67" s="166"/>
      <c r="W67" s="164"/>
      <c r="X67" s="164"/>
      <c r="Y67" s="164"/>
    </row>
    <row r="68" spans="1:25" ht="27" customHeight="1">
      <c r="A68" s="167" t="s">
        <v>44</v>
      </c>
      <c r="B68" s="168"/>
      <c r="C68" s="168"/>
      <c r="D68" s="169"/>
      <c r="E68" s="169">
        <f>SUM(E48:E67)</f>
        <v>0</v>
      </c>
      <c r="F68" s="170"/>
      <c r="G68" s="170"/>
      <c r="H68" s="170"/>
      <c r="I68" s="170"/>
      <c r="J68" s="170"/>
      <c r="K68" s="170"/>
      <c r="L68" s="170"/>
      <c r="M68" s="171"/>
      <c r="N68" s="163" t="str">
        <f t="shared" si="0"/>
        <v/>
      </c>
      <c r="O68" s="126"/>
      <c r="P68" s="164"/>
      <c r="Q68" s="164"/>
      <c r="R68" s="164"/>
      <c r="S68" s="164"/>
      <c r="T68" s="164"/>
      <c r="U68" s="164"/>
      <c r="V68" s="166"/>
      <c r="W68" s="164"/>
      <c r="X68" s="164"/>
      <c r="Y68" s="164"/>
    </row>
    <row r="69" spans="1:25" ht="27" customHeight="1">
      <c r="A69" s="37">
        <v>61</v>
      </c>
      <c r="B69" s="9"/>
      <c r="C69" s="10"/>
      <c r="D69" s="33"/>
      <c r="E69" s="33"/>
      <c r="F69" s="11"/>
      <c r="G69" s="11"/>
      <c r="H69" s="12"/>
      <c r="I69" s="12"/>
      <c r="J69" s="32"/>
      <c r="K69" s="32"/>
      <c r="L69" s="32"/>
      <c r="M69" s="13"/>
      <c r="N69" s="163" t="str">
        <f t="shared" si="0"/>
        <v/>
      </c>
      <c r="O69" s="126" t="str">
        <f>IF(D69&gt;=E69,"-","ERR")</f>
        <v>-</v>
      </c>
      <c r="P69" s="164"/>
      <c r="Q69" s="164"/>
      <c r="R69" s="164"/>
      <c r="S69" s="164"/>
      <c r="T69" s="164"/>
      <c r="U69" s="164"/>
      <c r="V69" s="164"/>
    </row>
    <row r="70" spans="1:25" ht="27" customHeight="1">
      <c r="A70" s="38">
        <v>62</v>
      </c>
      <c r="B70" s="4"/>
      <c r="C70" s="5"/>
      <c r="D70" s="34"/>
      <c r="E70" s="34"/>
      <c r="F70" s="6"/>
      <c r="G70" s="6"/>
      <c r="H70" s="7"/>
      <c r="I70" s="7"/>
      <c r="J70" s="2"/>
      <c r="K70" s="2"/>
      <c r="L70" s="2"/>
      <c r="M70" s="8"/>
      <c r="N70" s="163" t="str">
        <f t="shared" si="0"/>
        <v/>
      </c>
      <c r="O70" s="126" t="str">
        <f t="shared" ref="O70:O88" si="4">IF(D70&gt;=E70,"-","ERR")</f>
        <v>-</v>
      </c>
      <c r="P70" s="164"/>
      <c r="Q70" s="164"/>
      <c r="R70" s="164"/>
      <c r="S70" s="164"/>
      <c r="T70" s="164"/>
      <c r="U70" s="164"/>
      <c r="V70" s="164"/>
    </row>
    <row r="71" spans="1:25" ht="27" customHeight="1">
      <c r="A71" s="38">
        <v>63</v>
      </c>
      <c r="B71" s="4"/>
      <c r="C71" s="5"/>
      <c r="D71" s="34"/>
      <c r="E71" s="34"/>
      <c r="F71" s="6"/>
      <c r="G71" s="6"/>
      <c r="H71" s="7"/>
      <c r="I71" s="7"/>
      <c r="J71" s="2"/>
      <c r="K71" s="2"/>
      <c r="L71" s="2"/>
      <c r="M71" s="8"/>
      <c r="N71" s="163" t="str">
        <f t="shared" ref="N71:N134" si="5">CONCATENATE(C71,H71)</f>
        <v/>
      </c>
      <c r="O71" s="126" t="str">
        <f t="shared" si="4"/>
        <v>-</v>
      </c>
      <c r="P71" s="164"/>
      <c r="Q71" s="164"/>
      <c r="R71" s="164"/>
      <c r="S71" s="164"/>
      <c r="T71" s="164"/>
      <c r="U71" s="164"/>
      <c r="V71" s="164"/>
    </row>
    <row r="72" spans="1:25" ht="27" customHeight="1">
      <c r="A72" s="38">
        <v>64</v>
      </c>
      <c r="B72" s="4"/>
      <c r="C72" s="5"/>
      <c r="D72" s="34"/>
      <c r="E72" s="34"/>
      <c r="F72" s="6"/>
      <c r="G72" s="6"/>
      <c r="H72" s="7"/>
      <c r="I72" s="7"/>
      <c r="J72" s="2"/>
      <c r="K72" s="2"/>
      <c r="L72" s="2"/>
      <c r="M72" s="8"/>
      <c r="N72" s="163" t="str">
        <f t="shared" si="5"/>
        <v/>
      </c>
      <c r="O72" s="126" t="str">
        <f t="shared" si="4"/>
        <v>-</v>
      </c>
      <c r="P72" s="164"/>
      <c r="Q72" s="164"/>
      <c r="R72" s="164"/>
      <c r="S72" s="164"/>
      <c r="T72" s="164"/>
      <c r="U72" s="164"/>
      <c r="V72" s="164"/>
    </row>
    <row r="73" spans="1:25" ht="27" customHeight="1">
      <c r="A73" s="38">
        <v>65</v>
      </c>
      <c r="B73" s="4"/>
      <c r="C73" s="5"/>
      <c r="D73" s="34"/>
      <c r="E73" s="34"/>
      <c r="F73" s="6"/>
      <c r="G73" s="6"/>
      <c r="H73" s="7"/>
      <c r="I73" s="59"/>
      <c r="J73" s="2"/>
      <c r="K73" s="2"/>
      <c r="L73" s="2"/>
      <c r="M73" s="8"/>
      <c r="N73" s="163" t="str">
        <f t="shared" si="5"/>
        <v/>
      </c>
      <c r="O73" s="126" t="str">
        <f t="shared" si="4"/>
        <v>-</v>
      </c>
      <c r="P73" s="164"/>
      <c r="Q73" s="164"/>
      <c r="R73" s="164"/>
      <c r="S73" s="164"/>
      <c r="T73" s="164"/>
      <c r="U73" s="164"/>
      <c r="V73" s="164"/>
    </row>
    <row r="74" spans="1:25" ht="27" customHeight="1">
      <c r="A74" s="38">
        <v>66</v>
      </c>
      <c r="B74" s="4"/>
      <c r="C74" s="5"/>
      <c r="D74" s="34"/>
      <c r="E74" s="34"/>
      <c r="F74" s="6"/>
      <c r="G74" s="6"/>
      <c r="H74" s="7"/>
      <c r="I74" s="7"/>
      <c r="J74" s="2"/>
      <c r="K74" s="2"/>
      <c r="L74" s="2"/>
      <c r="M74" s="8"/>
      <c r="N74" s="163" t="str">
        <f t="shared" si="5"/>
        <v/>
      </c>
      <c r="O74" s="126" t="str">
        <f t="shared" si="4"/>
        <v>-</v>
      </c>
      <c r="P74" s="164"/>
      <c r="Q74" s="164"/>
      <c r="R74" s="164"/>
      <c r="S74" s="164"/>
      <c r="T74" s="164"/>
      <c r="U74" s="164"/>
      <c r="V74" s="164"/>
    </row>
    <row r="75" spans="1:25" ht="27" customHeight="1">
      <c r="A75" s="38">
        <v>67</v>
      </c>
      <c r="B75" s="4"/>
      <c r="C75" s="5"/>
      <c r="D75" s="34"/>
      <c r="E75" s="34"/>
      <c r="F75" s="6"/>
      <c r="G75" s="6"/>
      <c r="H75" s="7"/>
      <c r="I75" s="7"/>
      <c r="J75" s="2"/>
      <c r="K75" s="2"/>
      <c r="L75" s="2"/>
      <c r="M75" s="8"/>
      <c r="N75" s="163" t="str">
        <f t="shared" si="5"/>
        <v/>
      </c>
      <c r="O75" s="126" t="str">
        <f t="shared" si="4"/>
        <v>-</v>
      </c>
      <c r="P75" s="164"/>
      <c r="Q75" s="164"/>
      <c r="R75" s="164"/>
      <c r="S75" s="164"/>
      <c r="T75" s="164"/>
      <c r="U75" s="164"/>
      <c r="V75" s="164"/>
    </row>
    <row r="76" spans="1:25" ht="27" customHeight="1">
      <c r="A76" s="38">
        <v>68</v>
      </c>
      <c r="B76" s="4"/>
      <c r="C76" s="5"/>
      <c r="D76" s="34"/>
      <c r="E76" s="34"/>
      <c r="F76" s="6"/>
      <c r="G76" s="6"/>
      <c r="H76" s="7"/>
      <c r="I76" s="7"/>
      <c r="J76" s="2"/>
      <c r="K76" s="2"/>
      <c r="L76" s="67"/>
      <c r="M76" s="8"/>
      <c r="N76" s="163" t="str">
        <f t="shared" si="5"/>
        <v/>
      </c>
      <c r="O76" s="126" t="str">
        <f t="shared" si="4"/>
        <v>-</v>
      </c>
      <c r="P76" s="164"/>
      <c r="Q76" s="164"/>
      <c r="R76" s="164"/>
      <c r="S76" s="164"/>
      <c r="T76" s="164"/>
      <c r="U76" s="164"/>
      <c r="V76" s="164"/>
    </row>
    <row r="77" spans="1:25" ht="27" customHeight="1">
      <c r="A77" s="38">
        <v>69</v>
      </c>
      <c r="B77" s="4"/>
      <c r="C77" s="5"/>
      <c r="D77" s="34"/>
      <c r="E77" s="34"/>
      <c r="F77" s="6"/>
      <c r="G77" s="6"/>
      <c r="H77" s="7"/>
      <c r="I77" s="7"/>
      <c r="J77" s="2"/>
      <c r="K77" s="2"/>
      <c r="L77" s="67"/>
      <c r="M77" s="8"/>
      <c r="N77" s="163" t="str">
        <f t="shared" si="5"/>
        <v/>
      </c>
      <c r="O77" s="126" t="str">
        <f t="shared" si="4"/>
        <v>-</v>
      </c>
      <c r="P77" s="164"/>
      <c r="Q77" s="164"/>
      <c r="R77" s="164"/>
      <c r="S77" s="164"/>
      <c r="T77" s="164"/>
      <c r="U77" s="164"/>
      <c r="V77" s="164"/>
    </row>
    <row r="78" spans="1:25" ht="27" customHeight="1">
      <c r="A78" s="38">
        <v>70</v>
      </c>
      <c r="B78" s="4"/>
      <c r="C78" s="5"/>
      <c r="D78" s="34"/>
      <c r="E78" s="34"/>
      <c r="F78" s="6"/>
      <c r="G78" s="6"/>
      <c r="H78" s="7"/>
      <c r="I78" s="7"/>
      <c r="J78" s="2"/>
      <c r="K78" s="2"/>
      <c r="L78" s="67"/>
      <c r="M78" s="8"/>
      <c r="N78" s="163" t="str">
        <f t="shared" si="5"/>
        <v/>
      </c>
      <c r="O78" s="126" t="str">
        <f t="shared" si="4"/>
        <v>-</v>
      </c>
      <c r="P78" s="164"/>
      <c r="Q78" s="164"/>
      <c r="R78" s="164"/>
      <c r="S78" s="164"/>
      <c r="T78" s="164"/>
      <c r="U78" s="164"/>
      <c r="V78" s="164"/>
    </row>
    <row r="79" spans="1:25" ht="27" customHeight="1">
      <c r="A79" s="38">
        <v>71</v>
      </c>
      <c r="B79" s="4"/>
      <c r="C79" s="5"/>
      <c r="D79" s="34"/>
      <c r="E79" s="34"/>
      <c r="F79" s="6"/>
      <c r="G79" s="6"/>
      <c r="H79" s="7"/>
      <c r="I79" s="58"/>
      <c r="J79" s="2"/>
      <c r="K79" s="2"/>
      <c r="L79" s="67"/>
      <c r="M79" s="8"/>
      <c r="N79" s="163" t="str">
        <f t="shared" si="5"/>
        <v/>
      </c>
      <c r="O79" s="126" t="str">
        <f t="shared" si="4"/>
        <v>-</v>
      </c>
      <c r="P79" s="164"/>
      <c r="Q79" s="164"/>
      <c r="R79" s="164"/>
      <c r="S79" s="164"/>
      <c r="T79" s="164"/>
      <c r="U79" s="164"/>
      <c r="V79" s="164"/>
    </row>
    <row r="80" spans="1:25" ht="27" customHeight="1">
      <c r="A80" s="38">
        <v>72</v>
      </c>
      <c r="B80" s="4"/>
      <c r="C80" s="5"/>
      <c r="D80" s="34"/>
      <c r="E80" s="34"/>
      <c r="F80" s="6"/>
      <c r="G80" s="6"/>
      <c r="H80" s="7"/>
      <c r="I80" s="7"/>
      <c r="J80" s="2"/>
      <c r="K80" s="2"/>
      <c r="L80" s="2"/>
      <c r="M80" s="8"/>
      <c r="N80" s="163" t="str">
        <f t="shared" si="5"/>
        <v/>
      </c>
      <c r="O80" s="126" t="str">
        <f t="shared" si="4"/>
        <v>-</v>
      </c>
      <c r="P80" s="164"/>
      <c r="Q80" s="164"/>
      <c r="R80" s="164"/>
      <c r="S80" s="164"/>
      <c r="T80" s="164"/>
      <c r="U80" s="164"/>
      <c r="V80" s="164"/>
    </row>
    <row r="81" spans="1:25" ht="27" customHeight="1">
      <c r="A81" s="38">
        <v>73</v>
      </c>
      <c r="B81" s="4"/>
      <c r="C81" s="5"/>
      <c r="D81" s="34"/>
      <c r="E81" s="34"/>
      <c r="F81" s="6"/>
      <c r="G81" s="6"/>
      <c r="H81" s="7"/>
      <c r="I81" s="7"/>
      <c r="J81" s="2"/>
      <c r="K81" s="2"/>
      <c r="L81" s="2"/>
      <c r="M81" s="8"/>
      <c r="N81" s="163" t="str">
        <f t="shared" si="5"/>
        <v/>
      </c>
      <c r="O81" s="126" t="str">
        <f t="shared" si="4"/>
        <v>-</v>
      </c>
      <c r="P81" s="164"/>
      <c r="Q81" s="164"/>
      <c r="R81" s="164"/>
      <c r="S81" s="164"/>
      <c r="T81" s="164"/>
      <c r="U81" s="164"/>
      <c r="V81" s="164"/>
    </row>
    <row r="82" spans="1:25" ht="27" customHeight="1">
      <c r="A82" s="38">
        <v>74</v>
      </c>
      <c r="B82" s="4"/>
      <c r="C82" s="5"/>
      <c r="D82" s="34"/>
      <c r="E82" s="34"/>
      <c r="F82" s="6"/>
      <c r="G82" s="6"/>
      <c r="H82" s="7"/>
      <c r="I82" s="7"/>
      <c r="J82" s="2"/>
      <c r="K82" s="2"/>
      <c r="L82" s="67"/>
      <c r="M82" s="8"/>
      <c r="N82" s="163" t="str">
        <f t="shared" si="5"/>
        <v/>
      </c>
      <c r="O82" s="126" t="str">
        <f t="shared" si="4"/>
        <v>-</v>
      </c>
      <c r="P82" s="164"/>
      <c r="Q82" s="164"/>
      <c r="R82" s="164"/>
      <c r="S82" s="164"/>
      <c r="T82" s="164"/>
      <c r="U82" s="164"/>
      <c r="V82" s="164"/>
    </row>
    <row r="83" spans="1:25" ht="27" customHeight="1">
      <c r="A83" s="38">
        <v>75</v>
      </c>
      <c r="B83" s="4"/>
      <c r="C83" s="5"/>
      <c r="D83" s="34"/>
      <c r="E83" s="34"/>
      <c r="F83" s="6"/>
      <c r="G83" s="6"/>
      <c r="H83" s="7"/>
      <c r="I83" s="7"/>
      <c r="J83" s="2"/>
      <c r="K83" s="2"/>
      <c r="L83" s="67"/>
      <c r="M83" s="8"/>
      <c r="N83" s="163" t="str">
        <f t="shared" si="5"/>
        <v/>
      </c>
      <c r="O83" s="126" t="str">
        <f t="shared" si="4"/>
        <v>-</v>
      </c>
      <c r="P83" s="164"/>
      <c r="Q83" s="164"/>
      <c r="R83" s="164"/>
      <c r="S83" s="164"/>
      <c r="T83" s="164"/>
      <c r="U83" s="164"/>
      <c r="V83" s="164"/>
    </row>
    <row r="84" spans="1:25" ht="27" customHeight="1">
      <c r="A84" s="38">
        <v>76</v>
      </c>
      <c r="B84" s="4"/>
      <c r="C84" s="5"/>
      <c r="D84" s="34"/>
      <c r="E84" s="34"/>
      <c r="F84" s="6"/>
      <c r="G84" s="6"/>
      <c r="H84" s="7"/>
      <c r="I84" s="7"/>
      <c r="J84" s="2"/>
      <c r="K84" s="2"/>
      <c r="L84" s="67"/>
      <c r="M84" s="8"/>
      <c r="N84" s="163" t="str">
        <f t="shared" si="5"/>
        <v/>
      </c>
      <c r="O84" s="126" t="str">
        <f t="shared" si="4"/>
        <v>-</v>
      </c>
      <c r="P84" s="164"/>
      <c r="Q84" s="164"/>
      <c r="R84" s="164"/>
      <c r="S84" s="164"/>
      <c r="T84" s="164"/>
      <c r="U84" s="164"/>
      <c r="V84" s="165"/>
    </row>
    <row r="85" spans="1:25" ht="27" customHeight="1">
      <c r="A85" s="38">
        <v>77</v>
      </c>
      <c r="B85" s="4"/>
      <c r="C85" s="5"/>
      <c r="D85" s="34"/>
      <c r="E85" s="34"/>
      <c r="F85" s="6"/>
      <c r="G85" s="6"/>
      <c r="H85" s="7"/>
      <c r="I85" s="7"/>
      <c r="J85" s="2"/>
      <c r="K85" s="2"/>
      <c r="L85" s="67"/>
      <c r="M85" s="8"/>
      <c r="N85" s="163" t="str">
        <f t="shared" si="5"/>
        <v/>
      </c>
      <c r="O85" s="126" t="str">
        <f t="shared" si="4"/>
        <v>-</v>
      </c>
      <c r="P85" s="164"/>
      <c r="Q85" s="164"/>
      <c r="R85" s="164"/>
      <c r="S85" s="164"/>
      <c r="T85" s="164"/>
      <c r="U85" s="164"/>
      <c r="V85" s="165"/>
    </row>
    <row r="86" spans="1:25" ht="27" customHeight="1">
      <c r="A86" s="38">
        <v>78</v>
      </c>
      <c r="B86" s="4"/>
      <c r="C86" s="5"/>
      <c r="D86" s="34"/>
      <c r="E86" s="34"/>
      <c r="F86" s="6"/>
      <c r="G86" s="6"/>
      <c r="H86" s="7"/>
      <c r="I86" s="7"/>
      <c r="J86" s="2"/>
      <c r="K86" s="2"/>
      <c r="L86" s="2"/>
      <c r="M86" s="8"/>
      <c r="N86" s="163" t="str">
        <f t="shared" si="5"/>
        <v/>
      </c>
      <c r="O86" s="126" t="str">
        <f t="shared" si="4"/>
        <v>-</v>
      </c>
      <c r="P86" s="164"/>
      <c r="Q86" s="164"/>
      <c r="R86" s="164"/>
      <c r="S86" s="164"/>
      <c r="T86" s="164"/>
      <c r="U86" s="164"/>
      <c r="V86" s="165"/>
    </row>
    <row r="87" spans="1:25" ht="27" customHeight="1">
      <c r="A87" s="38">
        <v>79</v>
      </c>
      <c r="B87" s="4"/>
      <c r="C87" s="5"/>
      <c r="D87" s="34"/>
      <c r="E87" s="34"/>
      <c r="F87" s="6"/>
      <c r="G87" s="6"/>
      <c r="H87" s="7"/>
      <c r="I87" s="7"/>
      <c r="J87" s="2"/>
      <c r="K87" s="2"/>
      <c r="L87" s="2"/>
      <c r="M87" s="8"/>
      <c r="N87" s="163" t="str">
        <f t="shared" si="5"/>
        <v/>
      </c>
      <c r="O87" s="126" t="str">
        <f t="shared" si="4"/>
        <v>-</v>
      </c>
      <c r="P87" s="164"/>
      <c r="Q87" s="164"/>
      <c r="R87" s="164"/>
      <c r="S87" s="164"/>
      <c r="T87" s="164"/>
      <c r="U87" s="164"/>
      <c r="V87" s="165"/>
    </row>
    <row r="88" spans="1:25" ht="27" customHeight="1">
      <c r="A88" s="39">
        <v>80</v>
      </c>
      <c r="B88" s="14"/>
      <c r="C88" s="15"/>
      <c r="D88" s="35"/>
      <c r="E88" s="35"/>
      <c r="F88" s="16"/>
      <c r="G88" s="16"/>
      <c r="H88" s="17"/>
      <c r="I88" s="17"/>
      <c r="J88" s="3"/>
      <c r="K88" s="3"/>
      <c r="L88" s="3"/>
      <c r="M88" s="18"/>
      <c r="N88" s="163" t="str">
        <f t="shared" si="5"/>
        <v/>
      </c>
      <c r="O88" s="126" t="str">
        <f t="shared" si="4"/>
        <v>-</v>
      </c>
      <c r="P88" s="164"/>
      <c r="Q88" s="164"/>
      <c r="R88" s="164"/>
      <c r="S88" s="164"/>
      <c r="T88" s="164"/>
      <c r="U88" s="164"/>
      <c r="V88" s="166"/>
      <c r="W88" s="164"/>
      <c r="X88" s="164"/>
      <c r="Y88" s="164"/>
    </row>
    <row r="89" spans="1:25" ht="27" customHeight="1">
      <c r="A89" s="167" t="s">
        <v>44</v>
      </c>
      <c r="B89" s="168"/>
      <c r="C89" s="168"/>
      <c r="D89" s="169"/>
      <c r="E89" s="169">
        <f>SUM(E69:E88)</f>
        <v>0</v>
      </c>
      <c r="F89" s="170"/>
      <c r="G89" s="170"/>
      <c r="H89" s="170"/>
      <c r="I89" s="170"/>
      <c r="J89" s="170"/>
      <c r="K89" s="170"/>
      <c r="L89" s="170"/>
      <c r="M89" s="171"/>
      <c r="N89" s="163" t="str">
        <f t="shared" si="5"/>
        <v/>
      </c>
      <c r="O89" s="126"/>
      <c r="P89" s="164"/>
      <c r="Q89" s="164"/>
      <c r="R89" s="164"/>
      <c r="S89" s="164"/>
      <c r="T89" s="164"/>
      <c r="U89" s="164"/>
      <c r="V89" s="166"/>
      <c r="W89" s="164"/>
      <c r="X89" s="164"/>
      <c r="Y89" s="164"/>
    </row>
    <row r="90" spans="1:25" ht="27" customHeight="1">
      <c r="A90" s="37">
        <v>81</v>
      </c>
      <c r="B90" s="9"/>
      <c r="C90" s="10"/>
      <c r="D90" s="33"/>
      <c r="E90" s="33"/>
      <c r="F90" s="11"/>
      <c r="G90" s="11"/>
      <c r="H90" s="12"/>
      <c r="I90" s="12"/>
      <c r="J90" s="32"/>
      <c r="K90" s="32"/>
      <c r="L90" s="32"/>
      <c r="M90" s="13"/>
      <c r="N90" s="163" t="str">
        <f t="shared" si="5"/>
        <v/>
      </c>
      <c r="O90" s="126" t="str">
        <f>IF(D90&gt;=E90,"-","ERR")</f>
        <v>-</v>
      </c>
      <c r="P90" s="164"/>
      <c r="Q90" s="164"/>
      <c r="R90" s="164"/>
      <c r="S90" s="164"/>
      <c r="T90" s="164"/>
      <c r="U90" s="164"/>
      <c r="V90" s="164"/>
    </row>
    <row r="91" spans="1:25" ht="27" customHeight="1">
      <c r="A91" s="38">
        <v>82</v>
      </c>
      <c r="B91" s="4"/>
      <c r="C91" s="5"/>
      <c r="D91" s="34"/>
      <c r="E91" s="34"/>
      <c r="F91" s="6"/>
      <c r="G91" s="6"/>
      <c r="H91" s="7"/>
      <c r="I91" s="7"/>
      <c r="J91" s="2"/>
      <c r="K91" s="2"/>
      <c r="L91" s="2"/>
      <c r="M91" s="8"/>
      <c r="N91" s="163" t="str">
        <f t="shared" si="5"/>
        <v/>
      </c>
      <c r="O91" s="126" t="str">
        <f t="shared" ref="O91:O109" si="6">IF(D91&gt;=E91,"-","ERR")</f>
        <v>-</v>
      </c>
      <c r="P91" s="164"/>
      <c r="Q91" s="164"/>
      <c r="R91" s="164"/>
      <c r="S91" s="164"/>
      <c r="T91" s="164"/>
      <c r="U91" s="164"/>
      <c r="V91" s="164"/>
    </row>
    <row r="92" spans="1:25" ht="27" customHeight="1">
      <c r="A92" s="38">
        <v>83</v>
      </c>
      <c r="B92" s="4"/>
      <c r="C92" s="5"/>
      <c r="D92" s="34"/>
      <c r="E92" s="34"/>
      <c r="F92" s="6"/>
      <c r="G92" s="6"/>
      <c r="H92" s="7"/>
      <c r="I92" s="7"/>
      <c r="J92" s="2"/>
      <c r="K92" s="2"/>
      <c r="L92" s="2"/>
      <c r="M92" s="8"/>
      <c r="N92" s="163" t="str">
        <f t="shared" si="5"/>
        <v/>
      </c>
      <c r="O92" s="126" t="str">
        <f t="shared" si="6"/>
        <v>-</v>
      </c>
      <c r="P92" s="164"/>
      <c r="Q92" s="164"/>
      <c r="R92" s="164"/>
      <c r="S92" s="164"/>
      <c r="T92" s="164"/>
      <c r="U92" s="164"/>
      <c r="V92" s="164"/>
    </row>
    <row r="93" spans="1:25" ht="27" customHeight="1">
      <c r="A93" s="38">
        <v>84</v>
      </c>
      <c r="B93" s="4"/>
      <c r="C93" s="5"/>
      <c r="D93" s="34"/>
      <c r="E93" s="34"/>
      <c r="F93" s="6"/>
      <c r="G93" s="6"/>
      <c r="H93" s="7"/>
      <c r="I93" s="7"/>
      <c r="J93" s="2"/>
      <c r="K93" s="2"/>
      <c r="L93" s="2"/>
      <c r="M93" s="8"/>
      <c r="N93" s="163" t="str">
        <f t="shared" si="5"/>
        <v/>
      </c>
      <c r="O93" s="126" t="str">
        <f t="shared" si="6"/>
        <v>-</v>
      </c>
      <c r="P93" s="164"/>
      <c r="Q93" s="164"/>
      <c r="R93" s="164"/>
      <c r="S93" s="164"/>
      <c r="T93" s="164"/>
      <c r="U93" s="164"/>
      <c r="V93" s="164"/>
    </row>
    <row r="94" spans="1:25" ht="27" customHeight="1">
      <c r="A94" s="38">
        <v>85</v>
      </c>
      <c r="B94" s="4"/>
      <c r="C94" s="5"/>
      <c r="D94" s="34"/>
      <c r="E94" s="34"/>
      <c r="F94" s="6"/>
      <c r="G94" s="6"/>
      <c r="H94" s="7"/>
      <c r="I94" s="7"/>
      <c r="J94" s="2"/>
      <c r="K94" s="2"/>
      <c r="L94" s="2"/>
      <c r="M94" s="8"/>
      <c r="N94" s="163" t="str">
        <f t="shared" si="5"/>
        <v/>
      </c>
      <c r="O94" s="126" t="str">
        <f t="shared" si="6"/>
        <v>-</v>
      </c>
      <c r="P94" s="164"/>
      <c r="Q94" s="164"/>
      <c r="R94" s="164"/>
      <c r="S94" s="164"/>
      <c r="T94" s="164"/>
      <c r="U94" s="164"/>
      <c r="V94" s="164"/>
    </row>
    <row r="95" spans="1:25" ht="27" customHeight="1">
      <c r="A95" s="38">
        <v>86</v>
      </c>
      <c r="B95" s="4"/>
      <c r="C95" s="5"/>
      <c r="D95" s="34"/>
      <c r="E95" s="34"/>
      <c r="F95" s="6"/>
      <c r="G95" s="6"/>
      <c r="H95" s="7"/>
      <c r="I95" s="7"/>
      <c r="J95" s="2"/>
      <c r="K95" s="2"/>
      <c r="L95" s="2"/>
      <c r="M95" s="8"/>
      <c r="N95" s="163" t="str">
        <f t="shared" si="5"/>
        <v/>
      </c>
      <c r="O95" s="126" t="str">
        <f t="shared" si="6"/>
        <v>-</v>
      </c>
      <c r="P95" s="164"/>
      <c r="Q95" s="164"/>
      <c r="R95" s="164"/>
      <c r="S95" s="164"/>
      <c r="T95" s="164"/>
      <c r="U95" s="164"/>
      <c r="V95" s="164"/>
    </row>
    <row r="96" spans="1:25" ht="27" customHeight="1">
      <c r="A96" s="38">
        <v>87</v>
      </c>
      <c r="B96" s="4"/>
      <c r="C96" s="5"/>
      <c r="D96" s="34"/>
      <c r="E96" s="34"/>
      <c r="F96" s="6"/>
      <c r="G96" s="6"/>
      <c r="H96" s="7"/>
      <c r="I96" s="7"/>
      <c r="J96" s="2"/>
      <c r="K96" s="2"/>
      <c r="L96" s="2"/>
      <c r="M96" s="8"/>
      <c r="N96" s="163" t="str">
        <f t="shared" si="5"/>
        <v/>
      </c>
      <c r="O96" s="126" t="str">
        <f t="shared" si="6"/>
        <v>-</v>
      </c>
      <c r="P96" s="164"/>
      <c r="Q96" s="164"/>
      <c r="R96" s="164"/>
      <c r="S96" s="164"/>
      <c r="T96" s="164"/>
      <c r="U96" s="164"/>
      <c r="V96" s="164"/>
    </row>
    <row r="97" spans="1:25" ht="27" customHeight="1">
      <c r="A97" s="38">
        <v>88</v>
      </c>
      <c r="B97" s="4"/>
      <c r="C97" s="5"/>
      <c r="D97" s="34"/>
      <c r="E97" s="34"/>
      <c r="F97" s="6"/>
      <c r="G97" s="6"/>
      <c r="H97" s="7"/>
      <c r="I97" s="7"/>
      <c r="J97" s="2"/>
      <c r="K97" s="2"/>
      <c r="L97" s="2"/>
      <c r="M97" s="8"/>
      <c r="N97" s="163" t="str">
        <f t="shared" si="5"/>
        <v/>
      </c>
      <c r="O97" s="126" t="str">
        <f t="shared" si="6"/>
        <v>-</v>
      </c>
      <c r="P97" s="164"/>
      <c r="Q97" s="164"/>
      <c r="R97" s="164"/>
      <c r="S97" s="164"/>
      <c r="T97" s="164"/>
      <c r="U97" s="164"/>
      <c r="V97" s="164"/>
    </row>
    <row r="98" spans="1:25" ht="27" customHeight="1">
      <c r="A98" s="38">
        <v>89</v>
      </c>
      <c r="B98" s="4"/>
      <c r="C98" s="5"/>
      <c r="D98" s="34"/>
      <c r="E98" s="34"/>
      <c r="F98" s="6"/>
      <c r="G98" s="6"/>
      <c r="H98" s="7"/>
      <c r="I98" s="7"/>
      <c r="J98" s="2"/>
      <c r="K98" s="2"/>
      <c r="L98" s="2"/>
      <c r="M98" s="8"/>
      <c r="N98" s="163" t="str">
        <f t="shared" si="5"/>
        <v/>
      </c>
      <c r="O98" s="126" t="str">
        <f t="shared" si="6"/>
        <v>-</v>
      </c>
      <c r="P98" s="164"/>
      <c r="Q98" s="164"/>
      <c r="R98" s="164"/>
      <c r="S98" s="164"/>
      <c r="T98" s="164"/>
      <c r="U98" s="164"/>
      <c r="V98" s="164"/>
    </row>
    <row r="99" spans="1:25" ht="27" customHeight="1">
      <c r="A99" s="38">
        <v>90</v>
      </c>
      <c r="B99" s="4"/>
      <c r="C99" s="5"/>
      <c r="D99" s="34"/>
      <c r="E99" s="34"/>
      <c r="F99" s="6"/>
      <c r="G99" s="6"/>
      <c r="H99" s="7"/>
      <c r="I99" s="7"/>
      <c r="J99" s="2"/>
      <c r="K99" s="2"/>
      <c r="L99" s="2"/>
      <c r="M99" s="8"/>
      <c r="N99" s="163" t="str">
        <f t="shared" si="5"/>
        <v/>
      </c>
      <c r="O99" s="126" t="str">
        <f t="shared" si="6"/>
        <v>-</v>
      </c>
      <c r="P99" s="164"/>
      <c r="Q99" s="164"/>
      <c r="R99" s="164"/>
      <c r="S99" s="164"/>
      <c r="T99" s="164"/>
      <c r="U99" s="164"/>
      <c r="V99" s="164"/>
    </row>
    <row r="100" spans="1:25" ht="27" customHeight="1">
      <c r="A100" s="38">
        <v>91</v>
      </c>
      <c r="B100" s="4"/>
      <c r="C100" s="5"/>
      <c r="D100" s="34"/>
      <c r="E100" s="34"/>
      <c r="F100" s="6"/>
      <c r="G100" s="6"/>
      <c r="H100" s="7"/>
      <c r="I100" s="7"/>
      <c r="J100" s="2"/>
      <c r="K100" s="2"/>
      <c r="L100" s="2"/>
      <c r="M100" s="8"/>
      <c r="N100" s="163" t="str">
        <f t="shared" si="5"/>
        <v/>
      </c>
      <c r="O100" s="126" t="str">
        <f t="shared" si="6"/>
        <v>-</v>
      </c>
      <c r="P100" s="164"/>
      <c r="Q100" s="164"/>
      <c r="R100" s="164"/>
      <c r="S100" s="164"/>
      <c r="T100" s="164"/>
      <c r="U100" s="164"/>
      <c r="V100" s="164"/>
    </row>
    <row r="101" spans="1:25" ht="27" customHeight="1">
      <c r="A101" s="38">
        <v>92</v>
      </c>
      <c r="B101" s="4"/>
      <c r="C101" s="5"/>
      <c r="D101" s="34"/>
      <c r="E101" s="34"/>
      <c r="F101" s="6"/>
      <c r="G101" s="6"/>
      <c r="H101" s="7"/>
      <c r="I101" s="7"/>
      <c r="J101" s="2"/>
      <c r="K101" s="2"/>
      <c r="L101" s="2"/>
      <c r="M101" s="8"/>
      <c r="N101" s="163" t="str">
        <f t="shared" si="5"/>
        <v/>
      </c>
      <c r="O101" s="126" t="str">
        <f t="shared" si="6"/>
        <v>-</v>
      </c>
      <c r="P101" s="164"/>
      <c r="Q101" s="164"/>
      <c r="R101" s="164"/>
      <c r="S101" s="164"/>
      <c r="T101" s="164"/>
      <c r="U101" s="164"/>
      <c r="V101" s="164"/>
    </row>
    <row r="102" spans="1:25" ht="27" customHeight="1">
      <c r="A102" s="38">
        <v>93</v>
      </c>
      <c r="B102" s="4"/>
      <c r="C102" s="5"/>
      <c r="D102" s="34"/>
      <c r="E102" s="34"/>
      <c r="F102" s="6"/>
      <c r="G102" s="6"/>
      <c r="H102" s="7"/>
      <c r="I102" s="7"/>
      <c r="J102" s="67"/>
      <c r="K102" s="67"/>
      <c r="L102" s="2"/>
      <c r="M102" s="8"/>
      <c r="N102" s="163" t="str">
        <f t="shared" si="5"/>
        <v/>
      </c>
      <c r="O102" s="126" t="str">
        <f t="shared" si="6"/>
        <v>-</v>
      </c>
      <c r="P102" s="164"/>
      <c r="Q102" s="164"/>
      <c r="R102" s="164"/>
      <c r="S102" s="164"/>
      <c r="T102" s="164"/>
      <c r="U102" s="164"/>
      <c r="V102" s="164"/>
    </row>
    <row r="103" spans="1:25" ht="27" customHeight="1">
      <c r="A103" s="38">
        <v>94</v>
      </c>
      <c r="B103" s="4"/>
      <c r="C103" s="5"/>
      <c r="D103" s="34"/>
      <c r="E103" s="34"/>
      <c r="F103" s="6"/>
      <c r="G103" s="6"/>
      <c r="H103" s="7"/>
      <c r="I103" s="7"/>
      <c r="J103" s="2"/>
      <c r="K103" s="2"/>
      <c r="L103" s="2"/>
      <c r="M103" s="8"/>
      <c r="N103" s="163" t="str">
        <f t="shared" si="5"/>
        <v/>
      </c>
      <c r="O103" s="126" t="str">
        <f t="shared" si="6"/>
        <v>-</v>
      </c>
      <c r="P103" s="164"/>
      <c r="Q103" s="164"/>
      <c r="R103" s="164"/>
      <c r="S103" s="164"/>
      <c r="T103" s="164"/>
      <c r="U103" s="164"/>
      <c r="V103" s="164"/>
    </row>
    <row r="104" spans="1:25" ht="27" customHeight="1">
      <c r="A104" s="38">
        <v>95</v>
      </c>
      <c r="B104" s="4"/>
      <c r="C104" s="5"/>
      <c r="D104" s="34"/>
      <c r="E104" s="34"/>
      <c r="F104" s="6"/>
      <c r="G104" s="6"/>
      <c r="H104" s="7"/>
      <c r="I104" s="7"/>
      <c r="J104" s="2"/>
      <c r="K104" s="2"/>
      <c r="L104" s="2"/>
      <c r="M104" s="8"/>
      <c r="N104" s="163" t="str">
        <f t="shared" si="5"/>
        <v/>
      </c>
      <c r="O104" s="126" t="str">
        <f t="shared" si="6"/>
        <v>-</v>
      </c>
      <c r="P104" s="164"/>
      <c r="Q104" s="164"/>
      <c r="R104" s="164"/>
      <c r="S104" s="164"/>
      <c r="T104" s="164"/>
      <c r="U104" s="164"/>
      <c r="V104" s="164"/>
    </row>
    <row r="105" spans="1:25" ht="27" customHeight="1">
      <c r="A105" s="38">
        <v>96</v>
      </c>
      <c r="B105" s="4"/>
      <c r="C105" s="5"/>
      <c r="D105" s="34"/>
      <c r="E105" s="34"/>
      <c r="F105" s="6"/>
      <c r="G105" s="6"/>
      <c r="H105" s="7"/>
      <c r="I105" s="7"/>
      <c r="J105" s="2"/>
      <c r="K105" s="2"/>
      <c r="L105" s="2"/>
      <c r="M105" s="8"/>
      <c r="N105" s="163" t="str">
        <f t="shared" si="5"/>
        <v/>
      </c>
      <c r="O105" s="126" t="str">
        <f t="shared" si="6"/>
        <v>-</v>
      </c>
      <c r="P105" s="164"/>
      <c r="Q105" s="164"/>
      <c r="R105" s="164"/>
      <c r="S105" s="164"/>
      <c r="T105" s="164"/>
      <c r="U105" s="164"/>
      <c r="V105" s="165"/>
    </row>
    <row r="106" spans="1:25" ht="27" customHeight="1">
      <c r="A106" s="38">
        <v>97</v>
      </c>
      <c r="B106" s="4"/>
      <c r="C106" s="5"/>
      <c r="D106" s="34"/>
      <c r="E106" s="34"/>
      <c r="F106" s="6"/>
      <c r="G106" s="6"/>
      <c r="H106" s="7"/>
      <c r="I106" s="7"/>
      <c r="J106" s="2"/>
      <c r="K106" s="2"/>
      <c r="L106" s="2"/>
      <c r="M106" s="8"/>
      <c r="N106" s="163" t="str">
        <f t="shared" si="5"/>
        <v/>
      </c>
      <c r="O106" s="126" t="str">
        <f t="shared" si="6"/>
        <v>-</v>
      </c>
      <c r="P106" s="164"/>
      <c r="Q106" s="164"/>
      <c r="R106" s="164"/>
      <c r="S106" s="164"/>
      <c r="T106" s="164"/>
      <c r="U106" s="164"/>
      <c r="V106" s="165"/>
    </row>
    <row r="107" spans="1:25" ht="27" customHeight="1">
      <c r="A107" s="38">
        <v>98</v>
      </c>
      <c r="B107" s="4"/>
      <c r="C107" s="5"/>
      <c r="D107" s="34"/>
      <c r="E107" s="34"/>
      <c r="F107" s="6"/>
      <c r="G107" s="6"/>
      <c r="H107" s="7"/>
      <c r="I107" s="7"/>
      <c r="J107" s="2"/>
      <c r="K107" s="2"/>
      <c r="L107" s="2"/>
      <c r="M107" s="8"/>
      <c r="N107" s="163" t="str">
        <f t="shared" si="5"/>
        <v/>
      </c>
      <c r="O107" s="126" t="str">
        <f t="shared" si="6"/>
        <v>-</v>
      </c>
      <c r="P107" s="164"/>
      <c r="Q107" s="164"/>
      <c r="R107" s="164"/>
      <c r="S107" s="164"/>
      <c r="T107" s="164"/>
      <c r="U107" s="164"/>
      <c r="V107" s="165"/>
    </row>
    <row r="108" spans="1:25" ht="27" customHeight="1">
      <c r="A108" s="38">
        <v>99</v>
      </c>
      <c r="B108" s="4"/>
      <c r="C108" s="5"/>
      <c r="D108" s="34"/>
      <c r="E108" s="34"/>
      <c r="F108" s="6"/>
      <c r="G108" s="6"/>
      <c r="H108" s="7"/>
      <c r="I108" s="58"/>
      <c r="J108" s="67"/>
      <c r="K108" s="67"/>
      <c r="L108" s="2"/>
      <c r="M108" s="8"/>
      <c r="N108" s="163" t="str">
        <f t="shared" si="5"/>
        <v/>
      </c>
      <c r="O108" s="126" t="str">
        <f t="shared" si="6"/>
        <v>-</v>
      </c>
      <c r="P108" s="164"/>
      <c r="Q108" s="164"/>
      <c r="R108" s="164"/>
      <c r="S108" s="164"/>
      <c r="T108" s="164"/>
      <c r="U108" s="164"/>
      <c r="V108" s="165"/>
    </row>
    <row r="109" spans="1:25" ht="27" customHeight="1">
      <c r="A109" s="39">
        <v>100</v>
      </c>
      <c r="B109" s="14"/>
      <c r="C109" s="15"/>
      <c r="D109" s="35"/>
      <c r="E109" s="35"/>
      <c r="F109" s="16"/>
      <c r="G109" s="16"/>
      <c r="H109" s="17"/>
      <c r="I109" s="17"/>
      <c r="J109" s="3"/>
      <c r="K109" s="3"/>
      <c r="L109" s="3"/>
      <c r="M109" s="18"/>
      <c r="N109" s="163" t="str">
        <f t="shared" si="5"/>
        <v/>
      </c>
      <c r="O109" s="126" t="str">
        <f t="shared" si="6"/>
        <v>-</v>
      </c>
      <c r="P109" s="164"/>
      <c r="Q109" s="164"/>
      <c r="R109" s="164"/>
      <c r="S109" s="164"/>
      <c r="T109" s="164"/>
      <c r="U109" s="164"/>
      <c r="V109" s="166"/>
      <c r="W109" s="164"/>
      <c r="X109" s="164"/>
      <c r="Y109" s="164"/>
    </row>
    <row r="110" spans="1:25" ht="27" customHeight="1">
      <c r="A110" s="172" t="s">
        <v>44</v>
      </c>
      <c r="B110" s="173"/>
      <c r="C110" s="174"/>
      <c r="D110" s="175"/>
      <c r="E110" s="175">
        <f>SUM(E90:E109)</f>
        <v>0</v>
      </c>
      <c r="F110" s="176"/>
      <c r="G110" s="176"/>
      <c r="H110" s="176"/>
      <c r="I110" s="176"/>
      <c r="J110" s="176"/>
      <c r="K110" s="176"/>
      <c r="L110" s="176"/>
      <c r="M110" s="177"/>
      <c r="N110" s="163" t="str">
        <f t="shared" si="5"/>
        <v/>
      </c>
      <c r="O110" s="126"/>
      <c r="P110" s="164"/>
      <c r="Q110" s="164"/>
      <c r="R110" s="164"/>
      <c r="S110" s="164"/>
      <c r="T110" s="164"/>
      <c r="U110" s="164"/>
      <c r="V110" s="166"/>
      <c r="W110" s="164"/>
      <c r="X110" s="164"/>
      <c r="Y110" s="164"/>
    </row>
    <row r="111" spans="1:25" ht="27" customHeight="1">
      <c r="A111" s="37">
        <v>101</v>
      </c>
      <c r="B111" s="9"/>
      <c r="C111" s="10"/>
      <c r="D111" s="33"/>
      <c r="E111" s="33"/>
      <c r="F111" s="11"/>
      <c r="G111" s="11"/>
      <c r="H111" s="12"/>
      <c r="I111" s="12"/>
      <c r="J111" s="32"/>
      <c r="K111" s="32"/>
      <c r="L111" s="32"/>
      <c r="M111" s="13"/>
      <c r="N111" s="163" t="str">
        <f t="shared" si="5"/>
        <v/>
      </c>
      <c r="O111" s="126" t="str">
        <f>IF(D111&gt;=E111,"-","ERR")</f>
        <v>-</v>
      </c>
      <c r="P111" s="164"/>
      <c r="Q111" s="164"/>
      <c r="R111" s="164"/>
      <c r="S111" s="164"/>
      <c r="T111" s="164"/>
      <c r="U111" s="164"/>
      <c r="V111" s="164"/>
    </row>
    <row r="112" spans="1:25" ht="27" customHeight="1">
      <c r="A112" s="38">
        <v>102</v>
      </c>
      <c r="B112" s="4"/>
      <c r="C112" s="5"/>
      <c r="D112" s="34"/>
      <c r="E112" s="34"/>
      <c r="F112" s="6"/>
      <c r="G112" s="6"/>
      <c r="H112" s="7"/>
      <c r="I112" s="7"/>
      <c r="J112" s="2"/>
      <c r="K112" s="2"/>
      <c r="L112" s="2"/>
      <c r="M112" s="8"/>
      <c r="N112" s="163" t="str">
        <f t="shared" si="5"/>
        <v/>
      </c>
      <c r="O112" s="126" t="str">
        <f t="shared" ref="O112:O130" si="7">IF(D112&gt;=E112,"-","ERR")</f>
        <v>-</v>
      </c>
      <c r="P112" s="164"/>
      <c r="Q112" s="164"/>
      <c r="R112" s="164"/>
      <c r="S112" s="164"/>
      <c r="T112" s="164"/>
      <c r="U112" s="164"/>
      <c r="V112" s="164"/>
    </row>
    <row r="113" spans="1:22" ht="27" customHeight="1">
      <c r="A113" s="38">
        <v>103</v>
      </c>
      <c r="B113" s="4"/>
      <c r="C113" s="5"/>
      <c r="D113" s="34"/>
      <c r="E113" s="34"/>
      <c r="F113" s="6"/>
      <c r="G113" s="6"/>
      <c r="H113" s="7"/>
      <c r="I113" s="7"/>
      <c r="J113" s="2"/>
      <c r="K113" s="2"/>
      <c r="L113" s="2"/>
      <c r="M113" s="8"/>
      <c r="N113" s="163" t="str">
        <f t="shared" si="5"/>
        <v/>
      </c>
      <c r="O113" s="126" t="str">
        <f t="shared" si="7"/>
        <v>-</v>
      </c>
      <c r="P113" s="164"/>
      <c r="Q113" s="164"/>
      <c r="R113" s="164"/>
      <c r="S113" s="164"/>
      <c r="T113" s="164"/>
      <c r="U113" s="164"/>
      <c r="V113" s="164"/>
    </row>
    <row r="114" spans="1:22" ht="27" customHeight="1">
      <c r="A114" s="38">
        <v>104</v>
      </c>
      <c r="B114" s="4"/>
      <c r="C114" s="5"/>
      <c r="D114" s="34"/>
      <c r="E114" s="34"/>
      <c r="F114" s="6"/>
      <c r="G114" s="6"/>
      <c r="H114" s="7"/>
      <c r="I114" s="7"/>
      <c r="J114" s="2"/>
      <c r="K114" s="2"/>
      <c r="L114" s="2"/>
      <c r="M114" s="8"/>
      <c r="N114" s="163" t="str">
        <f t="shared" si="5"/>
        <v/>
      </c>
      <c r="O114" s="126" t="str">
        <f t="shared" si="7"/>
        <v>-</v>
      </c>
      <c r="P114" s="164"/>
      <c r="Q114" s="164"/>
      <c r="R114" s="164"/>
      <c r="S114" s="164"/>
      <c r="T114" s="164"/>
      <c r="U114" s="164"/>
      <c r="V114" s="164"/>
    </row>
    <row r="115" spans="1:22" ht="27" customHeight="1">
      <c r="A115" s="38">
        <v>105</v>
      </c>
      <c r="B115" s="4"/>
      <c r="C115" s="5"/>
      <c r="D115" s="34"/>
      <c r="E115" s="34"/>
      <c r="F115" s="6"/>
      <c r="G115" s="6"/>
      <c r="H115" s="7"/>
      <c r="I115" s="7"/>
      <c r="J115" s="2"/>
      <c r="K115" s="2"/>
      <c r="L115" s="2"/>
      <c r="M115" s="8"/>
      <c r="N115" s="163" t="str">
        <f t="shared" si="5"/>
        <v/>
      </c>
      <c r="O115" s="126" t="str">
        <f t="shared" si="7"/>
        <v>-</v>
      </c>
      <c r="P115" s="164"/>
      <c r="Q115" s="164"/>
      <c r="R115" s="164"/>
      <c r="S115" s="164"/>
      <c r="T115" s="164"/>
      <c r="U115" s="164"/>
      <c r="V115" s="164"/>
    </row>
    <row r="116" spans="1:22" ht="27" customHeight="1">
      <c r="A116" s="38">
        <v>106</v>
      </c>
      <c r="B116" s="4"/>
      <c r="C116" s="5"/>
      <c r="D116" s="34"/>
      <c r="E116" s="34"/>
      <c r="F116" s="6"/>
      <c r="G116" s="6"/>
      <c r="H116" s="7"/>
      <c r="I116" s="7"/>
      <c r="J116" s="2"/>
      <c r="K116" s="2"/>
      <c r="L116" s="2"/>
      <c r="M116" s="8"/>
      <c r="N116" s="163" t="str">
        <f t="shared" si="5"/>
        <v/>
      </c>
      <c r="O116" s="126" t="str">
        <f t="shared" si="7"/>
        <v>-</v>
      </c>
      <c r="P116" s="164"/>
      <c r="Q116" s="164"/>
      <c r="R116" s="164"/>
      <c r="S116" s="164"/>
      <c r="T116" s="164"/>
      <c r="U116" s="164"/>
      <c r="V116" s="164"/>
    </row>
    <row r="117" spans="1:22" ht="27" customHeight="1">
      <c r="A117" s="38">
        <v>107</v>
      </c>
      <c r="B117" s="4"/>
      <c r="C117" s="5"/>
      <c r="D117" s="34"/>
      <c r="E117" s="34"/>
      <c r="F117" s="6"/>
      <c r="G117" s="6"/>
      <c r="H117" s="7"/>
      <c r="I117" s="7"/>
      <c r="J117" s="2"/>
      <c r="K117" s="2"/>
      <c r="L117" s="2"/>
      <c r="M117" s="8"/>
      <c r="N117" s="163" t="str">
        <f t="shared" si="5"/>
        <v/>
      </c>
      <c r="O117" s="126" t="str">
        <f t="shared" si="7"/>
        <v>-</v>
      </c>
      <c r="P117" s="164"/>
      <c r="Q117" s="164"/>
      <c r="R117" s="164"/>
      <c r="S117" s="164"/>
      <c r="T117" s="164"/>
      <c r="U117" s="164"/>
      <c r="V117" s="164"/>
    </row>
    <row r="118" spans="1:22" ht="27" customHeight="1">
      <c r="A118" s="38">
        <v>108</v>
      </c>
      <c r="B118" s="4"/>
      <c r="C118" s="5"/>
      <c r="D118" s="34"/>
      <c r="E118" s="34"/>
      <c r="F118" s="6"/>
      <c r="G118" s="6"/>
      <c r="H118" s="7"/>
      <c r="I118" s="7"/>
      <c r="J118" s="2"/>
      <c r="K118" s="2"/>
      <c r="L118" s="2"/>
      <c r="M118" s="8"/>
      <c r="N118" s="163" t="str">
        <f t="shared" si="5"/>
        <v/>
      </c>
      <c r="O118" s="126" t="str">
        <f t="shared" si="7"/>
        <v>-</v>
      </c>
      <c r="P118" s="164"/>
      <c r="Q118" s="164"/>
      <c r="R118" s="164"/>
      <c r="S118" s="164"/>
      <c r="T118" s="164"/>
      <c r="U118" s="164"/>
      <c r="V118" s="164"/>
    </row>
    <row r="119" spans="1:22" ht="27" customHeight="1">
      <c r="A119" s="38">
        <v>109</v>
      </c>
      <c r="B119" s="4"/>
      <c r="C119" s="5"/>
      <c r="D119" s="34"/>
      <c r="E119" s="34"/>
      <c r="F119" s="6"/>
      <c r="G119" s="6"/>
      <c r="H119" s="7"/>
      <c r="I119" s="7"/>
      <c r="J119" s="2"/>
      <c r="K119" s="2"/>
      <c r="L119" s="2"/>
      <c r="M119" s="8"/>
      <c r="N119" s="163" t="str">
        <f t="shared" si="5"/>
        <v/>
      </c>
      <c r="O119" s="126" t="str">
        <f t="shared" si="7"/>
        <v>-</v>
      </c>
      <c r="P119" s="164"/>
      <c r="Q119" s="164"/>
      <c r="R119" s="164"/>
      <c r="S119" s="164"/>
      <c r="T119" s="164"/>
      <c r="U119" s="164"/>
      <c r="V119" s="164"/>
    </row>
    <row r="120" spans="1:22" ht="27" customHeight="1">
      <c r="A120" s="38">
        <v>110</v>
      </c>
      <c r="B120" s="4"/>
      <c r="C120" s="5"/>
      <c r="D120" s="34"/>
      <c r="E120" s="34"/>
      <c r="F120" s="6"/>
      <c r="G120" s="6"/>
      <c r="H120" s="7"/>
      <c r="I120" s="7"/>
      <c r="J120" s="2"/>
      <c r="K120" s="2"/>
      <c r="L120" s="2"/>
      <c r="M120" s="8"/>
      <c r="N120" s="163" t="str">
        <f t="shared" si="5"/>
        <v/>
      </c>
      <c r="O120" s="126" t="str">
        <f t="shared" si="7"/>
        <v>-</v>
      </c>
      <c r="P120" s="164"/>
      <c r="Q120" s="164"/>
      <c r="R120" s="164"/>
      <c r="S120" s="164"/>
      <c r="T120" s="164"/>
      <c r="U120" s="164"/>
      <c r="V120" s="164"/>
    </row>
    <row r="121" spans="1:22" ht="27" customHeight="1">
      <c r="A121" s="38">
        <v>111</v>
      </c>
      <c r="B121" s="4"/>
      <c r="C121" s="5"/>
      <c r="D121" s="34"/>
      <c r="E121" s="34"/>
      <c r="F121" s="6"/>
      <c r="G121" s="6"/>
      <c r="H121" s="7"/>
      <c r="I121" s="7"/>
      <c r="J121" s="2"/>
      <c r="K121" s="2"/>
      <c r="L121" s="2"/>
      <c r="M121" s="8"/>
      <c r="N121" s="163" t="str">
        <f t="shared" si="5"/>
        <v/>
      </c>
      <c r="O121" s="126" t="str">
        <f t="shared" si="7"/>
        <v>-</v>
      </c>
      <c r="P121" s="164"/>
      <c r="Q121" s="164"/>
      <c r="R121" s="164"/>
      <c r="S121" s="164"/>
      <c r="T121" s="164"/>
      <c r="U121" s="164"/>
      <c r="V121" s="164"/>
    </row>
    <row r="122" spans="1:22" ht="27" customHeight="1">
      <c r="A122" s="38">
        <v>112</v>
      </c>
      <c r="B122" s="4"/>
      <c r="C122" s="5"/>
      <c r="D122" s="34"/>
      <c r="E122" s="34"/>
      <c r="F122" s="6"/>
      <c r="G122" s="6"/>
      <c r="H122" s="7"/>
      <c r="I122" s="7"/>
      <c r="J122" s="2"/>
      <c r="K122" s="2"/>
      <c r="L122" s="2"/>
      <c r="M122" s="8"/>
      <c r="N122" s="163" t="str">
        <f t="shared" si="5"/>
        <v/>
      </c>
      <c r="O122" s="126" t="str">
        <f t="shared" si="7"/>
        <v>-</v>
      </c>
      <c r="P122" s="164"/>
      <c r="Q122" s="164"/>
      <c r="R122" s="164"/>
      <c r="S122" s="164"/>
      <c r="T122" s="164"/>
      <c r="U122" s="164"/>
      <c r="V122" s="164"/>
    </row>
    <row r="123" spans="1:22" ht="27" customHeight="1">
      <c r="A123" s="38">
        <v>113</v>
      </c>
      <c r="B123" s="4"/>
      <c r="C123" s="5"/>
      <c r="D123" s="34"/>
      <c r="E123" s="34"/>
      <c r="F123" s="6"/>
      <c r="G123" s="6"/>
      <c r="H123" s="7"/>
      <c r="I123" s="7"/>
      <c r="J123" s="2"/>
      <c r="K123" s="2"/>
      <c r="L123" s="2"/>
      <c r="M123" s="8"/>
      <c r="N123" s="163" t="str">
        <f t="shared" si="5"/>
        <v/>
      </c>
      <c r="O123" s="126" t="str">
        <f t="shared" si="7"/>
        <v>-</v>
      </c>
      <c r="P123" s="164"/>
      <c r="Q123" s="164"/>
      <c r="R123" s="164"/>
      <c r="S123" s="164"/>
      <c r="T123" s="164"/>
      <c r="U123" s="164"/>
      <c r="V123" s="164"/>
    </row>
    <row r="124" spans="1:22" ht="27" customHeight="1">
      <c r="A124" s="38">
        <v>114</v>
      </c>
      <c r="B124" s="4"/>
      <c r="C124" s="5"/>
      <c r="D124" s="34"/>
      <c r="E124" s="34"/>
      <c r="F124" s="6"/>
      <c r="G124" s="6"/>
      <c r="H124" s="7"/>
      <c r="I124" s="7"/>
      <c r="J124" s="2"/>
      <c r="K124" s="2"/>
      <c r="L124" s="2"/>
      <c r="M124" s="8"/>
      <c r="N124" s="163" t="str">
        <f t="shared" si="5"/>
        <v/>
      </c>
      <c r="O124" s="126" t="str">
        <f t="shared" si="7"/>
        <v>-</v>
      </c>
      <c r="P124" s="164"/>
      <c r="Q124" s="164"/>
      <c r="R124" s="164"/>
      <c r="S124" s="164"/>
      <c r="T124" s="164"/>
      <c r="U124" s="164"/>
      <c r="V124" s="164"/>
    </row>
    <row r="125" spans="1:22" ht="27" customHeight="1">
      <c r="A125" s="38">
        <v>115</v>
      </c>
      <c r="B125" s="4"/>
      <c r="C125" s="5"/>
      <c r="D125" s="34"/>
      <c r="E125" s="34"/>
      <c r="F125" s="6"/>
      <c r="G125" s="6"/>
      <c r="H125" s="7"/>
      <c r="I125" s="7"/>
      <c r="J125" s="2"/>
      <c r="K125" s="2"/>
      <c r="L125" s="2"/>
      <c r="M125" s="8"/>
      <c r="N125" s="163" t="str">
        <f t="shared" si="5"/>
        <v/>
      </c>
      <c r="O125" s="126" t="str">
        <f t="shared" si="7"/>
        <v>-</v>
      </c>
      <c r="P125" s="164"/>
      <c r="Q125" s="164"/>
      <c r="R125" s="164"/>
      <c r="S125" s="164"/>
      <c r="T125" s="164"/>
      <c r="U125" s="164"/>
      <c r="V125" s="164"/>
    </row>
    <row r="126" spans="1:22" ht="27" customHeight="1">
      <c r="A126" s="38">
        <v>116</v>
      </c>
      <c r="B126" s="4"/>
      <c r="C126" s="5"/>
      <c r="D126" s="34"/>
      <c r="E126" s="34"/>
      <c r="F126" s="6"/>
      <c r="G126" s="6"/>
      <c r="H126" s="7"/>
      <c r="I126" s="7"/>
      <c r="J126" s="2"/>
      <c r="K126" s="2"/>
      <c r="L126" s="2"/>
      <c r="M126" s="8"/>
      <c r="N126" s="163" t="str">
        <f t="shared" si="5"/>
        <v/>
      </c>
      <c r="O126" s="126" t="str">
        <f t="shared" si="7"/>
        <v>-</v>
      </c>
      <c r="P126" s="164"/>
      <c r="Q126" s="164"/>
      <c r="R126" s="164"/>
      <c r="S126" s="164"/>
      <c r="T126" s="164"/>
      <c r="U126" s="164"/>
      <c r="V126" s="165"/>
    </row>
    <row r="127" spans="1:22" ht="27" customHeight="1">
      <c r="A127" s="38">
        <v>117</v>
      </c>
      <c r="B127" s="4"/>
      <c r="C127" s="5"/>
      <c r="D127" s="34"/>
      <c r="E127" s="34"/>
      <c r="F127" s="6"/>
      <c r="G127" s="6"/>
      <c r="H127" s="7"/>
      <c r="I127" s="7"/>
      <c r="J127" s="2"/>
      <c r="K127" s="2"/>
      <c r="L127" s="2"/>
      <c r="M127" s="8"/>
      <c r="N127" s="163" t="str">
        <f t="shared" si="5"/>
        <v/>
      </c>
      <c r="O127" s="126" t="str">
        <f t="shared" si="7"/>
        <v>-</v>
      </c>
      <c r="P127" s="164"/>
      <c r="Q127" s="164"/>
      <c r="R127" s="164"/>
      <c r="S127" s="164"/>
      <c r="T127" s="164"/>
      <c r="U127" s="164"/>
      <c r="V127" s="165"/>
    </row>
    <row r="128" spans="1:22" ht="27" customHeight="1">
      <c r="A128" s="38">
        <v>118</v>
      </c>
      <c r="B128" s="4"/>
      <c r="C128" s="5"/>
      <c r="D128" s="34"/>
      <c r="E128" s="34"/>
      <c r="F128" s="6"/>
      <c r="G128" s="6"/>
      <c r="H128" s="7"/>
      <c r="I128" s="7"/>
      <c r="J128" s="2"/>
      <c r="K128" s="2"/>
      <c r="L128" s="2"/>
      <c r="M128" s="8"/>
      <c r="N128" s="163" t="str">
        <f t="shared" si="5"/>
        <v/>
      </c>
      <c r="O128" s="126" t="str">
        <f t="shared" si="7"/>
        <v>-</v>
      </c>
      <c r="P128" s="164"/>
      <c r="Q128" s="164"/>
      <c r="R128" s="164"/>
      <c r="S128" s="164"/>
      <c r="T128" s="164"/>
      <c r="U128" s="164"/>
      <c r="V128" s="165"/>
    </row>
    <row r="129" spans="1:25" ht="27" customHeight="1">
      <c r="A129" s="38">
        <v>119</v>
      </c>
      <c r="B129" s="4"/>
      <c r="C129" s="5"/>
      <c r="D129" s="34"/>
      <c r="E129" s="34"/>
      <c r="F129" s="6"/>
      <c r="G129" s="6"/>
      <c r="H129" s="7"/>
      <c r="I129" s="7"/>
      <c r="J129" s="2"/>
      <c r="K129" s="2"/>
      <c r="L129" s="2"/>
      <c r="M129" s="8"/>
      <c r="N129" s="163" t="str">
        <f t="shared" si="5"/>
        <v/>
      </c>
      <c r="O129" s="126" t="str">
        <f t="shared" si="7"/>
        <v>-</v>
      </c>
      <c r="P129" s="164"/>
      <c r="Q129" s="164"/>
      <c r="R129" s="164"/>
      <c r="S129" s="164"/>
      <c r="T129" s="164"/>
      <c r="U129" s="164"/>
      <c r="V129" s="165"/>
    </row>
    <row r="130" spans="1:25" ht="27" customHeight="1">
      <c r="A130" s="39">
        <v>120</v>
      </c>
      <c r="B130" s="14"/>
      <c r="C130" s="15"/>
      <c r="D130" s="35"/>
      <c r="E130" s="35"/>
      <c r="F130" s="16"/>
      <c r="G130" s="16"/>
      <c r="H130" s="17"/>
      <c r="I130" s="17"/>
      <c r="J130" s="3"/>
      <c r="K130" s="3"/>
      <c r="L130" s="3"/>
      <c r="M130" s="18"/>
      <c r="N130" s="163" t="str">
        <f t="shared" si="5"/>
        <v/>
      </c>
      <c r="O130" s="126" t="str">
        <f t="shared" si="7"/>
        <v>-</v>
      </c>
      <c r="P130" s="164"/>
      <c r="Q130" s="164"/>
      <c r="R130" s="164"/>
      <c r="S130" s="164"/>
      <c r="T130" s="164"/>
      <c r="U130" s="164"/>
      <c r="V130" s="166"/>
      <c r="W130" s="164"/>
      <c r="X130" s="164"/>
      <c r="Y130" s="164"/>
    </row>
    <row r="131" spans="1:25" ht="27" customHeight="1">
      <c r="A131" s="172" t="s">
        <v>44</v>
      </c>
      <c r="B131" s="173"/>
      <c r="C131" s="174"/>
      <c r="D131" s="175"/>
      <c r="E131" s="175">
        <f>SUM(E111:E130)</f>
        <v>0</v>
      </c>
      <c r="F131" s="176"/>
      <c r="G131" s="176"/>
      <c r="H131" s="176"/>
      <c r="I131" s="176"/>
      <c r="J131" s="176"/>
      <c r="K131" s="176"/>
      <c r="L131" s="176"/>
      <c r="M131" s="177"/>
      <c r="N131" s="163" t="str">
        <f t="shared" si="5"/>
        <v/>
      </c>
      <c r="O131" s="126"/>
      <c r="P131" s="164"/>
      <c r="Q131" s="164"/>
      <c r="R131" s="164"/>
      <c r="S131" s="164"/>
      <c r="T131" s="164"/>
      <c r="U131" s="164"/>
      <c r="V131" s="166"/>
      <c r="W131" s="164"/>
      <c r="X131" s="164"/>
      <c r="Y131" s="164"/>
    </row>
    <row r="132" spans="1:25" ht="27" customHeight="1">
      <c r="A132" s="37">
        <v>121</v>
      </c>
      <c r="B132" s="9"/>
      <c r="C132" s="10"/>
      <c r="D132" s="33"/>
      <c r="E132" s="33"/>
      <c r="F132" s="11"/>
      <c r="G132" s="11"/>
      <c r="H132" s="12"/>
      <c r="I132" s="12"/>
      <c r="J132" s="32"/>
      <c r="K132" s="32"/>
      <c r="L132" s="32"/>
      <c r="M132" s="13"/>
      <c r="N132" s="163" t="str">
        <f t="shared" si="5"/>
        <v/>
      </c>
      <c r="O132" s="126" t="str">
        <f>IF(D132&gt;=E132,"-","ERR")</f>
        <v>-</v>
      </c>
      <c r="P132" s="164"/>
      <c r="Q132" s="164"/>
      <c r="R132" s="164"/>
      <c r="S132" s="164"/>
      <c r="T132" s="164"/>
      <c r="U132" s="164"/>
      <c r="V132" s="164"/>
    </row>
    <row r="133" spans="1:25" ht="27" customHeight="1">
      <c r="A133" s="38">
        <v>122</v>
      </c>
      <c r="B133" s="4"/>
      <c r="C133" s="5"/>
      <c r="D133" s="34"/>
      <c r="E133" s="34"/>
      <c r="F133" s="6"/>
      <c r="G133" s="6"/>
      <c r="H133" s="7"/>
      <c r="I133" s="7"/>
      <c r="J133" s="2"/>
      <c r="K133" s="2"/>
      <c r="L133" s="2"/>
      <c r="M133" s="8"/>
      <c r="N133" s="163" t="str">
        <f t="shared" si="5"/>
        <v/>
      </c>
      <c r="O133" s="126" t="str">
        <f t="shared" ref="O133:O151" si="8">IF(D133&gt;=E133,"-","ERR")</f>
        <v>-</v>
      </c>
      <c r="P133" s="164"/>
      <c r="Q133" s="164"/>
      <c r="R133" s="164"/>
      <c r="S133" s="164"/>
      <c r="T133" s="164"/>
      <c r="U133" s="164"/>
      <c r="V133" s="164"/>
    </row>
    <row r="134" spans="1:25" ht="27" customHeight="1">
      <c r="A134" s="38">
        <v>123</v>
      </c>
      <c r="B134" s="4"/>
      <c r="C134" s="5"/>
      <c r="D134" s="34"/>
      <c r="E134" s="34"/>
      <c r="F134" s="6"/>
      <c r="G134" s="6"/>
      <c r="H134" s="7"/>
      <c r="I134" s="7"/>
      <c r="J134" s="2"/>
      <c r="K134" s="2"/>
      <c r="L134" s="2"/>
      <c r="M134" s="8"/>
      <c r="N134" s="163" t="str">
        <f t="shared" si="5"/>
        <v/>
      </c>
      <c r="O134" s="126" t="str">
        <f t="shared" si="8"/>
        <v>-</v>
      </c>
      <c r="P134" s="164"/>
      <c r="Q134" s="164"/>
      <c r="R134" s="164"/>
      <c r="S134" s="164"/>
      <c r="T134" s="164"/>
      <c r="U134" s="164"/>
      <c r="V134" s="164"/>
    </row>
    <row r="135" spans="1:25" ht="27" customHeight="1">
      <c r="A135" s="38">
        <v>124</v>
      </c>
      <c r="B135" s="28"/>
      <c r="C135" s="29"/>
      <c r="D135" s="36"/>
      <c r="E135" s="36"/>
      <c r="F135" s="30"/>
      <c r="G135" s="30"/>
      <c r="H135" s="31"/>
      <c r="I135" s="31"/>
      <c r="J135" s="2"/>
      <c r="K135" s="2"/>
      <c r="L135" s="2"/>
      <c r="M135" s="8"/>
      <c r="N135" s="163" t="str">
        <f t="shared" ref="N135:N198" si="9">CONCATENATE(C135,H135)</f>
        <v/>
      </c>
      <c r="O135" s="126" t="str">
        <f t="shared" si="8"/>
        <v>-</v>
      </c>
      <c r="P135" s="164"/>
      <c r="Q135" s="164"/>
      <c r="R135" s="164"/>
      <c r="S135" s="164"/>
      <c r="T135" s="164"/>
      <c r="U135" s="164"/>
      <c r="V135" s="164"/>
    </row>
    <row r="136" spans="1:25" ht="27" customHeight="1">
      <c r="A136" s="38">
        <v>125</v>
      </c>
      <c r="B136" s="178"/>
      <c r="C136" s="178"/>
      <c r="D136" s="179"/>
      <c r="E136" s="179"/>
      <c r="F136" s="180"/>
      <c r="G136" s="180"/>
      <c r="H136" s="180"/>
      <c r="I136" s="180"/>
      <c r="J136" s="2"/>
      <c r="K136" s="2"/>
      <c r="L136" s="2"/>
      <c r="M136" s="8"/>
      <c r="N136" s="163" t="str">
        <f t="shared" si="9"/>
        <v/>
      </c>
      <c r="O136" s="126" t="str">
        <f t="shared" si="8"/>
        <v>-</v>
      </c>
      <c r="P136" s="164"/>
      <c r="Q136" s="164"/>
      <c r="R136" s="164"/>
      <c r="S136" s="164"/>
      <c r="T136" s="164"/>
      <c r="U136" s="164"/>
      <c r="V136" s="164"/>
    </row>
    <row r="137" spans="1:25" ht="27" customHeight="1">
      <c r="A137" s="38">
        <v>126</v>
      </c>
      <c r="B137" s="4"/>
      <c r="C137" s="5"/>
      <c r="D137" s="34"/>
      <c r="E137" s="34"/>
      <c r="F137" s="6"/>
      <c r="G137" s="6"/>
      <c r="H137" s="58"/>
      <c r="I137" s="7"/>
      <c r="J137" s="2"/>
      <c r="K137" s="2"/>
      <c r="L137" s="2"/>
      <c r="M137" s="8"/>
      <c r="N137" s="163" t="str">
        <f t="shared" si="9"/>
        <v/>
      </c>
      <c r="O137" s="126" t="str">
        <f t="shared" si="8"/>
        <v>-</v>
      </c>
      <c r="P137" s="164"/>
      <c r="Q137" s="164"/>
      <c r="R137" s="164"/>
      <c r="S137" s="164"/>
      <c r="T137" s="164"/>
      <c r="U137" s="164"/>
      <c r="V137" s="164"/>
    </row>
    <row r="138" spans="1:25" ht="27" customHeight="1">
      <c r="A138" s="38">
        <v>127</v>
      </c>
      <c r="B138" s="4"/>
      <c r="C138" s="5"/>
      <c r="D138" s="34"/>
      <c r="E138" s="34"/>
      <c r="F138" s="6"/>
      <c r="G138" s="6"/>
      <c r="H138" s="7"/>
      <c r="I138" s="7"/>
      <c r="J138" s="2"/>
      <c r="K138" s="2"/>
      <c r="L138" s="2"/>
      <c r="M138" s="8"/>
      <c r="N138" s="163" t="str">
        <f t="shared" si="9"/>
        <v/>
      </c>
      <c r="O138" s="126" t="str">
        <f t="shared" si="8"/>
        <v>-</v>
      </c>
      <c r="P138" s="164"/>
      <c r="Q138" s="164"/>
      <c r="R138" s="164"/>
      <c r="S138" s="164"/>
      <c r="T138" s="164"/>
      <c r="U138" s="164"/>
      <c r="V138" s="164"/>
    </row>
    <row r="139" spans="1:25" ht="27" customHeight="1">
      <c r="A139" s="38">
        <v>128</v>
      </c>
      <c r="B139" s="4"/>
      <c r="C139" s="5"/>
      <c r="D139" s="34"/>
      <c r="E139" s="34"/>
      <c r="F139" s="6"/>
      <c r="G139" s="6"/>
      <c r="H139" s="58"/>
      <c r="I139" s="7"/>
      <c r="J139" s="2"/>
      <c r="K139" s="2"/>
      <c r="L139" s="2"/>
      <c r="M139" s="8"/>
      <c r="N139" s="163" t="str">
        <f t="shared" si="9"/>
        <v/>
      </c>
      <c r="O139" s="126" t="str">
        <f t="shared" si="8"/>
        <v>-</v>
      </c>
      <c r="P139" s="164"/>
      <c r="Q139" s="164"/>
      <c r="R139" s="164"/>
      <c r="S139" s="164"/>
      <c r="T139" s="164"/>
      <c r="U139" s="164"/>
      <c r="V139" s="164"/>
    </row>
    <row r="140" spans="1:25" ht="27" customHeight="1">
      <c r="A140" s="38">
        <v>129</v>
      </c>
      <c r="B140" s="4"/>
      <c r="C140" s="5"/>
      <c r="D140" s="34"/>
      <c r="E140" s="34"/>
      <c r="F140" s="6"/>
      <c r="G140" s="6"/>
      <c r="H140" s="7"/>
      <c r="I140" s="7"/>
      <c r="J140" s="2"/>
      <c r="K140" s="2"/>
      <c r="L140" s="2"/>
      <c r="M140" s="8"/>
      <c r="N140" s="163" t="str">
        <f t="shared" si="9"/>
        <v/>
      </c>
      <c r="O140" s="126" t="str">
        <f t="shared" si="8"/>
        <v>-</v>
      </c>
      <c r="P140" s="164"/>
      <c r="Q140" s="164"/>
      <c r="R140" s="164"/>
      <c r="S140" s="164"/>
      <c r="T140" s="164"/>
      <c r="U140" s="164"/>
      <c r="V140" s="164"/>
    </row>
    <row r="141" spans="1:25" ht="27" customHeight="1">
      <c r="A141" s="38">
        <v>130</v>
      </c>
      <c r="B141" s="4"/>
      <c r="C141" s="5"/>
      <c r="D141" s="34"/>
      <c r="E141" s="34"/>
      <c r="F141" s="6"/>
      <c r="G141" s="6"/>
      <c r="H141" s="7"/>
      <c r="I141" s="7"/>
      <c r="J141" s="2"/>
      <c r="K141" s="2"/>
      <c r="L141" s="2"/>
      <c r="M141" s="8"/>
      <c r="N141" s="163" t="str">
        <f t="shared" si="9"/>
        <v/>
      </c>
      <c r="O141" s="126" t="str">
        <f t="shared" si="8"/>
        <v>-</v>
      </c>
      <c r="P141" s="164"/>
      <c r="Q141" s="164"/>
      <c r="R141" s="164"/>
      <c r="S141" s="164"/>
      <c r="T141" s="164"/>
      <c r="U141" s="164"/>
      <c r="V141" s="164"/>
    </row>
    <row r="142" spans="1:25" ht="27" customHeight="1">
      <c r="A142" s="38">
        <v>131</v>
      </c>
      <c r="B142" s="4"/>
      <c r="C142" s="5"/>
      <c r="D142" s="34"/>
      <c r="E142" s="34"/>
      <c r="F142" s="6"/>
      <c r="G142" s="6"/>
      <c r="H142" s="7"/>
      <c r="I142" s="7"/>
      <c r="J142" s="2"/>
      <c r="K142" s="2"/>
      <c r="L142" s="2"/>
      <c r="M142" s="8"/>
      <c r="N142" s="163" t="str">
        <f t="shared" si="9"/>
        <v/>
      </c>
      <c r="O142" s="126" t="str">
        <f t="shared" si="8"/>
        <v>-</v>
      </c>
      <c r="P142" s="164"/>
      <c r="Q142" s="164"/>
      <c r="R142" s="164"/>
      <c r="S142" s="164"/>
      <c r="T142" s="164"/>
      <c r="U142" s="164"/>
      <c r="V142" s="164"/>
    </row>
    <row r="143" spans="1:25" ht="27" customHeight="1">
      <c r="A143" s="38">
        <v>132</v>
      </c>
      <c r="B143" s="4"/>
      <c r="C143" s="5"/>
      <c r="D143" s="34"/>
      <c r="E143" s="34"/>
      <c r="F143" s="6"/>
      <c r="G143" s="6"/>
      <c r="H143" s="7"/>
      <c r="I143" s="7"/>
      <c r="J143" s="2"/>
      <c r="K143" s="2"/>
      <c r="L143" s="2"/>
      <c r="M143" s="8"/>
      <c r="N143" s="163" t="str">
        <f t="shared" si="9"/>
        <v/>
      </c>
      <c r="O143" s="126" t="str">
        <f t="shared" si="8"/>
        <v>-</v>
      </c>
      <c r="P143" s="164"/>
      <c r="Q143" s="164"/>
      <c r="R143" s="164"/>
      <c r="S143" s="164"/>
      <c r="T143" s="164"/>
      <c r="U143" s="164"/>
      <c r="V143" s="164"/>
    </row>
    <row r="144" spans="1:25" ht="27" customHeight="1">
      <c r="A144" s="38">
        <v>133</v>
      </c>
      <c r="B144" s="4"/>
      <c r="C144" s="5"/>
      <c r="D144" s="34"/>
      <c r="E144" s="34"/>
      <c r="F144" s="6"/>
      <c r="G144" s="6"/>
      <c r="H144" s="7"/>
      <c r="I144" s="7"/>
      <c r="J144" s="2"/>
      <c r="K144" s="2"/>
      <c r="L144" s="2"/>
      <c r="M144" s="8"/>
      <c r="N144" s="163" t="str">
        <f t="shared" si="9"/>
        <v/>
      </c>
      <c r="O144" s="126" t="str">
        <f t="shared" si="8"/>
        <v>-</v>
      </c>
      <c r="P144" s="164"/>
      <c r="Q144" s="164"/>
      <c r="R144" s="164"/>
      <c r="S144" s="164"/>
      <c r="T144" s="164"/>
      <c r="U144" s="164"/>
      <c r="V144" s="164"/>
    </row>
    <row r="145" spans="1:25" ht="27" customHeight="1">
      <c r="A145" s="38">
        <v>134</v>
      </c>
      <c r="B145" s="4"/>
      <c r="C145" s="5"/>
      <c r="D145" s="34"/>
      <c r="E145" s="34"/>
      <c r="F145" s="6"/>
      <c r="G145" s="6"/>
      <c r="H145" s="7"/>
      <c r="I145" s="7"/>
      <c r="J145" s="2"/>
      <c r="K145" s="2"/>
      <c r="L145" s="2"/>
      <c r="M145" s="8"/>
      <c r="N145" s="163" t="str">
        <f t="shared" si="9"/>
        <v/>
      </c>
      <c r="O145" s="126" t="str">
        <f t="shared" si="8"/>
        <v>-</v>
      </c>
      <c r="P145" s="164"/>
      <c r="Q145" s="164"/>
      <c r="R145" s="164"/>
      <c r="S145" s="164"/>
      <c r="T145" s="164"/>
      <c r="U145" s="164"/>
      <c r="V145" s="164"/>
    </row>
    <row r="146" spans="1:25" ht="27" customHeight="1">
      <c r="A146" s="38">
        <v>135</v>
      </c>
      <c r="B146" s="4"/>
      <c r="C146" s="5"/>
      <c r="D146" s="34"/>
      <c r="E146" s="34"/>
      <c r="F146" s="6"/>
      <c r="G146" s="6"/>
      <c r="H146" s="7"/>
      <c r="I146" s="7"/>
      <c r="J146" s="2"/>
      <c r="K146" s="2"/>
      <c r="L146" s="2"/>
      <c r="M146" s="8"/>
      <c r="N146" s="163" t="str">
        <f t="shared" si="9"/>
        <v/>
      </c>
      <c r="O146" s="126" t="str">
        <f t="shared" si="8"/>
        <v>-</v>
      </c>
      <c r="P146" s="164"/>
      <c r="Q146" s="164"/>
      <c r="R146" s="164"/>
      <c r="S146" s="164"/>
      <c r="T146" s="164"/>
      <c r="U146" s="164"/>
      <c r="V146" s="164"/>
    </row>
    <row r="147" spans="1:25" ht="27" customHeight="1">
      <c r="A147" s="38">
        <v>136</v>
      </c>
      <c r="B147" s="4"/>
      <c r="C147" s="5"/>
      <c r="D147" s="34"/>
      <c r="E147" s="34"/>
      <c r="F147" s="6"/>
      <c r="G147" s="6"/>
      <c r="H147" s="7"/>
      <c r="I147" s="7"/>
      <c r="J147" s="2"/>
      <c r="K147" s="2"/>
      <c r="L147" s="2"/>
      <c r="M147" s="8"/>
      <c r="N147" s="163" t="str">
        <f t="shared" si="9"/>
        <v/>
      </c>
      <c r="O147" s="126" t="str">
        <f t="shared" si="8"/>
        <v>-</v>
      </c>
      <c r="P147" s="164"/>
      <c r="Q147" s="164"/>
      <c r="R147" s="164"/>
      <c r="S147" s="164"/>
      <c r="T147" s="164"/>
      <c r="U147" s="164"/>
      <c r="V147" s="165"/>
    </row>
    <row r="148" spans="1:25" ht="27" customHeight="1">
      <c r="A148" s="38">
        <v>137</v>
      </c>
      <c r="B148" s="4"/>
      <c r="C148" s="5"/>
      <c r="D148" s="34"/>
      <c r="E148" s="34"/>
      <c r="F148" s="6"/>
      <c r="G148" s="6"/>
      <c r="H148" s="7"/>
      <c r="I148" s="7"/>
      <c r="J148" s="2"/>
      <c r="K148" s="2"/>
      <c r="L148" s="2"/>
      <c r="M148" s="8"/>
      <c r="N148" s="163" t="str">
        <f t="shared" si="9"/>
        <v/>
      </c>
      <c r="O148" s="126" t="str">
        <f t="shared" si="8"/>
        <v>-</v>
      </c>
      <c r="P148" s="164"/>
      <c r="Q148" s="164"/>
      <c r="R148" s="164"/>
      <c r="S148" s="164"/>
      <c r="T148" s="164"/>
      <c r="U148" s="164"/>
      <c r="V148" s="165"/>
    </row>
    <row r="149" spans="1:25" ht="27" customHeight="1">
      <c r="A149" s="38">
        <v>138</v>
      </c>
      <c r="B149" s="4"/>
      <c r="C149" s="5"/>
      <c r="D149" s="34"/>
      <c r="E149" s="34"/>
      <c r="F149" s="6"/>
      <c r="G149" s="6"/>
      <c r="H149" s="7"/>
      <c r="I149" s="7"/>
      <c r="J149" s="2"/>
      <c r="K149" s="2"/>
      <c r="L149" s="2"/>
      <c r="M149" s="8"/>
      <c r="N149" s="163" t="str">
        <f t="shared" si="9"/>
        <v/>
      </c>
      <c r="O149" s="126" t="str">
        <f t="shared" si="8"/>
        <v>-</v>
      </c>
      <c r="P149" s="164"/>
      <c r="Q149" s="164"/>
      <c r="R149" s="164"/>
      <c r="S149" s="164"/>
      <c r="T149" s="164"/>
      <c r="U149" s="164"/>
      <c r="V149" s="165"/>
    </row>
    <row r="150" spans="1:25" ht="27" customHeight="1">
      <c r="A150" s="38">
        <v>139</v>
      </c>
      <c r="B150" s="4"/>
      <c r="C150" s="5"/>
      <c r="D150" s="34"/>
      <c r="E150" s="34"/>
      <c r="F150" s="6"/>
      <c r="G150" s="6"/>
      <c r="H150" s="7"/>
      <c r="I150" s="59"/>
      <c r="J150" s="2"/>
      <c r="K150" s="2"/>
      <c r="L150" s="2"/>
      <c r="M150" s="8"/>
      <c r="N150" s="163" t="str">
        <f t="shared" si="9"/>
        <v/>
      </c>
      <c r="O150" s="126" t="str">
        <f t="shared" si="8"/>
        <v>-</v>
      </c>
      <c r="P150" s="164"/>
      <c r="Q150" s="164"/>
      <c r="R150" s="164"/>
      <c r="S150" s="164"/>
      <c r="T150" s="164"/>
      <c r="U150" s="164"/>
      <c r="V150" s="165"/>
    </row>
    <row r="151" spans="1:25" ht="27" customHeight="1">
      <c r="A151" s="39">
        <v>140</v>
      </c>
      <c r="B151" s="14"/>
      <c r="C151" s="15"/>
      <c r="D151" s="35"/>
      <c r="E151" s="35"/>
      <c r="F151" s="16"/>
      <c r="G151" s="16"/>
      <c r="H151" s="17"/>
      <c r="I151" s="17"/>
      <c r="J151" s="3"/>
      <c r="K151" s="3"/>
      <c r="L151" s="3"/>
      <c r="M151" s="18"/>
      <c r="N151" s="163" t="str">
        <f t="shared" si="9"/>
        <v/>
      </c>
      <c r="O151" s="126" t="str">
        <f t="shared" si="8"/>
        <v>-</v>
      </c>
      <c r="P151" s="164"/>
      <c r="Q151" s="164"/>
      <c r="R151" s="164"/>
      <c r="S151" s="164"/>
      <c r="T151" s="164"/>
      <c r="U151" s="164"/>
      <c r="V151" s="166"/>
      <c r="W151" s="164"/>
      <c r="X151" s="164"/>
      <c r="Y151" s="164"/>
    </row>
    <row r="152" spans="1:25" ht="27" customHeight="1">
      <c r="A152" s="172" t="s">
        <v>44</v>
      </c>
      <c r="B152" s="173"/>
      <c r="C152" s="174"/>
      <c r="D152" s="175"/>
      <c r="E152" s="175">
        <f>SUM(E132:E151)</f>
        <v>0</v>
      </c>
      <c r="F152" s="176"/>
      <c r="G152" s="176"/>
      <c r="H152" s="176"/>
      <c r="I152" s="176"/>
      <c r="J152" s="176"/>
      <c r="K152" s="176"/>
      <c r="L152" s="176"/>
      <c r="M152" s="177"/>
      <c r="N152" s="163" t="str">
        <f t="shared" si="9"/>
        <v/>
      </c>
      <c r="O152" s="126"/>
      <c r="P152" s="164"/>
      <c r="Q152" s="164"/>
      <c r="R152" s="164"/>
      <c r="S152" s="164"/>
      <c r="T152" s="164"/>
      <c r="U152" s="164"/>
      <c r="V152" s="166"/>
      <c r="W152" s="164"/>
      <c r="X152" s="164"/>
      <c r="Y152" s="164"/>
    </row>
    <row r="153" spans="1:25" ht="27" customHeight="1">
      <c r="A153" s="37">
        <v>141</v>
      </c>
      <c r="B153" s="9"/>
      <c r="C153" s="10"/>
      <c r="D153" s="33"/>
      <c r="E153" s="33"/>
      <c r="F153" s="11"/>
      <c r="G153" s="11"/>
      <c r="H153" s="12"/>
      <c r="I153" s="60"/>
      <c r="J153" s="32"/>
      <c r="K153" s="32"/>
      <c r="L153" s="32"/>
      <c r="M153" s="13"/>
      <c r="N153" s="163" t="str">
        <f t="shared" si="9"/>
        <v/>
      </c>
      <c r="O153" s="126" t="str">
        <f>IF(D153&gt;=E153,"-","ERR")</f>
        <v>-</v>
      </c>
      <c r="P153" s="164"/>
      <c r="Q153" s="164"/>
      <c r="R153" s="164"/>
      <c r="S153" s="164"/>
      <c r="T153" s="164"/>
      <c r="U153" s="164"/>
      <c r="V153" s="164"/>
    </row>
    <row r="154" spans="1:25" ht="27" customHeight="1">
      <c r="A154" s="38">
        <v>142</v>
      </c>
      <c r="B154" s="4"/>
      <c r="C154" s="5"/>
      <c r="D154" s="34"/>
      <c r="E154" s="34"/>
      <c r="F154" s="6"/>
      <c r="G154" s="6"/>
      <c r="H154" s="7"/>
      <c r="I154" s="59"/>
      <c r="J154" s="2"/>
      <c r="K154" s="67"/>
      <c r="L154" s="2"/>
      <c r="M154" s="8"/>
      <c r="N154" s="163" t="str">
        <f t="shared" si="9"/>
        <v/>
      </c>
      <c r="O154" s="126" t="str">
        <f t="shared" ref="O154:O172" si="10">IF(D154&gt;=E154,"-","ERR")</f>
        <v>-</v>
      </c>
      <c r="P154" s="164"/>
      <c r="Q154" s="164"/>
      <c r="R154" s="164"/>
      <c r="S154" s="164"/>
      <c r="T154" s="164"/>
      <c r="U154" s="164"/>
      <c r="V154" s="164"/>
    </row>
    <row r="155" spans="1:25" ht="27" customHeight="1">
      <c r="A155" s="38">
        <v>143</v>
      </c>
      <c r="B155" s="4"/>
      <c r="C155" s="5"/>
      <c r="D155" s="34"/>
      <c r="E155" s="34"/>
      <c r="F155" s="6"/>
      <c r="G155" s="6"/>
      <c r="H155" s="7"/>
      <c r="I155" s="7"/>
      <c r="J155" s="2"/>
      <c r="K155" s="2"/>
      <c r="L155" s="2"/>
      <c r="M155" s="8"/>
      <c r="N155" s="163" t="str">
        <f t="shared" si="9"/>
        <v/>
      </c>
      <c r="O155" s="126" t="str">
        <f t="shared" si="10"/>
        <v>-</v>
      </c>
      <c r="P155" s="164"/>
      <c r="Q155" s="164"/>
      <c r="R155" s="164"/>
      <c r="S155" s="164"/>
      <c r="T155" s="164"/>
      <c r="U155" s="164"/>
      <c r="V155" s="164"/>
    </row>
    <row r="156" spans="1:25" ht="27" customHeight="1">
      <c r="A156" s="38">
        <v>144</v>
      </c>
      <c r="B156" s="4"/>
      <c r="C156" s="5"/>
      <c r="D156" s="34"/>
      <c r="E156" s="34"/>
      <c r="F156" s="6"/>
      <c r="G156" s="6"/>
      <c r="H156" s="7"/>
      <c r="I156" s="7"/>
      <c r="J156" s="2"/>
      <c r="K156" s="2"/>
      <c r="L156" s="2"/>
      <c r="M156" s="8"/>
      <c r="N156" s="163" t="str">
        <f t="shared" si="9"/>
        <v/>
      </c>
      <c r="O156" s="126" t="str">
        <f t="shared" si="10"/>
        <v>-</v>
      </c>
      <c r="P156" s="164"/>
      <c r="Q156" s="164"/>
      <c r="R156" s="164"/>
      <c r="S156" s="164"/>
      <c r="T156" s="164"/>
      <c r="U156" s="164"/>
      <c r="V156" s="164"/>
    </row>
    <row r="157" spans="1:25" ht="27" customHeight="1">
      <c r="A157" s="38">
        <v>145</v>
      </c>
      <c r="B157" s="4"/>
      <c r="C157" s="5"/>
      <c r="D157" s="34"/>
      <c r="E157" s="34"/>
      <c r="F157" s="6"/>
      <c r="G157" s="6"/>
      <c r="H157" s="7"/>
      <c r="I157" s="58"/>
      <c r="J157" s="2"/>
      <c r="K157" s="2"/>
      <c r="L157" s="2"/>
      <c r="M157" s="8"/>
      <c r="N157" s="163" t="str">
        <f t="shared" si="9"/>
        <v/>
      </c>
      <c r="O157" s="126" t="str">
        <f t="shared" si="10"/>
        <v>-</v>
      </c>
      <c r="P157" s="164"/>
      <c r="Q157" s="164"/>
      <c r="R157" s="164"/>
      <c r="S157" s="164"/>
      <c r="T157" s="164"/>
      <c r="U157" s="164"/>
      <c r="V157" s="164"/>
    </row>
    <row r="158" spans="1:25" ht="27" customHeight="1">
      <c r="A158" s="38">
        <v>146</v>
      </c>
      <c r="B158" s="4"/>
      <c r="C158" s="5"/>
      <c r="D158" s="34"/>
      <c r="E158" s="34"/>
      <c r="F158" s="6"/>
      <c r="G158" s="6"/>
      <c r="H158" s="7"/>
      <c r="I158" s="7"/>
      <c r="J158" s="2"/>
      <c r="K158" s="2"/>
      <c r="L158" s="2"/>
      <c r="M158" s="8"/>
      <c r="N158" s="163" t="str">
        <f t="shared" si="9"/>
        <v/>
      </c>
      <c r="O158" s="126" t="str">
        <f t="shared" si="10"/>
        <v>-</v>
      </c>
      <c r="P158" s="164"/>
      <c r="Q158" s="164"/>
      <c r="R158" s="164"/>
      <c r="S158" s="164"/>
      <c r="T158" s="164"/>
      <c r="U158" s="164"/>
      <c r="V158" s="164"/>
    </row>
    <row r="159" spans="1:25" ht="27" customHeight="1">
      <c r="A159" s="38">
        <v>147</v>
      </c>
      <c r="B159" s="4"/>
      <c r="C159" s="5"/>
      <c r="D159" s="34"/>
      <c r="E159" s="34"/>
      <c r="F159" s="6"/>
      <c r="G159" s="6"/>
      <c r="H159" s="7"/>
      <c r="I159" s="58"/>
      <c r="J159" s="2"/>
      <c r="K159" s="2"/>
      <c r="L159" s="2"/>
      <c r="M159" s="8"/>
      <c r="N159" s="163" t="str">
        <f t="shared" si="9"/>
        <v/>
      </c>
      <c r="O159" s="126" t="str">
        <f t="shared" si="10"/>
        <v>-</v>
      </c>
      <c r="P159" s="164"/>
      <c r="Q159" s="164"/>
      <c r="R159" s="164"/>
      <c r="S159" s="164"/>
      <c r="T159" s="164"/>
      <c r="U159" s="164"/>
      <c r="V159" s="164"/>
    </row>
    <row r="160" spans="1:25" ht="27" customHeight="1">
      <c r="A160" s="38">
        <v>148</v>
      </c>
      <c r="B160" s="4"/>
      <c r="C160" s="5"/>
      <c r="D160" s="34"/>
      <c r="E160" s="34"/>
      <c r="F160" s="6"/>
      <c r="G160" s="6"/>
      <c r="H160" s="7"/>
      <c r="I160" s="58"/>
      <c r="J160" s="2"/>
      <c r="K160" s="67"/>
      <c r="L160" s="2"/>
      <c r="M160" s="8"/>
      <c r="N160" s="163" t="str">
        <f t="shared" si="9"/>
        <v/>
      </c>
      <c r="O160" s="126" t="str">
        <f t="shared" si="10"/>
        <v>-</v>
      </c>
      <c r="P160" s="164"/>
      <c r="Q160" s="164"/>
      <c r="R160" s="164"/>
      <c r="S160" s="164"/>
      <c r="T160" s="164"/>
      <c r="U160" s="164"/>
      <c r="V160" s="164"/>
    </row>
    <row r="161" spans="1:25" ht="27" customHeight="1">
      <c r="A161" s="38">
        <v>149</v>
      </c>
      <c r="B161" s="4"/>
      <c r="C161" s="5"/>
      <c r="D161" s="34"/>
      <c r="E161" s="34"/>
      <c r="F161" s="6"/>
      <c r="G161" s="6"/>
      <c r="H161" s="7"/>
      <c r="I161" s="7"/>
      <c r="J161" s="2"/>
      <c r="K161" s="2"/>
      <c r="L161" s="2"/>
      <c r="M161" s="8"/>
      <c r="N161" s="163" t="str">
        <f t="shared" si="9"/>
        <v/>
      </c>
      <c r="O161" s="126" t="str">
        <f t="shared" si="10"/>
        <v>-</v>
      </c>
      <c r="P161" s="164"/>
      <c r="Q161" s="164"/>
      <c r="R161" s="164"/>
      <c r="S161" s="164"/>
      <c r="T161" s="164"/>
      <c r="U161" s="164"/>
      <c r="V161" s="164"/>
    </row>
    <row r="162" spans="1:25" ht="27" customHeight="1">
      <c r="A162" s="38">
        <v>150</v>
      </c>
      <c r="B162" s="4"/>
      <c r="C162" s="5"/>
      <c r="D162" s="34"/>
      <c r="E162" s="34"/>
      <c r="F162" s="6"/>
      <c r="G162" s="6"/>
      <c r="H162" s="7"/>
      <c r="I162" s="7"/>
      <c r="J162" s="2"/>
      <c r="K162" s="2"/>
      <c r="L162" s="2"/>
      <c r="M162" s="8"/>
      <c r="N162" s="163" t="str">
        <f t="shared" si="9"/>
        <v/>
      </c>
      <c r="O162" s="126" t="str">
        <f t="shared" si="10"/>
        <v>-</v>
      </c>
      <c r="P162" s="164"/>
      <c r="Q162" s="164"/>
      <c r="R162" s="164"/>
      <c r="S162" s="164"/>
      <c r="T162" s="164"/>
      <c r="U162" s="164"/>
      <c r="V162" s="164"/>
    </row>
    <row r="163" spans="1:25" ht="27" customHeight="1">
      <c r="A163" s="38">
        <v>151</v>
      </c>
      <c r="B163" s="4"/>
      <c r="C163" s="5"/>
      <c r="D163" s="34"/>
      <c r="E163" s="34"/>
      <c r="F163" s="6"/>
      <c r="G163" s="6"/>
      <c r="H163" s="7"/>
      <c r="I163" s="7"/>
      <c r="J163" s="2"/>
      <c r="K163" s="2"/>
      <c r="L163" s="2"/>
      <c r="M163" s="8"/>
      <c r="N163" s="163" t="str">
        <f t="shared" si="9"/>
        <v/>
      </c>
      <c r="O163" s="126" t="str">
        <f t="shared" si="10"/>
        <v>-</v>
      </c>
      <c r="P163" s="164"/>
      <c r="Q163" s="164"/>
      <c r="R163" s="164"/>
      <c r="S163" s="164"/>
      <c r="T163" s="164"/>
      <c r="U163" s="164"/>
      <c r="V163" s="164"/>
    </row>
    <row r="164" spans="1:25" ht="27" customHeight="1">
      <c r="A164" s="38">
        <v>152</v>
      </c>
      <c r="B164" s="4"/>
      <c r="C164" s="5"/>
      <c r="D164" s="34"/>
      <c r="E164" s="34"/>
      <c r="F164" s="6"/>
      <c r="G164" s="6"/>
      <c r="H164" s="7"/>
      <c r="I164" s="7"/>
      <c r="J164" s="2"/>
      <c r="K164" s="2"/>
      <c r="L164" s="2"/>
      <c r="M164" s="8"/>
      <c r="N164" s="163" t="str">
        <f t="shared" si="9"/>
        <v/>
      </c>
      <c r="O164" s="126" t="str">
        <f t="shared" si="10"/>
        <v>-</v>
      </c>
      <c r="P164" s="164"/>
      <c r="Q164" s="164"/>
      <c r="R164" s="164"/>
      <c r="S164" s="164"/>
      <c r="T164" s="164"/>
      <c r="U164" s="164"/>
      <c r="V164" s="164"/>
    </row>
    <row r="165" spans="1:25" ht="27" customHeight="1">
      <c r="A165" s="38">
        <v>153</v>
      </c>
      <c r="B165" s="4"/>
      <c r="C165" s="5"/>
      <c r="D165" s="34"/>
      <c r="E165" s="34"/>
      <c r="F165" s="6"/>
      <c r="G165" s="6"/>
      <c r="H165" s="7"/>
      <c r="I165" s="7"/>
      <c r="J165" s="2"/>
      <c r="K165" s="2"/>
      <c r="L165" s="2"/>
      <c r="M165" s="8"/>
      <c r="N165" s="163" t="str">
        <f t="shared" si="9"/>
        <v/>
      </c>
      <c r="O165" s="126" t="str">
        <f t="shared" si="10"/>
        <v>-</v>
      </c>
      <c r="P165" s="164"/>
      <c r="Q165" s="164"/>
      <c r="R165" s="164"/>
      <c r="S165" s="164"/>
      <c r="T165" s="164"/>
      <c r="U165" s="164"/>
      <c r="V165" s="164"/>
    </row>
    <row r="166" spans="1:25" ht="27" customHeight="1">
      <c r="A166" s="38">
        <v>154</v>
      </c>
      <c r="B166" s="4"/>
      <c r="C166" s="5"/>
      <c r="D166" s="34"/>
      <c r="E166" s="34"/>
      <c r="F166" s="6"/>
      <c r="G166" s="6"/>
      <c r="H166" s="7"/>
      <c r="I166" s="7"/>
      <c r="J166" s="2"/>
      <c r="K166" s="2"/>
      <c r="L166" s="2"/>
      <c r="M166" s="8"/>
      <c r="N166" s="163" t="str">
        <f t="shared" si="9"/>
        <v/>
      </c>
      <c r="O166" s="126" t="str">
        <f t="shared" si="10"/>
        <v>-</v>
      </c>
      <c r="P166" s="164"/>
      <c r="Q166" s="164"/>
      <c r="R166" s="164"/>
      <c r="S166" s="164"/>
      <c r="T166" s="164"/>
      <c r="U166" s="164"/>
      <c r="V166" s="164"/>
    </row>
    <row r="167" spans="1:25" ht="27" customHeight="1">
      <c r="A167" s="38">
        <v>155</v>
      </c>
      <c r="B167" s="4"/>
      <c r="C167" s="5"/>
      <c r="D167" s="34"/>
      <c r="E167" s="34"/>
      <c r="F167" s="6"/>
      <c r="G167" s="6"/>
      <c r="H167" s="7"/>
      <c r="I167" s="7"/>
      <c r="J167" s="2"/>
      <c r="K167" s="2"/>
      <c r="L167" s="2"/>
      <c r="M167" s="8"/>
      <c r="N167" s="163" t="str">
        <f t="shared" si="9"/>
        <v/>
      </c>
      <c r="O167" s="126" t="str">
        <f t="shared" si="10"/>
        <v>-</v>
      </c>
      <c r="P167" s="164"/>
      <c r="Q167" s="164"/>
      <c r="R167" s="164"/>
      <c r="S167" s="164"/>
      <c r="T167" s="164"/>
      <c r="U167" s="164"/>
      <c r="V167" s="164"/>
    </row>
    <row r="168" spans="1:25" ht="27" customHeight="1">
      <c r="A168" s="38">
        <v>156</v>
      </c>
      <c r="B168" s="4"/>
      <c r="C168" s="5"/>
      <c r="D168" s="34"/>
      <c r="E168" s="34"/>
      <c r="F168" s="6"/>
      <c r="G168" s="6"/>
      <c r="H168" s="7"/>
      <c r="I168" s="59"/>
      <c r="J168" s="2"/>
      <c r="K168" s="2"/>
      <c r="L168" s="2"/>
      <c r="M168" s="8"/>
      <c r="N168" s="163" t="str">
        <f t="shared" si="9"/>
        <v/>
      </c>
      <c r="O168" s="126" t="str">
        <f t="shared" si="10"/>
        <v>-</v>
      </c>
      <c r="P168" s="164"/>
      <c r="Q168" s="164"/>
      <c r="R168" s="164"/>
      <c r="S168" s="164"/>
      <c r="T168" s="164"/>
      <c r="U168" s="164"/>
      <c r="V168" s="165"/>
    </row>
    <row r="169" spans="1:25" ht="27" customHeight="1">
      <c r="A169" s="38">
        <v>157</v>
      </c>
      <c r="B169" s="4"/>
      <c r="C169" s="5"/>
      <c r="D169" s="34"/>
      <c r="E169" s="34"/>
      <c r="F169" s="6"/>
      <c r="G169" s="6"/>
      <c r="H169" s="7"/>
      <c r="I169" s="7"/>
      <c r="J169" s="2"/>
      <c r="K169" s="2"/>
      <c r="L169" s="2"/>
      <c r="M169" s="8"/>
      <c r="N169" s="163" t="str">
        <f t="shared" si="9"/>
        <v/>
      </c>
      <c r="O169" s="126" t="str">
        <f t="shared" si="10"/>
        <v>-</v>
      </c>
      <c r="P169" s="164"/>
      <c r="Q169" s="164"/>
      <c r="R169" s="164"/>
      <c r="S169" s="164"/>
      <c r="T169" s="164"/>
      <c r="U169" s="164"/>
      <c r="V169" s="165"/>
    </row>
    <row r="170" spans="1:25" ht="27" customHeight="1">
      <c r="A170" s="38">
        <v>158</v>
      </c>
      <c r="B170" s="4"/>
      <c r="C170" s="5"/>
      <c r="D170" s="34"/>
      <c r="E170" s="34"/>
      <c r="F170" s="6"/>
      <c r="G170" s="6"/>
      <c r="H170" s="7"/>
      <c r="I170" s="7"/>
      <c r="J170" s="2"/>
      <c r="K170" s="2"/>
      <c r="L170" s="2"/>
      <c r="M170" s="8"/>
      <c r="N170" s="163" t="str">
        <f t="shared" si="9"/>
        <v/>
      </c>
      <c r="O170" s="126" t="str">
        <f t="shared" si="10"/>
        <v>-</v>
      </c>
      <c r="P170" s="164"/>
      <c r="Q170" s="164"/>
      <c r="R170" s="164"/>
      <c r="S170" s="164"/>
      <c r="T170" s="164"/>
      <c r="U170" s="164"/>
      <c r="V170" s="165"/>
    </row>
    <row r="171" spans="1:25" ht="27" customHeight="1">
      <c r="A171" s="38">
        <v>159</v>
      </c>
      <c r="B171" s="4"/>
      <c r="C171" s="5"/>
      <c r="D171" s="34"/>
      <c r="E171" s="34"/>
      <c r="F171" s="6"/>
      <c r="G171" s="6"/>
      <c r="H171" s="7"/>
      <c r="I171" s="7"/>
      <c r="J171" s="2"/>
      <c r="K171" s="2"/>
      <c r="L171" s="2"/>
      <c r="M171" s="8"/>
      <c r="N171" s="163" t="str">
        <f t="shared" si="9"/>
        <v/>
      </c>
      <c r="O171" s="126" t="str">
        <f t="shared" si="10"/>
        <v>-</v>
      </c>
      <c r="P171" s="164"/>
      <c r="Q171" s="164"/>
      <c r="R171" s="164"/>
      <c r="S171" s="164"/>
      <c r="T171" s="164"/>
      <c r="U171" s="164"/>
      <c r="V171" s="165"/>
    </row>
    <row r="172" spans="1:25" ht="27" customHeight="1">
      <c r="A172" s="39">
        <v>160</v>
      </c>
      <c r="B172" s="14"/>
      <c r="C172" s="15"/>
      <c r="D172" s="35"/>
      <c r="E172" s="35"/>
      <c r="F172" s="16"/>
      <c r="G172" s="16"/>
      <c r="H172" s="17"/>
      <c r="I172" s="17"/>
      <c r="J172" s="3"/>
      <c r="K172" s="3"/>
      <c r="L172" s="3"/>
      <c r="M172" s="18"/>
      <c r="N172" s="163" t="str">
        <f t="shared" si="9"/>
        <v/>
      </c>
      <c r="O172" s="126" t="str">
        <f t="shared" si="10"/>
        <v>-</v>
      </c>
      <c r="P172" s="164"/>
      <c r="Q172" s="164"/>
      <c r="R172" s="164"/>
      <c r="S172" s="164"/>
      <c r="T172" s="164"/>
      <c r="U172" s="164"/>
      <c r="V172" s="166"/>
      <c r="W172" s="164"/>
      <c r="X172" s="164"/>
      <c r="Y172" s="164"/>
    </row>
    <row r="173" spans="1:25" ht="27" customHeight="1">
      <c r="A173" s="172" t="s">
        <v>44</v>
      </c>
      <c r="B173" s="173"/>
      <c r="C173" s="174"/>
      <c r="D173" s="175"/>
      <c r="E173" s="175">
        <f>SUM(E153:E172)</f>
        <v>0</v>
      </c>
      <c r="F173" s="176"/>
      <c r="G173" s="176"/>
      <c r="H173" s="176"/>
      <c r="I173" s="176"/>
      <c r="J173" s="176"/>
      <c r="K173" s="176"/>
      <c r="L173" s="176"/>
      <c r="M173" s="177"/>
      <c r="N173" s="163" t="str">
        <f t="shared" si="9"/>
        <v/>
      </c>
      <c r="O173" s="126"/>
      <c r="P173" s="164"/>
      <c r="Q173" s="164"/>
      <c r="R173" s="164"/>
      <c r="S173" s="164"/>
      <c r="T173" s="164"/>
      <c r="U173" s="164"/>
      <c r="V173" s="166"/>
      <c r="W173" s="164"/>
      <c r="X173" s="164"/>
      <c r="Y173" s="164"/>
    </row>
    <row r="174" spans="1:25" ht="27" customHeight="1">
      <c r="A174" s="37">
        <v>161</v>
      </c>
      <c r="B174" s="9"/>
      <c r="C174" s="10"/>
      <c r="D174" s="33"/>
      <c r="E174" s="33"/>
      <c r="F174" s="11"/>
      <c r="G174" s="11"/>
      <c r="H174" s="12"/>
      <c r="I174" s="12"/>
      <c r="J174" s="32"/>
      <c r="K174" s="32"/>
      <c r="L174" s="32"/>
      <c r="M174" s="13"/>
      <c r="N174" s="163" t="str">
        <f t="shared" si="9"/>
        <v/>
      </c>
      <c r="O174" s="126" t="str">
        <f>IF(D174&gt;=E174,"-","ERR")</f>
        <v>-</v>
      </c>
      <c r="P174" s="164"/>
      <c r="Q174" s="164"/>
      <c r="R174" s="164"/>
      <c r="S174" s="164"/>
      <c r="T174" s="164"/>
      <c r="U174" s="164"/>
      <c r="V174" s="164"/>
    </row>
    <row r="175" spans="1:25" ht="27" customHeight="1">
      <c r="A175" s="38">
        <v>162</v>
      </c>
      <c r="B175" s="4"/>
      <c r="C175" s="5"/>
      <c r="D175" s="34"/>
      <c r="E175" s="34"/>
      <c r="F175" s="6"/>
      <c r="G175" s="6"/>
      <c r="H175" s="7"/>
      <c r="I175" s="59"/>
      <c r="J175" s="2"/>
      <c r="K175" s="2"/>
      <c r="L175" s="2"/>
      <c r="M175" s="8"/>
      <c r="N175" s="163" t="str">
        <f t="shared" si="9"/>
        <v/>
      </c>
      <c r="O175" s="126" t="str">
        <f t="shared" ref="O175:O193" si="11">IF(D175&gt;=E175,"-","ERR")</f>
        <v>-</v>
      </c>
      <c r="P175" s="164"/>
      <c r="Q175" s="164"/>
      <c r="R175" s="164"/>
      <c r="S175" s="164"/>
      <c r="T175" s="164"/>
      <c r="U175" s="164"/>
      <c r="V175" s="164"/>
    </row>
    <row r="176" spans="1:25" ht="27" customHeight="1">
      <c r="A176" s="38">
        <v>163</v>
      </c>
      <c r="B176" s="4"/>
      <c r="C176" s="5"/>
      <c r="D176" s="34"/>
      <c r="E176" s="34"/>
      <c r="F176" s="6"/>
      <c r="G176" s="6"/>
      <c r="H176" s="7"/>
      <c r="I176" s="58"/>
      <c r="J176" s="2"/>
      <c r="K176" s="2"/>
      <c r="L176" s="2"/>
      <c r="M176" s="8"/>
      <c r="N176" s="163" t="str">
        <f t="shared" si="9"/>
        <v/>
      </c>
      <c r="O176" s="126" t="str">
        <f t="shared" si="11"/>
        <v>-</v>
      </c>
      <c r="P176" s="164"/>
      <c r="Q176" s="164"/>
      <c r="R176" s="164"/>
      <c r="S176" s="164"/>
      <c r="T176" s="164"/>
      <c r="U176" s="164"/>
      <c r="V176" s="164"/>
    </row>
    <row r="177" spans="1:22" ht="27" customHeight="1">
      <c r="A177" s="38">
        <v>164</v>
      </c>
      <c r="B177" s="4"/>
      <c r="C177" s="5"/>
      <c r="D177" s="34"/>
      <c r="E177" s="34"/>
      <c r="F177" s="6"/>
      <c r="G177" s="6"/>
      <c r="H177" s="7"/>
      <c r="I177" s="7"/>
      <c r="J177" s="2"/>
      <c r="K177" s="2"/>
      <c r="L177" s="2"/>
      <c r="M177" s="8"/>
      <c r="N177" s="163" t="str">
        <f t="shared" si="9"/>
        <v/>
      </c>
      <c r="O177" s="126" t="str">
        <f t="shared" si="11"/>
        <v>-</v>
      </c>
      <c r="P177" s="164"/>
      <c r="Q177" s="164"/>
      <c r="R177" s="164"/>
      <c r="S177" s="164"/>
      <c r="T177" s="164"/>
      <c r="U177" s="164"/>
      <c r="V177" s="164"/>
    </row>
    <row r="178" spans="1:22" ht="27" customHeight="1">
      <c r="A178" s="38">
        <v>165</v>
      </c>
      <c r="B178" s="4"/>
      <c r="C178" s="5"/>
      <c r="D178" s="34"/>
      <c r="E178" s="34"/>
      <c r="F178" s="6"/>
      <c r="G178" s="6"/>
      <c r="H178" s="7"/>
      <c r="I178" s="7"/>
      <c r="J178" s="2"/>
      <c r="K178" s="2"/>
      <c r="L178" s="2"/>
      <c r="M178" s="8"/>
      <c r="N178" s="163" t="str">
        <f t="shared" si="9"/>
        <v/>
      </c>
      <c r="O178" s="126" t="str">
        <f t="shared" si="11"/>
        <v>-</v>
      </c>
      <c r="P178" s="164"/>
      <c r="Q178" s="164"/>
      <c r="R178" s="164"/>
      <c r="S178" s="164"/>
      <c r="T178" s="164"/>
      <c r="U178" s="164"/>
      <c r="V178" s="164"/>
    </row>
    <row r="179" spans="1:22" ht="27" customHeight="1">
      <c r="A179" s="38">
        <v>166</v>
      </c>
      <c r="B179" s="4"/>
      <c r="C179" s="5"/>
      <c r="D179" s="34"/>
      <c r="E179" s="34"/>
      <c r="F179" s="6"/>
      <c r="G179" s="6"/>
      <c r="H179" s="7"/>
      <c r="I179" s="7"/>
      <c r="J179" s="2"/>
      <c r="K179" s="2"/>
      <c r="L179" s="2"/>
      <c r="M179" s="8"/>
      <c r="N179" s="163" t="str">
        <f t="shared" si="9"/>
        <v/>
      </c>
      <c r="O179" s="126" t="str">
        <f t="shared" si="11"/>
        <v>-</v>
      </c>
      <c r="P179" s="164"/>
      <c r="Q179" s="164"/>
      <c r="R179" s="164"/>
      <c r="S179" s="164"/>
      <c r="T179" s="164"/>
      <c r="U179" s="164"/>
      <c r="V179" s="164"/>
    </row>
    <row r="180" spans="1:22" ht="27" customHeight="1">
      <c r="A180" s="38">
        <v>167</v>
      </c>
      <c r="B180" s="4"/>
      <c r="C180" s="5"/>
      <c r="D180" s="34"/>
      <c r="E180" s="34"/>
      <c r="F180" s="6"/>
      <c r="G180" s="6"/>
      <c r="H180" s="7"/>
      <c r="I180" s="7"/>
      <c r="J180" s="2"/>
      <c r="K180" s="2"/>
      <c r="L180" s="2"/>
      <c r="M180" s="8"/>
      <c r="N180" s="163" t="str">
        <f t="shared" si="9"/>
        <v/>
      </c>
      <c r="O180" s="126" t="str">
        <f t="shared" si="11"/>
        <v>-</v>
      </c>
      <c r="P180" s="164"/>
      <c r="Q180" s="164"/>
      <c r="R180" s="164"/>
      <c r="S180" s="164"/>
      <c r="T180" s="164"/>
      <c r="U180" s="164"/>
      <c r="V180" s="164"/>
    </row>
    <row r="181" spans="1:22" ht="27" customHeight="1">
      <c r="A181" s="38">
        <v>168</v>
      </c>
      <c r="B181" s="4"/>
      <c r="C181" s="5"/>
      <c r="D181" s="34"/>
      <c r="E181" s="34"/>
      <c r="F181" s="6"/>
      <c r="G181" s="6"/>
      <c r="H181" s="7"/>
      <c r="I181" s="58"/>
      <c r="J181" s="2"/>
      <c r="K181" s="2"/>
      <c r="L181" s="2"/>
      <c r="M181" s="8"/>
      <c r="N181" s="163" t="str">
        <f t="shared" si="9"/>
        <v/>
      </c>
      <c r="O181" s="126" t="str">
        <f t="shared" si="11"/>
        <v>-</v>
      </c>
      <c r="P181" s="164"/>
      <c r="Q181" s="164"/>
      <c r="R181" s="164"/>
      <c r="S181" s="164"/>
      <c r="T181" s="164"/>
      <c r="U181" s="164"/>
      <c r="V181" s="164"/>
    </row>
    <row r="182" spans="1:22" ht="27" customHeight="1">
      <c r="A182" s="38">
        <v>169</v>
      </c>
      <c r="B182" s="4"/>
      <c r="C182" s="5"/>
      <c r="D182" s="34"/>
      <c r="E182" s="34"/>
      <c r="F182" s="6"/>
      <c r="G182" s="6"/>
      <c r="H182" s="7"/>
      <c r="I182" s="7"/>
      <c r="J182" s="2"/>
      <c r="K182" s="2"/>
      <c r="L182" s="2"/>
      <c r="M182" s="8"/>
      <c r="N182" s="163" t="str">
        <f t="shared" si="9"/>
        <v/>
      </c>
      <c r="O182" s="126" t="str">
        <f t="shared" si="11"/>
        <v>-</v>
      </c>
      <c r="P182" s="164"/>
      <c r="Q182" s="164"/>
      <c r="R182" s="164"/>
      <c r="S182" s="164"/>
      <c r="T182" s="164"/>
      <c r="U182" s="164"/>
      <c r="V182" s="164"/>
    </row>
    <row r="183" spans="1:22" ht="27" customHeight="1">
      <c r="A183" s="38">
        <v>170</v>
      </c>
      <c r="B183" s="4"/>
      <c r="C183" s="5"/>
      <c r="D183" s="34"/>
      <c r="E183" s="34"/>
      <c r="F183" s="6"/>
      <c r="G183" s="6"/>
      <c r="H183" s="7"/>
      <c r="I183" s="7"/>
      <c r="J183" s="67"/>
      <c r="K183" s="2"/>
      <c r="L183" s="2"/>
      <c r="M183" s="8"/>
      <c r="N183" s="163" t="str">
        <f t="shared" si="9"/>
        <v/>
      </c>
      <c r="O183" s="126" t="str">
        <f t="shared" si="11"/>
        <v>-</v>
      </c>
      <c r="P183" s="164"/>
      <c r="Q183" s="164"/>
      <c r="R183" s="164"/>
      <c r="S183" s="164"/>
      <c r="T183" s="164"/>
      <c r="U183" s="164"/>
      <c r="V183" s="164"/>
    </row>
    <row r="184" spans="1:22" ht="27" customHeight="1">
      <c r="A184" s="38">
        <v>171</v>
      </c>
      <c r="B184" s="4"/>
      <c r="C184" s="5"/>
      <c r="D184" s="34"/>
      <c r="E184" s="34"/>
      <c r="F184" s="6"/>
      <c r="G184" s="6"/>
      <c r="H184" s="7"/>
      <c r="I184" s="7"/>
      <c r="J184" s="67"/>
      <c r="K184" s="2"/>
      <c r="L184" s="2"/>
      <c r="M184" s="8"/>
      <c r="N184" s="163" t="str">
        <f t="shared" si="9"/>
        <v/>
      </c>
      <c r="O184" s="126" t="str">
        <f t="shared" si="11"/>
        <v>-</v>
      </c>
      <c r="P184" s="164"/>
      <c r="Q184" s="164"/>
      <c r="R184" s="164"/>
      <c r="S184" s="164"/>
      <c r="T184" s="164"/>
      <c r="U184" s="164"/>
      <c r="V184" s="164"/>
    </row>
    <row r="185" spans="1:22" ht="27" customHeight="1">
      <c r="A185" s="38">
        <v>172</v>
      </c>
      <c r="B185" s="4"/>
      <c r="C185" s="5"/>
      <c r="D185" s="34"/>
      <c r="E185" s="34"/>
      <c r="F185" s="6"/>
      <c r="G185" s="6"/>
      <c r="H185" s="7"/>
      <c r="I185" s="7"/>
      <c r="J185" s="2"/>
      <c r="K185" s="2"/>
      <c r="L185" s="2"/>
      <c r="M185" s="8"/>
      <c r="N185" s="163" t="str">
        <f t="shared" si="9"/>
        <v/>
      </c>
      <c r="O185" s="126" t="str">
        <f t="shared" si="11"/>
        <v>-</v>
      </c>
      <c r="P185" s="164"/>
      <c r="Q185" s="164"/>
      <c r="R185" s="164"/>
      <c r="S185" s="164"/>
      <c r="T185" s="164"/>
      <c r="U185" s="164"/>
      <c r="V185" s="164"/>
    </row>
    <row r="186" spans="1:22" ht="27" customHeight="1">
      <c r="A186" s="38">
        <v>173</v>
      </c>
      <c r="B186" s="4"/>
      <c r="C186" s="5"/>
      <c r="D186" s="34"/>
      <c r="E186" s="34"/>
      <c r="F186" s="6"/>
      <c r="G186" s="6"/>
      <c r="H186" s="7"/>
      <c r="I186" s="7"/>
      <c r="J186" s="2"/>
      <c r="K186" s="2"/>
      <c r="L186" s="2"/>
      <c r="M186" s="8"/>
      <c r="N186" s="163" t="str">
        <f t="shared" si="9"/>
        <v/>
      </c>
      <c r="O186" s="126" t="str">
        <f t="shared" si="11"/>
        <v>-</v>
      </c>
      <c r="P186" s="164"/>
      <c r="Q186" s="164"/>
      <c r="R186" s="164"/>
      <c r="S186" s="164"/>
      <c r="T186" s="164"/>
      <c r="U186" s="164"/>
      <c r="V186" s="164"/>
    </row>
    <row r="187" spans="1:22" ht="27" customHeight="1">
      <c r="A187" s="38">
        <v>174</v>
      </c>
      <c r="B187" s="4"/>
      <c r="C187" s="5"/>
      <c r="D187" s="34"/>
      <c r="E187" s="34"/>
      <c r="F187" s="6"/>
      <c r="G187" s="6"/>
      <c r="H187" s="7"/>
      <c r="I187" s="7"/>
      <c r="J187" s="2"/>
      <c r="K187" s="2"/>
      <c r="L187" s="2"/>
      <c r="M187" s="8"/>
      <c r="N187" s="163" t="str">
        <f t="shared" si="9"/>
        <v/>
      </c>
      <c r="O187" s="126" t="str">
        <f t="shared" si="11"/>
        <v>-</v>
      </c>
      <c r="P187" s="164"/>
      <c r="Q187" s="164"/>
      <c r="R187" s="164"/>
      <c r="S187" s="164"/>
      <c r="T187" s="164"/>
      <c r="U187" s="164"/>
      <c r="V187" s="164"/>
    </row>
    <row r="188" spans="1:22" ht="27" customHeight="1">
      <c r="A188" s="38">
        <v>175</v>
      </c>
      <c r="B188" s="4"/>
      <c r="C188" s="5"/>
      <c r="D188" s="34"/>
      <c r="E188" s="34"/>
      <c r="F188" s="6"/>
      <c r="G188" s="6"/>
      <c r="H188" s="7"/>
      <c r="I188" s="7"/>
      <c r="J188" s="2"/>
      <c r="K188" s="2"/>
      <c r="L188" s="2"/>
      <c r="M188" s="8"/>
      <c r="N188" s="163" t="str">
        <f t="shared" si="9"/>
        <v/>
      </c>
      <c r="O188" s="126" t="str">
        <f t="shared" si="11"/>
        <v>-</v>
      </c>
      <c r="P188" s="164"/>
      <c r="Q188" s="164"/>
      <c r="R188" s="164"/>
      <c r="S188" s="164"/>
      <c r="T188" s="164"/>
      <c r="U188" s="164"/>
      <c r="V188" s="164"/>
    </row>
    <row r="189" spans="1:22" ht="27" customHeight="1">
      <c r="A189" s="38">
        <v>176</v>
      </c>
      <c r="B189" s="4"/>
      <c r="C189" s="5"/>
      <c r="D189" s="34"/>
      <c r="E189" s="34"/>
      <c r="F189" s="6"/>
      <c r="G189" s="6"/>
      <c r="H189" s="7"/>
      <c r="I189" s="7"/>
      <c r="J189" s="67"/>
      <c r="K189" s="2"/>
      <c r="L189" s="2"/>
      <c r="M189" s="8"/>
      <c r="N189" s="163" t="str">
        <f t="shared" si="9"/>
        <v/>
      </c>
      <c r="O189" s="126" t="str">
        <f t="shared" si="11"/>
        <v>-</v>
      </c>
      <c r="P189" s="164"/>
      <c r="Q189" s="164"/>
      <c r="R189" s="164"/>
      <c r="S189" s="164"/>
      <c r="T189" s="164"/>
      <c r="U189" s="164"/>
      <c r="V189" s="165"/>
    </row>
    <row r="190" spans="1:22" ht="27" customHeight="1">
      <c r="A190" s="38">
        <v>177</v>
      </c>
      <c r="B190" s="4"/>
      <c r="C190" s="5"/>
      <c r="D190" s="34"/>
      <c r="E190" s="34"/>
      <c r="F190" s="6"/>
      <c r="G190" s="6"/>
      <c r="H190" s="7"/>
      <c r="I190" s="7"/>
      <c r="J190" s="67"/>
      <c r="K190" s="2"/>
      <c r="L190" s="2"/>
      <c r="M190" s="8"/>
      <c r="N190" s="163" t="str">
        <f t="shared" si="9"/>
        <v/>
      </c>
      <c r="O190" s="126" t="str">
        <f t="shared" si="11"/>
        <v>-</v>
      </c>
      <c r="P190" s="164"/>
      <c r="Q190" s="164"/>
      <c r="R190" s="164"/>
      <c r="S190" s="164"/>
      <c r="T190" s="164"/>
      <c r="U190" s="164"/>
      <c r="V190" s="165"/>
    </row>
    <row r="191" spans="1:22" ht="27" customHeight="1">
      <c r="A191" s="38">
        <v>178</v>
      </c>
      <c r="B191" s="4"/>
      <c r="C191" s="5"/>
      <c r="D191" s="34"/>
      <c r="E191" s="34"/>
      <c r="F191" s="6"/>
      <c r="G191" s="6"/>
      <c r="H191" s="7"/>
      <c r="I191" s="7"/>
      <c r="J191" s="2"/>
      <c r="K191" s="2"/>
      <c r="L191" s="2"/>
      <c r="M191" s="8"/>
      <c r="N191" s="163" t="str">
        <f t="shared" si="9"/>
        <v/>
      </c>
      <c r="O191" s="126" t="str">
        <f t="shared" si="11"/>
        <v>-</v>
      </c>
      <c r="P191" s="164"/>
      <c r="Q191" s="164"/>
      <c r="R191" s="164"/>
      <c r="S191" s="164"/>
      <c r="T191" s="164"/>
      <c r="U191" s="164"/>
      <c r="V191" s="165"/>
    </row>
    <row r="192" spans="1:22" ht="27" customHeight="1">
      <c r="A192" s="38">
        <v>179</v>
      </c>
      <c r="B192" s="4"/>
      <c r="C192" s="5"/>
      <c r="D192" s="34"/>
      <c r="E192" s="34"/>
      <c r="F192" s="6"/>
      <c r="G192" s="6"/>
      <c r="H192" s="7"/>
      <c r="I192" s="7"/>
      <c r="J192" s="2"/>
      <c r="K192" s="2"/>
      <c r="L192" s="2"/>
      <c r="M192" s="8"/>
      <c r="N192" s="163" t="str">
        <f t="shared" si="9"/>
        <v/>
      </c>
      <c r="O192" s="126" t="str">
        <f t="shared" si="11"/>
        <v>-</v>
      </c>
      <c r="P192" s="164"/>
      <c r="Q192" s="164"/>
      <c r="R192" s="164"/>
      <c r="S192" s="164"/>
      <c r="T192" s="164"/>
      <c r="U192" s="164"/>
      <c r="V192" s="165"/>
    </row>
    <row r="193" spans="1:25" ht="27" customHeight="1">
      <c r="A193" s="39">
        <v>180</v>
      </c>
      <c r="B193" s="14"/>
      <c r="C193" s="15"/>
      <c r="D193" s="35"/>
      <c r="E193" s="35"/>
      <c r="F193" s="16"/>
      <c r="G193" s="16"/>
      <c r="H193" s="17"/>
      <c r="I193" s="17"/>
      <c r="J193" s="3"/>
      <c r="K193" s="3"/>
      <c r="L193" s="3"/>
      <c r="M193" s="18"/>
      <c r="N193" s="163" t="str">
        <f t="shared" si="9"/>
        <v/>
      </c>
      <c r="O193" s="126" t="str">
        <f t="shared" si="11"/>
        <v>-</v>
      </c>
      <c r="P193" s="164"/>
      <c r="Q193" s="164"/>
      <c r="R193" s="164"/>
      <c r="S193" s="164"/>
      <c r="T193" s="164"/>
      <c r="U193" s="164"/>
      <c r="V193" s="166"/>
      <c r="W193" s="164"/>
      <c r="X193" s="164"/>
      <c r="Y193" s="164"/>
    </row>
    <row r="194" spans="1:25" ht="27" customHeight="1">
      <c r="A194" s="172" t="s">
        <v>44</v>
      </c>
      <c r="B194" s="173"/>
      <c r="C194" s="174"/>
      <c r="D194" s="175"/>
      <c r="E194" s="175">
        <f>SUM(E174:E193)</f>
        <v>0</v>
      </c>
      <c r="F194" s="176"/>
      <c r="G194" s="176"/>
      <c r="H194" s="176"/>
      <c r="I194" s="176"/>
      <c r="J194" s="176"/>
      <c r="K194" s="176"/>
      <c r="L194" s="176"/>
      <c r="M194" s="177"/>
      <c r="N194" s="163" t="str">
        <f t="shared" si="9"/>
        <v/>
      </c>
      <c r="O194" s="126"/>
      <c r="P194" s="164"/>
      <c r="Q194" s="164"/>
      <c r="R194" s="164"/>
      <c r="S194" s="164"/>
      <c r="T194" s="164"/>
      <c r="U194" s="164"/>
      <c r="V194" s="166"/>
      <c r="W194" s="164"/>
      <c r="X194" s="164"/>
      <c r="Y194" s="164"/>
    </row>
    <row r="195" spans="1:25" ht="27" customHeight="1">
      <c r="A195" s="37">
        <v>181</v>
      </c>
      <c r="B195" s="9"/>
      <c r="C195" s="10"/>
      <c r="D195" s="33"/>
      <c r="E195" s="33"/>
      <c r="F195" s="11"/>
      <c r="G195" s="11"/>
      <c r="H195" s="12"/>
      <c r="I195" s="12"/>
      <c r="J195" s="32"/>
      <c r="K195" s="32"/>
      <c r="L195" s="32"/>
      <c r="M195" s="13"/>
      <c r="N195" s="163" t="str">
        <f t="shared" si="9"/>
        <v/>
      </c>
      <c r="O195" s="126" t="str">
        <f>IF(D195&gt;=E195,"-","ERR")</f>
        <v>-</v>
      </c>
      <c r="P195" s="164"/>
      <c r="Q195" s="164"/>
      <c r="R195" s="164"/>
      <c r="S195" s="164"/>
      <c r="T195" s="164"/>
      <c r="U195" s="164"/>
      <c r="V195" s="164"/>
    </row>
    <row r="196" spans="1:25" ht="27" customHeight="1">
      <c r="A196" s="38">
        <v>182</v>
      </c>
      <c r="B196" s="4"/>
      <c r="C196" s="5"/>
      <c r="D196" s="34"/>
      <c r="E196" s="34"/>
      <c r="F196" s="6"/>
      <c r="G196" s="6"/>
      <c r="H196" s="7"/>
      <c r="I196" s="7"/>
      <c r="J196" s="2"/>
      <c r="K196" s="2"/>
      <c r="L196" s="2"/>
      <c r="M196" s="8"/>
      <c r="N196" s="163" t="str">
        <f t="shared" si="9"/>
        <v/>
      </c>
      <c r="O196" s="126" t="str">
        <f t="shared" ref="O196:O214" si="12">IF(D196&gt;=E196,"-","ERR")</f>
        <v>-</v>
      </c>
      <c r="P196" s="164"/>
      <c r="Q196" s="164"/>
      <c r="R196" s="164"/>
      <c r="S196" s="164"/>
      <c r="T196" s="164"/>
      <c r="U196" s="164"/>
      <c r="V196" s="164"/>
    </row>
    <row r="197" spans="1:25" ht="27" customHeight="1">
      <c r="A197" s="38">
        <v>183</v>
      </c>
      <c r="B197" s="4"/>
      <c r="C197" s="5"/>
      <c r="D197" s="34"/>
      <c r="E197" s="34"/>
      <c r="F197" s="6"/>
      <c r="G197" s="6"/>
      <c r="H197" s="7"/>
      <c r="I197" s="7"/>
      <c r="J197" s="2"/>
      <c r="K197" s="2"/>
      <c r="L197" s="2"/>
      <c r="M197" s="8"/>
      <c r="N197" s="163" t="str">
        <f t="shared" si="9"/>
        <v/>
      </c>
      <c r="O197" s="126" t="str">
        <f t="shared" si="12"/>
        <v>-</v>
      </c>
      <c r="P197" s="164"/>
      <c r="Q197" s="164"/>
      <c r="R197" s="164"/>
      <c r="S197" s="164"/>
      <c r="T197" s="164"/>
      <c r="U197" s="164"/>
      <c r="V197" s="164"/>
    </row>
    <row r="198" spans="1:25" ht="27" customHeight="1">
      <c r="A198" s="38">
        <v>184</v>
      </c>
      <c r="B198" s="4"/>
      <c r="C198" s="5"/>
      <c r="D198" s="34"/>
      <c r="E198" s="34"/>
      <c r="F198" s="6"/>
      <c r="G198" s="6"/>
      <c r="H198" s="7"/>
      <c r="I198" s="7"/>
      <c r="J198" s="2"/>
      <c r="K198" s="2"/>
      <c r="L198" s="2"/>
      <c r="M198" s="8"/>
      <c r="N198" s="163" t="str">
        <f t="shared" si="9"/>
        <v/>
      </c>
      <c r="O198" s="126" t="str">
        <f t="shared" si="12"/>
        <v>-</v>
      </c>
      <c r="P198" s="164"/>
      <c r="Q198" s="164"/>
      <c r="R198" s="164"/>
      <c r="S198" s="164"/>
      <c r="T198" s="164"/>
      <c r="U198" s="164"/>
      <c r="V198" s="164"/>
    </row>
    <row r="199" spans="1:25" ht="27" customHeight="1">
      <c r="A199" s="38">
        <v>185</v>
      </c>
      <c r="B199" s="4"/>
      <c r="C199" s="5"/>
      <c r="D199" s="34"/>
      <c r="E199" s="34"/>
      <c r="F199" s="6"/>
      <c r="G199" s="6"/>
      <c r="H199" s="58"/>
      <c r="I199" s="58"/>
      <c r="J199" s="2"/>
      <c r="K199" s="2"/>
      <c r="L199" s="2"/>
      <c r="M199" s="8"/>
      <c r="N199" s="163" t="str">
        <f t="shared" ref="N199:N232" si="13">CONCATENATE(C199,H199)</f>
        <v/>
      </c>
      <c r="O199" s="126" t="str">
        <f t="shared" si="12"/>
        <v>-</v>
      </c>
      <c r="P199" s="164"/>
      <c r="Q199" s="164"/>
      <c r="R199" s="164"/>
      <c r="S199" s="164"/>
      <c r="T199" s="164"/>
      <c r="U199" s="164"/>
      <c r="V199" s="164"/>
    </row>
    <row r="200" spans="1:25" ht="27" customHeight="1">
      <c r="A200" s="38">
        <v>186</v>
      </c>
      <c r="B200" s="4"/>
      <c r="C200" s="5"/>
      <c r="D200" s="34"/>
      <c r="E200" s="34"/>
      <c r="F200" s="6"/>
      <c r="G200" s="6"/>
      <c r="H200" s="7"/>
      <c r="I200" s="7"/>
      <c r="J200" s="67"/>
      <c r="K200" s="2"/>
      <c r="L200" s="67"/>
      <c r="M200" s="8"/>
      <c r="N200" s="163" t="str">
        <f t="shared" si="13"/>
        <v/>
      </c>
      <c r="O200" s="126" t="str">
        <f t="shared" si="12"/>
        <v>-</v>
      </c>
      <c r="P200" s="164"/>
      <c r="Q200" s="164"/>
      <c r="R200" s="164"/>
      <c r="S200" s="164"/>
      <c r="T200" s="164"/>
      <c r="U200" s="164"/>
      <c r="V200" s="164"/>
    </row>
    <row r="201" spans="1:25" ht="27" customHeight="1">
      <c r="A201" s="38">
        <v>187</v>
      </c>
      <c r="B201" s="4"/>
      <c r="C201" s="5"/>
      <c r="D201" s="34"/>
      <c r="E201" s="34"/>
      <c r="F201" s="6"/>
      <c r="G201" s="6"/>
      <c r="H201" s="7"/>
      <c r="I201" s="7"/>
      <c r="J201" s="2"/>
      <c r="K201" s="2"/>
      <c r="L201" s="2"/>
      <c r="M201" s="8"/>
      <c r="N201" s="163" t="str">
        <f t="shared" si="13"/>
        <v/>
      </c>
      <c r="O201" s="126" t="str">
        <f t="shared" si="12"/>
        <v>-</v>
      </c>
      <c r="P201" s="164"/>
      <c r="Q201" s="164"/>
      <c r="R201" s="164"/>
      <c r="S201" s="164"/>
      <c r="T201" s="164"/>
      <c r="U201" s="164"/>
      <c r="V201" s="164"/>
    </row>
    <row r="202" spans="1:25" ht="27" customHeight="1">
      <c r="A202" s="38">
        <v>188</v>
      </c>
      <c r="B202" s="4"/>
      <c r="C202" s="5"/>
      <c r="D202" s="34"/>
      <c r="E202" s="34"/>
      <c r="F202" s="6"/>
      <c r="G202" s="6"/>
      <c r="H202" s="7"/>
      <c r="I202" s="7"/>
      <c r="J202" s="2"/>
      <c r="K202" s="2"/>
      <c r="L202" s="2"/>
      <c r="M202" s="8"/>
      <c r="N202" s="163" t="str">
        <f t="shared" si="13"/>
        <v/>
      </c>
      <c r="O202" s="126" t="str">
        <f t="shared" si="12"/>
        <v>-</v>
      </c>
      <c r="P202" s="164"/>
      <c r="Q202" s="164"/>
      <c r="R202" s="164"/>
      <c r="S202" s="164"/>
      <c r="T202" s="164"/>
      <c r="U202" s="164"/>
      <c r="V202" s="164"/>
    </row>
    <row r="203" spans="1:25" ht="27" customHeight="1">
      <c r="A203" s="38">
        <v>189</v>
      </c>
      <c r="B203" s="4"/>
      <c r="C203" s="5"/>
      <c r="D203" s="34"/>
      <c r="E203" s="34"/>
      <c r="F203" s="6"/>
      <c r="G203" s="6"/>
      <c r="H203" s="7"/>
      <c r="I203" s="7"/>
      <c r="J203" s="2"/>
      <c r="K203" s="2"/>
      <c r="L203" s="2"/>
      <c r="M203" s="8"/>
      <c r="N203" s="163" t="str">
        <f t="shared" si="13"/>
        <v/>
      </c>
      <c r="O203" s="126" t="str">
        <f t="shared" si="12"/>
        <v>-</v>
      </c>
      <c r="P203" s="164"/>
      <c r="Q203" s="164"/>
      <c r="R203" s="164"/>
      <c r="S203" s="164"/>
      <c r="T203" s="164"/>
      <c r="U203" s="164"/>
      <c r="V203" s="164"/>
    </row>
    <row r="204" spans="1:25" ht="27" customHeight="1">
      <c r="A204" s="38">
        <v>190</v>
      </c>
      <c r="B204" s="4"/>
      <c r="C204" s="5"/>
      <c r="D204" s="34"/>
      <c r="E204" s="34"/>
      <c r="F204" s="6"/>
      <c r="G204" s="6"/>
      <c r="H204" s="7"/>
      <c r="I204" s="7"/>
      <c r="J204" s="2"/>
      <c r="K204" s="2"/>
      <c r="L204" s="2"/>
      <c r="M204" s="8"/>
      <c r="N204" s="163" t="str">
        <f t="shared" si="13"/>
        <v/>
      </c>
      <c r="O204" s="126" t="str">
        <f t="shared" si="12"/>
        <v>-</v>
      </c>
      <c r="P204" s="164"/>
      <c r="Q204" s="164"/>
      <c r="R204" s="164"/>
      <c r="S204" s="164"/>
      <c r="T204" s="164"/>
      <c r="U204" s="164"/>
      <c r="V204" s="164"/>
    </row>
    <row r="205" spans="1:25" ht="27" customHeight="1">
      <c r="A205" s="38">
        <v>191</v>
      </c>
      <c r="B205" s="4"/>
      <c r="C205" s="5"/>
      <c r="D205" s="34"/>
      <c r="E205" s="34"/>
      <c r="F205" s="6"/>
      <c r="G205" s="6"/>
      <c r="H205" s="7"/>
      <c r="I205" s="7"/>
      <c r="J205" s="2"/>
      <c r="K205" s="2"/>
      <c r="L205" s="2"/>
      <c r="M205" s="8"/>
      <c r="N205" s="163" t="str">
        <f t="shared" si="13"/>
        <v/>
      </c>
      <c r="O205" s="126" t="str">
        <f t="shared" si="12"/>
        <v>-</v>
      </c>
      <c r="P205" s="164"/>
      <c r="Q205" s="164"/>
      <c r="R205" s="164"/>
      <c r="S205" s="164"/>
      <c r="T205" s="164"/>
      <c r="U205" s="164"/>
      <c r="V205" s="164"/>
    </row>
    <row r="206" spans="1:25" ht="27" customHeight="1">
      <c r="A206" s="38">
        <v>192</v>
      </c>
      <c r="B206" s="4"/>
      <c r="C206" s="5"/>
      <c r="D206" s="34"/>
      <c r="E206" s="34"/>
      <c r="F206" s="6"/>
      <c r="G206" s="6"/>
      <c r="H206" s="7"/>
      <c r="I206" s="7"/>
      <c r="J206" s="67"/>
      <c r="K206" s="2"/>
      <c r="L206" s="67"/>
      <c r="M206" s="8"/>
      <c r="N206" s="163" t="str">
        <f t="shared" si="13"/>
        <v/>
      </c>
      <c r="O206" s="126" t="str">
        <f t="shared" si="12"/>
        <v>-</v>
      </c>
      <c r="P206" s="164"/>
      <c r="Q206" s="164"/>
      <c r="R206" s="164"/>
      <c r="S206" s="164"/>
      <c r="T206" s="164"/>
      <c r="U206" s="164"/>
      <c r="V206" s="164"/>
    </row>
    <row r="207" spans="1:25" ht="27" customHeight="1">
      <c r="A207" s="38">
        <v>193</v>
      </c>
      <c r="B207" s="4"/>
      <c r="C207" s="5"/>
      <c r="D207" s="34"/>
      <c r="E207" s="34"/>
      <c r="F207" s="6"/>
      <c r="G207" s="6"/>
      <c r="H207" s="7"/>
      <c r="I207" s="7"/>
      <c r="J207" s="2"/>
      <c r="K207" s="2"/>
      <c r="L207" s="2"/>
      <c r="M207" s="8"/>
      <c r="N207" s="163" t="str">
        <f t="shared" si="13"/>
        <v/>
      </c>
      <c r="O207" s="126" t="str">
        <f t="shared" si="12"/>
        <v>-</v>
      </c>
      <c r="P207" s="164"/>
      <c r="Q207" s="164"/>
      <c r="R207" s="164"/>
      <c r="S207" s="164"/>
      <c r="T207" s="164"/>
      <c r="U207" s="164"/>
      <c r="V207" s="164"/>
    </row>
    <row r="208" spans="1:25" ht="27" customHeight="1">
      <c r="A208" s="38">
        <v>194</v>
      </c>
      <c r="B208" s="4"/>
      <c r="C208" s="5"/>
      <c r="D208" s="34"/>
      <c r="E208" s="34"/>
      <c r="F208" s="6"/>
      <c r="G208" s="6"/>
      <c r="H208" s="7"/>
      <c r="I208" s="7"/>
      <c r="J208" s="2"/>
      <c r="K208" s="2"/>
      <c r="L208" s="2"/>
      <c r="M208" s="8"/>
      <c r="N208" s="163" t="str">
        <f t="shared" si="13"/>
        <v/>
      </c>
      <c r="O208" s="126" t="str">
        <f t="shared" si="12"/>
        <v>-</v>
      </c>
      <c r="P208" s="164"/>
      <c r="Q208" s="164"/>
      <c r="R208" s="164"/>
      <c r="S208" s="164"/>
      <c r="T208" s="164"/>
      <c r="U208" s="164"/>
      <c r="V208" s="164"/>
    </row>
    <row r="209" spans="1:25" ht="27" customHeight="1">
      <c r="A209" s="38">
        <v>195</v>
      </c>
      <c r="B209" s="4"/>
      <c r="C209" s="5"/>
      <c r="D209" s="34"/>
      <c r="E209" s="34"/>
      <c r="F209" s="6"/>
      <c r="G209" s="6"/>
      <c r="H209" s="7"/>
      <c r="I209" s="7"/>
      <c r="J209" s="2"/>
      <c r="K209" s="2"/>
      <c r="L209" s="2"/>
      <c r="M209" s="8"/>
      <c r="N209" s="163" t="str">
        <f t="shared" si="13"/>
        <v/>
      </c>
      <c r="O209" s="126" t="str">
        <f t="shared" si="12"/>
        <v>-</v>
      </c>
      <c r="P209" s="164"/>
      <c r="Q209" s="164"/>
      <c r="R209" s="164"/>
      <c r="S209" s="164"/>
      <c r="T209" s="164"/>
      <c r="U209" s="164"/>
      <c r="V209" s="164"/>
    </row>
    <row r="210" spans="1:25" ht="27" customHeight="1">
      <c r="A210" s="38">
        <v>196</v>
      </c>
      <c r="B210" s="4"/>
      <c r="C210" s="5"/>
      <c r="D210" s="34"/>
      <c r="E210" s="34"/>
      <c r="F210" s="6"/>
      <c r="G210" s="6"/>
      <c r="H210" s="7"/>
      <c r="I210" s="7"/>
      <c r="J210" s="2"/>
      <c r="K210" s="2"/>
      <c r="L210" s="2"/>
      <c r="M210" s="8"/>
      <c r="N210" s="163" t="str">
        <f t="shared" si="13"/>
        <v/>
      </c>
      <c r="O210" s="126" t="str">
        <f t="shared" si="12"/>
        <v>-</v>
      </c>
      <c r="P210" s="164"/>
      <c r="Q210" s="164"/>
      <c r="R210" s="164"/>
      <c r="S210" s="164"/>
      <c r="T210" s="164"/>
      <c r="U210" s="164"/>
      <c r="V210" s="165"/>
    </row>
    <row r="211" spans="1:25" ht="27" customHeight="1">
      <c r="A211" s="38">
        <v>197</v>
      </c>
      <c r="B211" s="4"/>
      <c r="C211" s="5"/>
      <c r="D211" s="34"/>
      <c r="E211" s="34"/>
      <c r="F211" s="6"/>
      <c r="G211" s="6"/>
      <c r="H211" s="7"/>
      <c r="I211" s="7"/>
      <c r="J211" s="2"/>
      <c r="K211" s="2"/>
      <c r="L211" s="2"/>
      <c r="M211" s="8"/>
      <c r="N211" s="163" t="str">
        <f t="shared" si="13"/>
        <v/>
      </c>
      <c r="O211" s="126" t="str">
        <f t="shared" si="12"/>
        <v>-</v>
      </c>
      <c r="P211" s="164"/>
      <c r="Q211" s="164"/>
      <c r="R211" s="164"/>
      <c r="S211" s="164"/>
      <c r="T211" s="164"/>
      <c r="U211" s="164"/>
      <c r="V211" s="165"/>
    </row>
    <row r="212" spans="1:25" ht="27" customHeight="1">
      <c r="A212" s="38">
        <v>198</v>
      </c>
      <c r="B212" s="178"/>
      <c r="C212" s="178"/>
      <c r="D212" s="179"/>
      <c r="E212" s="179"/>
      <c r="F212" s="180"/>
      <c r="G212" s="180"/>
      <c r="H212" s="180"/>
      <c r="I212" s="180"/>
      <c r="J212" s="180"/>
      <c r="K212" s="180"/>
      <c r="L212" s="180"/>
      <c r="M212" s="181"/>
      <c r="N212" s="163" t="str">
        <f t="shared" si="13"/>
        <v/>
      </c>
      <c r="O212" s="126" t="str">
        <f t="shared" si="12"/>
        <v>-</v>
      </c>
      <c r="P212" s="164"/>
      <c r="Q212" s="164"/>
      <c r="R212" s="164"/>
      <c r="S212" s="164"/>
      <c r="T212" s="164"/>
      <c r="U212" s="164"/>
      <c r="V212" s="165"/>
    </row>
    <row r="213" spans="1:25" ht="27" customHeight="1">
      <c r="A213" s="38">
        <v>199</v>
      </c>
      <c r="B213" s="178"/>
      <c r="C213" s="178"/>
      <c r="D213" s="179"/>
      <c r="E213" s="179"/>
      <c r="F213" s="180"/>
      <c r="G213" s="180"/>
      <c r="H213" s="180"/>
      <c r="I213" s="180"/>
      <c r="J213" s="203"/>
      <c r="K213" s="180"/>
      <c r="L213" s="203"/>
      <c r="M213" s="181"/>
      <c r="N213" s="163" t="str">
        <f t="shared" si="13"/>
        <v/>
      </c>
      <c r="O213" s="126" t="str">
        <f t="shared" si="12"/>
        <v>-</v>
      </c>
      <c r="P213" s="164"/>
      <c r="Q213" s="164"/>
      <c r="R213" s="164"/>
      <c r="S213" s="164"/>
      <c r="T213" s="164"/>
      <c r="U213" s="164"/>
      <c r="V213" s="165"/>
    </row>
    <row r="214" spans="1:25" ht="27" customHeight="1">
      <c r="A214" s="182">
        <v>200</v>
      </c>
      <c r="B214" s="183"/>
      <c r="C214" s="183"/>
      <c r="D214" s="184"/>
      <c r="E214" s="184"/>
      <c r="F214" s="185"/>
      <c r="G214" s="185"/>
      <c r="H214" s="180"/>
      <c r="I214" s="180"/>
      <c r="J214" s="185"/>
      <c r="K214" s="185"/>
      <c r="L214" s="185"/>
      <c r="M214" s="186"/>
      <c r="N214" s="163" t="str">
        <f t="shared" si="13"/>
        <v/>
      </c>
      <c r="O214" s="126" t="str">
        <f t="shared" si="12"/>
        <v>-</v>
      </c>
      <c r="P214" s="164"/>
      <c r="Q214" s="164"/>
      <c r="R214" s="164"/>
      <c r="S214" s="164"/>
      <c r="T214" s="164"/>
      <c r="U214" s="164"/>
      <c r="V214" s="166"/>
      <c r="W214" s="164"/>
      <c r="X214" s="164"/>
      <c r="Y214" s="164"/>
    </row>
    <row r="215" spans="1:25" ht="27" customHeight="1">
      <c r="A215" s="172" t="s">
        <v>44</v>
      </c>
      <c r="B215" s="173"/>
      <c r="C215" s="174"/>
      <c r="D215" s="175"/>
      <c r="E215" s="175">
        <f>SUM(E195:E214)</f>
        <v>0</v>
      </c>
      <c r="F215" s="176"/>
      <c r="G215" s="176"/>
      <c r="H215" s="176"/>
      <c r="I215" s="176"/>
      <c r="J215" s="176"/>
      <c r="K215" s="176"/>
      <c r="L215" s="176"/>
      <c r="M215" s="177"/>
      <c r="N215" s="163" t="str">
        <f t="shared" si="13"/>
        <v/>
      </c>
      <c r="O215" s="126"/>
      <c r="P215" s="164"/>
      <c r="Q215" s="164"/>
      <c r="R215" s="164"/>
      <c r="S215" s="164"/>
      <c r="T215" s="164"/>
      <c r="U215" s="164"/>
      <c r="V215" s="166"/>
      <c r="W215" s="164"/>
      <c r="X215" s="164"/>
      <c r="Y215" s="164"/>
    </row>
    <row r="216" spans="1:25" ht="27" customHeight="1">
      <c r="A216" s="187">
        <v>201</v>
      </c>
      <c r="B216" s="188"/>
      <c r="C216" s="188"/>
      <c r="D216" s="189"/>
      <c r="E216" s="189"/>
      <c r="F216" s="190"/>
      <c r="G216" s="190"/>
      <c r="H216" s="190"/>
      <c r="I216" s="190"/>
      <c r="J216" s="190"/>
      <c r="K216" s="190"/>
      <c r="L216" s="190"/>
      <c r="M216" s="191"/>
      <c r="N216" s="163" t="str">
        <f t="shared" si="13"/>
        <v/>
      </c>
      <c r="O216" s="126" t="str">
        <f>IF(D216&gt;=E216,"-","ERR")</f>
        <v>-</v>
      </c>
      <c r="P216" s="164"/>
      <c r="Q216" s="164"/>
      <c r="R216" s="164"/>
      <c r="S216" s="164"/>
      <c r="T216" s="164"/>
      <c r="U216" s="164"/>
      <c r="V216" s="164"/>
    </row>
    <row r="217" spans="1:25" ht="27" customHeight="1">
      <c r="A217" s="192">
        <v>202</v>
      </c>
      <c r="B217" s="178"/>
      <c r="C217" s="178"/>
      <c r="D217" s="193"/>
      <c r="E217" s="193"/>
      <c r="F217" s="180"/>
      <c r="G217" s="180"/>
      <c r="H217" s="180"/>
      <c r="I217" s="180"/>
      <c r="J217" s="180"/>
      <c r="K217" s="180"/>
      <c r="L217" s="180"/>
      <c r="M217" s="181"/>
      <c r="N217" s="163" t="str">
        <f t="shared" si="13"/>
        <v/>
      </c>
      <c r="O217" s="126" t="str">
        <f t="shared" ref="O217:O235" si="14">IF(D217&gt;=E217,"-","ERR")</f>
        <v>-</v>
      </c>
      <c r="P217" s="164"/>
      <c r="Q217" s="164"/>
      <c r="R217" s="164"/>
      <c r="S217" s="164"/>
      <c r="T217" s="164"/>
      <c r="U217" s="164"/>
      <c r="V217" s="164"/>
    </row>
    <row r="218" spans="1:25" ht="27" customHeight="1">
      <c r="A218" s="192">
        <v>203</v>
      </c>
      <c r="B218" s="178"/>
      <c r="C218" s="178"/>
      <c r="D218" s="193"/>
      <c r="E218" s="193"/>
      <c r="F218" s="180"/>
      <c r="G218" s="180"/>
      <c r="H218" s="180"/>
      <c r="I218" s="180"/>
      <c r="J218" s="203"/>
      <c r="K218" s="180"/>
      <c r="L218" s="180"/>
      <c r="M218" s="181"/>
      <c r="N218" s="163" t="str">
        <f t="shared" si="13"/>
        <v/>
      </c>
      <c r="O218" s="126" t="str">
        <f t="shared" si="14"/>
        <v>-</v>
      </c>
      <c r="P218" s="164"/>
      <c r="Q218" s="164"/>
      <c r="R218" s="164"/>
      <c r="S218" s="164"/>
      <c r="T218" s="164"/>
      <c r="U218" s="164"/>
      <c r="V218" s="164"/>
    </row>
    <row r="219" spans="1:25" ht="27" customHeight="1">
      <c r="A219" s="192">
        <v>204</v>
      </c>
      <c r="B219" s="178"/>
      <c r="C219" s="178"/>
      <c r="D219" s="193"/>
      <c r="E219" s="193"/>
      <c r="F219" s="180"/>
      <c r="G219" s="180"/>
      <c r="H219" s="180"/>
      <c r="I219" s="180"/>
      <c r="J219" s="203"/>
      <c r="K219" s="180"/>
      <c r="L219" s="203"/>
      <c r="M219" s="181"/>
      <c r="N219" s="163" t="str">
        <f t="shared" si="13"/>
        <v/>
      </c>
      <c r="O219" s="126" t="str">
        <f t="shared" si="14"/>
        <v>-</v>
      </c>
      <c r="P219" s="164"/>
      <c r="Q219" s="164"/>
      <c r="R219" s="164"/>
      <c r="S219" s="164"/>
      <c r="T219" s="164"/>
      <c r="U219" s="164"/>
      <c r="V219" s="164"/>
    </row>
    <row r="220" spans="1:25" ht="27" customHeight="1">
      <c r="A220" s="192">
        <v>205</v>
      </c>
      <c r="B220" s="178"/>
      <c r="C220" s="178"/>
      <c r="D220" s="193"/>
      <c r="E220" s="193"/>
      <c r="F220" s="180"/>
      <c r="G220" s="180"/>
      <c r="H220" s="180"/>
      <c r="I220" s="180"/>
      <c r="J220" s="180"/>
      <c r="K220" s="180"/>
      <c r="L220" s="180"/>
      <c r="M220" s="181"/>
      <c r="N220" s="163" t="str">
        <f t="shared" si="13"/>
        <v/>
      </c>
      <c r="O220" s="126" t="str">
        <f t="shared" si="14"/>
        <v>-</v>
      </c>
      <c r="P220" s="164"/>
      <c r="Q220" s="164"/>
      <c r="R220" s="164"/>
      <c r="S220" s="164"/>
      <c r="T220" s="164"/>
      <c r="U220" s="164"/>
      <c r="V220" s="164"/>
    </row>
    <row r="221" spans="1:25" ht="27" customHeight="1">
      <c r="A221" s="192">
        <v>206</v>
      </c>
      <c r="B221" s="178"/>
      <c r="C221" s="178"/>
      <c r="D221" s="193"/>
      <c r="E221" s="193"/>
      <c r="F221" s="180"/>
      <c r="G221" s="180"/>
      <c r="H221" s="180"/>
      <c r="I221" s="180"/>
      <c r="J221" s="203"/>
      <c r="K221" s="180"/>
      <c r="L221" s="180"/>
      <c r="M221" s="181"/>
      <c r="N221" s="163" t="str">
        <f t="shared" si="13"/>
        <v/>
      </c>
      <c r="O221" s="126" t="str">
        <f t="shared" si="14"/>
        <v>-</v>
      </c>
      <c r="P221" s="164"/>
      <c r="Q221" s="164"/>
      <c r="R221" s="164"/>
      <c r="S221" s="164"/>
      <c r="T221" s="164"/>
      <c r="U221" s="164"/>
      <c r="V221" s="164"/>
    </row>
    <row r="222" spans="1:25" ht="27" customHeight="1">
      <c r="A222" s="192">
        <v>207</v>
      </c>
      <c r="B222" s="178"/>
      <c r="C222" s="178"/>
      <c r="D222" s="193"/>
      <c r="E222" s="193"/>
      <c r="F222" s="180"/>
      <c r="G222" s="180"/>
      <c r="H222" s="180"/>
      <c r="I222" s="180"/>
      <c r="J222" s="203"/>
      <c r="K222" s="180"/>
      <c r="L222" s="180"/>
      <c r="M222" s="181"/>
      <c r="N222" s="163" t="str">
        <f t="shared" si="13"/>
        <v/>
      </c>
      <c r="O222" s="126" t="str">
        <f t="shared" si="14"/>
        <v>-</v>
      </c>
      <c r="P222" s="164"/>
      <c r="Q222" s="164"/>
      <c r="R222" s="164"/>
      <c r="S222" s="164"/>
      <c r="T222" s="164"/>
      <c r="U222" s="164"/>
      <c r="V222" s="164"/>
    </row>
    <row r="223" spans="1:25" ht="27" customHeight="1">
      <c r="A223" s="192">
        <v>208</v>
      </c>
      <c r="B223" s="178"/>
      <c r="C223" s="178"/>
      <c r="D223" s="193"/>
      <c r="E223" s="193"/>
      <c r="F223" s="180"/>
      <c r="G223" s="180"/>
      <c r="H223" s="180"/>
      <c r="I223" s="204"/>
      <c r="J223" s="203"/>
      <c r="K223" s="180"/>
      <c r="L223" s="180"/>
      <c r="M223" s="181"/>
      <c r="N223" s="163" t="str">
        <f t="shared" si="13"/>
        <v/>
      </c>
      <c r="O223" s="126" t="str">
        <f t="shared" si="14"/>
        <v>-</v>
      </c>
      <c r="P223" s="164"/>
      <c r="Q223" s="164"/>
      <c r="R223" s="164"/>
      <c r="S223" s="164"/>
      <c r="T223" s="164"/>
      <c r="U223" s="164"/>
      <c r="V223" s="164"/>
    </row>
    <row r="224" spans="1:25" ht="27" customHeight="1">
      <c r="A224" s="192">
        <v>209</v>
      </c>
      <c r="B224" s="178"/>
      <c r="C224" s="178"/>
      <c r="D224" s="193"/>
      <c r="E224" s="193"/>
      <c r="F224" s="180"/>
      <c r="G224" s="180"/>
      <c r="H224" s="180"/>
      <c r="I224" s="180"/>
      <c r="J224" s="180"/>
      <c r="K224" s="180"/>
      <c r="L224" s="180"/>
      <c r="M224" s="181"/>
      <c r="N224" s="163" t="str">
        <f t="shared" si="13"/>
        <v/>
      </c>
      <c r="O224" s="126" t="str">
        <f t="shared" si="14"/>
        <v>-</v>
      </c>
      <c r="P224" s="164"/>
      <c r="Q224" s="164"/>
      <c r="R224" s="164"/>
      <c r="S224" s="164"/>
      <c r="T224" s="164"/>
      <c r="U224" s="164"/>
      <c r="V224" s="164"/>
    </row>
    <row r="225" spans="1:25" ht="27" customHeight="1">
      <c r="A225" s="192">
        <v>210</v>
      </c>
      <c r="B225" s="178"/>
      <c r="C225" s="178"/>
      <c r="D225" s="193"/>
      <c r="E225" s="193"/>
      <c r="F225" s="180"/>
      <c r="G225" s="180"/>
      <c r="H225" s="203"/>
      <c r="I225" s="180"/>
      <c r="J225" s="180"/>
      <c r="K225" s="180"/>
      <c r="L225" s="180"/>
      <c r="M225" s="181"/>
      <c r="N225" s="163" t="str">
        <f t="shared" si="13"/>
        <v/>
      </c>
      <c r="O225" s="126" t="str">
        <f t="shared" si="14"/>
        <v>-</v>
      </c>
      <c r="P225" s="164"/>
      <c r="Q225" s="164"/>
      <c r="R225" s="164"/>
      <c r="S225" s="164"/>
      <c r="T225" s="164"/>
      <c r="U225" s="164"/>
      <c r="V225" s="164"/>
    </row>
    <row r="226" spans="1:25" ht="27" customHeight="1">
      <c r="A226" s="192">
        <v>211</v>
      </c>
      <c r="B226" s="178"/>
      <c r="C226" s="178"/>
      <c r="D226" s="193"/>
      <c r="E226" s="193"/>
      <c r="F226" s="180"/>
      <c r="G226" s="180"/>
      <c r="H226" s="180"/>
      <c r="I226" s="180"/>
      <c r="J226" s="203"/>
      <c r="K226" s="180"/>
      <c r="L226" s="180"/>
      <c r="M226" s="181"/>
      <c r="N226" s="163" t="str">
        <f t="shared" si="13"/>
        <v/>
      </c>
      <c r="O226" s="126" t="str">
        <f t="shared" si="14"/>
        <v>-</v>
      </c>
      <c r="P226" s="164"/>
      <c r="Q226" s="164"/>
      <c r="R226" s="164"/>
      <c r="S226" s="164"/>
      <c r="T226" s="164"/>
      <c r="U226" s="164"/>
      <c r="V226" s="164"/>
    </row>
    <row r="227" spans="1:25" ht="27" customHeight="1">
      <c r="A227" s="192">
        <v>212</v>
      </c>
      <c r="B227" s="178"/>
      <c r="C227" s="178"/>
      <c r="D227" s="193"/>
      <c r="E227" s="193"/>
      <c r="F227" s="180"/>
      <c r="G227" s="180"/>
      <c r="H227" s="180"/>
      <c r="I227" s="180"/>
      <c r="J227" s="203"/>
      <c r="K227" s="180"/>
      <c r="L227" s="180"/>
      <c r="M227" s="181"/>
      <c r="N227" s="163" t="str">
        <f t="shared" si="13"/>
        <v/>
      </c>
      <c r="O227" s="126" t="str">
        <f t="shared" si="14"/>
        <v>-</v>
      </c>
      <c r="P227" s="164"/>
      <c r="Q227" s="164"/>
      <c r="R227" s="164"/>
      <c r="S227" s="164"/>
      <c r="T227" s="164"/>
      <c r="U227" s="164"/>
      <c r="V227" s="164"/>
    </row>
    <row r="228" spans="1:25" ht="27" customHeight="1">
      <c r="A228" s="192">
        <v>213</v>
      </c>
      <c r="B228" s="178"/>
      <c r="C228" s="178"/>
      <c r="D228" s="193"/>
      <c r="E228" s="193"/>
      <c r="F228" s="180"/>
      <c r="G228" s="180"/>
      <c r="H228" s="180"/>
      <c r="I228" s="203"/>
      <c r="J228" s="203"/>
      <c r="K228" s="203"/>
      <c r="L228" s="180"/>
      <c r="M228" s="181"/>
      <c r="N228" s="163" t="str">
        <f t="shared" si="13"/>
        <v/>
      </c>
      <c r="O228" s="126" t="str">
        <f t="shared" si="14"/>
        <v>-</v>
      </c>
      <c r="P228" s="164"/>
      <c r="Q228" s="164"/>
      <c r="R228" s="164"/>
      <c r="S228" s="164"/>
      <c r="T228" s="164"/>
      <c r="U228" s="164"/>
      <c r="V228" s="164"/>
    </row>
    <row r="229" spans="1:25" ht="27" customHeight="1">
      <c r="A229" s="192">
        <v>214</v>
      </c>
      <c r="B229" s="178"/>
      <c r="C229" s="178"/>
      <c r="D229" s="193"/>
      <c r="E229" s="193"/>
      <c r="F229" s="180"/>
      <c r="G229" s="180"/>
      <c r="H229" s="180"/>
      <c r="I229" s="180"/>
      <c r="J229" s="180"/>
      <c r="K229" s="180"/>
      <c r="L229" s="180"/>
      <c r="M229" s="181"/>
      <c r="N229" s="163" t="str">
        <f t="shared" si="13"/>
        <v/>
      </c>
      <c r="O229" s="126" t="str">
        <f t="shared" si="14"/>
        <v>-</v>
      </c>
      <c r="P229" s="164"/>
      <c r="Q229" s="164"/>
      <c r="R229" s="164"/>
      <c r="S229" s="164"/>
      <c r="T229" s="164"/>
      <c r="U229" s="164"/>
      <c r="V229" s="164"/>
    </row>
    <row r="230" spans="1:25" ht="27" customHeight="1">
      <c r="A230" s="192">
        <v>215</v>
      </c>
      <c r="B230" s="178"/>
      <c r="C230" s="178"/>
      <c r="D230" s="193"/>
      <c r="E230" s="193"/>
      <c r="F230" s="180"/>
      <c r="G230" s="180"/>
      <c r="H230" s="180"/>
      <c r="I230" s="203"/>
      <c r="J230" s="180"/>
      <c r="K230" s="180"/>
      <c r="L230" s="180"/>
      <c r="M230" s="181"/>
      <c r="N230" s="163" t="str">
        <f t="shared" si="13"/>
        <v/>
      </c>
      <c r="O230" s="126" t="str">
        <f t="shared" si="14"/>
        <v>-</v>
      </c>
      <c r="P230" s="164"/>
      <c r="Q230" s="164"/>
      <c r="R230" s="164"/>
      <c r="S230" s="164"/>
      <c r="T230" s="164"/>
      <c r="U230" s="164"/>
      <c r="V230" s="164"/>
    </row>
    <row r="231" spans="1:25" ht="27" customHeight="1">
      <c r="A231" s="192">
        <v>216</v>
      </c>
      <c r="B231" s="178"/>
      <c r="C231" s="178"/>
      <c r="D231" s="193"/>
      <c r="E231" s="193"/>
      <c r="F231" s="180"/>
      <c r="G231" s="180"/>
      <c r="H231" s="180"/>
      <c r="I231" s="180"/>
      <c r="J231" s="180"/>
      <c r="K231" s="180"/>
      <c r="L231" s="180"/>
      <c r="M231" s="181"/>
      <c r="N231" s="163" t="str">
        <f t="shared" si="13"/>
        <v/>
      </c>
      <c r="O231" s="126" t="str">
        <f t="shared" si="14"/>
        <v>-</v>
      </c>
      <c r="P231" s="164"/>
      <c r="Q231" s="164"/>
      <c r="R231" s="164"/>
      <c r="S231" s="164"/>
      <c r="T231" s="164"/>
      <c r="U231" s="164"/>
      <c r="V231" s="165"/>
    </row>
    <row r="232" spans="1:25" ht="27" customHeight="1">
      <c r="A232" s="192">
        <v>217</v>
      </c>
      <c r="B232" s="178"/>
      <c r="C232" s="178"/>
      <c r="D232" s="193"/>
      <c r="E232" s="193"/>
      <c r="F232" s="180"/>
      <c r="G232" s="180"/>
      <c r="H232" s="180"/>
      <c r="I232" s="203"/>
      <c r="J232" s="180"/>
      <c r="K232" s="180"/>
      <c r="L232" s="180"/>
      <c r="M232" s="181"/>
      <c r="N232" s="163" t="str">
        <f t="shared" si="13"/>
        <v/>
      </c>
      <c r="O232" s="126" t="str">
        <f t="shared" si="14"/>
        <v>-</v>
      </c>
      <c r="P232" s="164"/>
      <c r="Q232" s="164"/>
      <c r="R232" s="164"/>
      <c r="S232" s="164"/>
      <c r="T232" s="164"/>
      <c r="U232" s="164"/>
      <c r="V232" s="165"/>
    </row>
    <row r="233" spans="1:25" ht="27" customHeight="1">
      <c r="A233" s="192">
        <v>218</v>
      </c>
      <c r="B233" s="178"/>
      <c r="C233" s="178"/>
      <c r="D233" s="193"/>
      <c r="E233" s="193"/>
      <c r="F233" s="180"/>
      <c r="G233" s="180"/>
      <c r="H233" s="180"/>
      <c r="I233" s="180"/>
      <c r="J233" s="180"/>
      <c r="K233" s="180"/>
      <c r="L233" s="180"/>
      <c r="M233" s="181"/>
      <c r="N233" s="163" t="str">
        <f>CONCATENATE(C233,H233)</f>
        <v/>
      </c>
      <c r="O233" s="126" t="str">
        <f t="shared" si="14"/>
        <v>-</v>
      </c>
      <c r="P233" s="164"/>
      <c r="Q233" s="164"/>
      <c r="R233" s="164"/>
      <c r="S233" s="164"/>
      <c r="T233" s="164"/>
      <c r="U233" s="164"/>
      <c r="V233" s="165"/>
    </row>
    <row r="234" spans="1:25" ht="27" customHeight="1">
      <c r="A234" s="192">
        <v>219</v>
      </c>
      <c r="B234" s="178"/>
      <c r="C234" s="178"/>
      <c r="D234" s="193"/>
      <c r="E234" s="193"/>
      <c r="F234" s="180"/>
      <c r="G234" s="180"/>
      <c r="H234" s="180"/>
      <c r="I234" s="180"/>
      <c r="J234" s="180"/>
      <c r="K234" s="180"/>
      <c r="L234" s="180"/>
      <c r="M234" s="181"/>
      <c r="N234" s="163" t="str">
        <f>CONCATENATE(C234,H234)</f>
        <v/>
      </c>
      <c r="O234" s="126" t="str">
        <f t="shared" si="14"/>
        <v>-</v>
      </c>
      <c r="P234" s="164"/>
      <c r="Q234" s="164"/>
      <c r="R234" s="164"/>
      <c r="S234" s="164"/>
      <c r="T234" s="164"/>
      <c r="U234" s="164"/>
      <c r="V234" s="165"/>
    </row>
    <row r="235" spans="1:25" ht="27" customHeight="1">
      <c r="A235" s="192">
        <v>220</v>
      </c>
      <c r="B235" s="178"/>
      <c r="C235" s="178"/>
      <c r="D235" s="193"/>
      <c r="E235" s="193"/>
      <c r="F235" s="180"/>
      <c r="G235" s="180"/>
      <c r="H235" s="180"/>
      <c r="I235" s="180"/>
      <c r="J235" s="180"/>
      <c r="K235" s="180"/>
      <c r="L235" s="180"/>
      <c r="M235" s="181"/>
      <c r="N235" s="163" t="str">
        <f>CONCATENATE(C235,H235)</f>
        <v/>
      </c>
      <c r="O235" s="126" t="str">
        <f t="shared" si="14"/>
        <v>-</v>
      </c>
      <c r="P235" s="164"/>
      <c r="Q235" s="164"/>
      <c r="R235" s="164"/>
      <c r="S235" s="164"/>
      <c r="T235" s="164"/>
      <c r="U235" s="164"/>
      <c r="V235" s="166"/>
      <c r="W235" s="164"/>
      <c r="X235" s="164"/>
      <c r="Y235" s="164"/>
    </row>
    <row r="236" spans="1:25" ht="27" customHeight="1">
      <c r="A236" s="172" t="s">
        <v>44</v>
      </c>
      <c r="B236" s="173"/>
      <c r="C236" s="174"/>
      <c r="D236" s="194"/>
      <c r="E236" s="194">
        <f>SUM(E216:E235)</f>
        <v>0</v>
      </c>
      <c r="F236" s="176"/>
      <c r="G236" s="176"/>
      <c r="H236" s="176"/>
      <c r="I236" s="176"/>
      <c r="J236" s="176"/>
      <c r="K236" s="176"/>
      <c r="L236" s="176"/>
      <c r="M236" s="177"/>
      <c r="N236" s="163" t="str">
        <f>CONCATENATE(C236,H236)</f>
        <v/>
      </c>
      <c r="O236" s="126"/>
      <c r="P236" s="164"/>
      <c r="Q236" s="164"/>
      <c r="R236" s="164"/>
      <c r="S236" s="164"/>
      <c r="T236" s="164"/>
      <c r="U236" s="164"/>
      <c r="V236" s="166"/>
      <c r="W236" s="164"/>
      <c r="X236" s="164"/>
      <c r="Y236" s="164"/>
    </row>
    <row r="237" spans="1:25" ht="27" customHeight="1">
      <c r="A237" s="187">
        <v>221</v>
      </c>
      <c r="B237" s="188"/>
      <c r="C237" s="188"/>
      <c r="D237" s="189"/>
      <c r="E237" s="189"/>
      <c r="F237" s="190"/>
      <c r="G237" s="190"/>
      <c r="H237" s="190"/>
      <c r="I237" s="190"/>
      <c r="J237" s="190"/>
      <c r="K237" s="190"/>
      <c r="L237" s="190"/>
      <c r="M237" s="191"/>
      <c r="N237" s="163" t="str">
        <f>CONCATENATE(C237,H237)</f>
        <v/>
      </c>
      <c r="O237" s="126" t="str">
        <f>IF(D237&gt;=E237,"-","ERR")</f>
        <v>-</v>
      </c>
      <c r="P237" s="164"/>
      <c r="Q237" s="164"/>
      <c r="R237" s="164"/>
      <c r="S237" s="164"/>
      <c r="T237" s="164"/>
      <c r="U237" s="164"/>
      <c r="V237" s="164"/>
    </row>
    <row r="238" spans="1:25" ht="27" customHeight="1">
      <c r="A238" s="192">
        <v>222</v>
      </c>
      <c r="B238" s="178"/>
      <c r="C238" s="178"/>
      <c r="D238" s="193"/>
      <c r="E238" s="193"/>
      <c r="F238" s="180"/>
      <c r="G238" s="180"/>
      <c r="H238" s="180"/>
      <c r="I238" s="180"/>
      <c r="J238" s="180"/>
      <c r="K238" s="180"/>
      <c r="L238" s="180"/>
      <c r="M238" s="181"/>
      <c r="N238" s="163" t="str">
        <f t="shared" ref="N238:N257" si="15">CONCATENATE(C238,H238)</f>
        <v/>
      </c>
      <c r="O238" s="126" t="str">
        <f t="shared" ref="O238:O256" si="16">IF(D238&gt;=E238,"-","ERR")</f>
        <v>-</v>
      </c>
      <c r="P238" s="164"/>
      <c r="Q238" s="164"/>
      <c r="R238" s="164"/>
      <c r="S238" s="164"/>
      <c r="T238" s="164"/>
      <c r="U238" s="164"/>
      <c r="V238" s="164"/>
    </row>
    <row r="239" spans="1:25" ht="27" customHeight="1">
      <c r="A239" s="192">
        <v>223</v>
      </c>
      <c r="B239" s="178"/>
      <c r="C239" s="178"/>
      <c r="D239" s="193"/>
      <c r="E239" s="193"/>
      <c r="F239" s="180"/>
      <c r="G239" s="180"/>
      <c r="H239" s="180"/>
      <c r="I239" s="180"/>
      <c r="J239" s="180"/>
      <c r="K239" s="180"/>
      <c r="L239" s="180"/>
      <c r="M239" s="181"/>
      <c r="N239" s="163" t="str">
        <f t="shared" si="15"/>
        <v/>
      </c>
      <c r="O239" s="126" t="str">
        <f t="shared" si="16"/>
        <v>-</v>
      </c>
      <c r="P239" s="164"/>
      <c r="Q239" s="164"/>
      <c r="R239" s="164"/>
      <c r="S239" s="164"/>
      <c r="T239" s="164"/>
      <c r="U239" s="164"/>
      <c r="V239" s="164"/>
    </row>
    <row r="240" spans="1:25" ht="27" customHeight="1">
      <c r="A240" s="192">
        <v>224</v>
      </c>
      <c r="B240" s="178"/>
      <c r="C240" s="178"/>
      <c r="D240" s="193"/>
      <c r="E240" s="193"/>
      <c r="F240" s="180"/>
      <c r="G240" s="180"/>
      <c r="H240" s="180"/>
      <c r="I240" s="180"/>
      <c r="J240" s="180"/>
      <c r="K240" s="180"/>
      <c r="L240" s="180"/>
      <c r="M240" s="181"/>
      <c r="N240" s="163" t="str">
        <f t="shared" si="15"/>
        <v/>
      </c>
      <c r="O240" s="126" t="str">
        <f t="shared" si="16"/>
        <v>-</v>
      </c>
      <c r="P240" s="164"/>
      <c r="Q240" s="164"/>
      <c r="R240" s="164"/>
      <c r="S240" s="164"/>
      <c r="T240" s="164"/>
      <c r="U240" s="164"/>
      <c r="V240" s="164"/>
    </row>
    <row r="241" spans="1:25" ht="27" customHeight="1">
      <c r="A241" s="192">
        <v>225</v>
      </c>
      <c r="B241" s="178"/>
      <c r="C241" s="178"/>
      <c r="D241" s="193"/>
      <c r="E241" s="193"/>
      <c r="F241" s="180"/>
      <c r="G241" s="180"/>
      <c r="H241" s="180"/>
      <c r="I241" s="180"/>
      <c r="J241" s="180"/>
      <c r="K241" s="180"/>
      <c r="L241" s="180"/>
      <c r="M241" s="181"/>
      <c r="N241" s="163" t="str">
        <f t="shared" si="15"/>
        <v/>
      </c>
      <c r="O241" s="126" t="str">
        <f t="shared" si="16"/>
        <v>-</v>
      </c>
      <c r="P241" s="164"/>
      <c r="Q241" s="164"/>
      <c r="R241" s="164"/>
      <c r="S241" s="164"/>
      <c r="T241" s="164"/>
      <c r="U241" s="164"/>
      <c r="V241" s="164"/>
    </row>
    <row r="242" spans="1:25" ht="27" customHeight="1">
      <c r="A242" s="192">
        <v>226</v>
      </c>
      <c r="B242" s="178"/>
      <c r="C242" s="178"/>
      <c r="D242" s="193"/>
      <c r="E242" s="193"/>
      <c r="F242" s="180"/>
      <c r="G242" s="180"/>
      <c r="H242" s="180"/>
      <c r="I242" s="180"/>
      <c r="J242" s="180"/>
      <c r="K242" s="180"/>
      <c r="L242" s="180"/>
      <c r="M242" s="181"/>
      <c r="N242" s="163" t="str">
        <f t="shared" si="15"/>
        <v/>
      </c>
      <c r="O242" s="126" t="str">
        <f t="shared" si="16"/>
        <v>-</v>
      </c>
      <c r="P242" s="164"/>
      <c r="Q242" s="164"/>
      <c r="R242" s="164"/>
      <c r="S242" s="164"/>
      <c r="T242" s="164"/>
      <c r="U242" s="164"/>
      <c r="V242" s="164"/>
    </row>
    <row r="243" spans="1:25" ht="27" customHeight="1">
      <c r="A243" s="192">
        <v>227</v>
      </c>
      <c r="B243" s="178"/>
      <c r="C243" s="178"/>
      <c r="D243" s="193"/>
      <c r="E243" s="193"/>
      <c r="F243" s="180"/>
      <c r="G243" s="180"/>
      <c r="H243" s="180"/>
      <c r="I243" s="180"/>
      <c r="J243" s="180"/>
      <c r="K243" s="180"/>
      <c r="L243" s="180"/>
      <c r="M243" s="181"/>
      <c r="N243" s="163" t="str">
        <f t="shared" si="15"/>
        <v/>
      </c>
      <c r="O243" s="126" t="str">
        <f t="shared" si="16"/>
        <v>-</v>
      </c>
      <c r="P243" s="164"/>
      <c r="Q243" s="164"/>
      <c r="R243" s="164"/>
      <c r="S243" s="164"/>
      <c r="T243" s="164"/>
      <c r="U243" s="164"/>
      <c r="V243" s="164"/>
    </row>
    <row r="244" spans="1:25" ht="27" customHeight="1">
      <c r="A244" s="192">
        <v>228</v>
      </c>
      <c r="B244" s="178"/>
      <c r="C244" s="178"/>
      <c r="D244" s="193"/>
      <c r="E244" s="193"/>
      <c r="F244" s="180"/>
      <c r="G244" s="180"/>
      <c r="H244" s="180"/>
      <c r="I244" s="180"/>
      <c r="J244" s="180"/>
      <c r="K244" s="180"/>
      <c r="L244" s="180"/>
      <c r="M244" s="181"/>
      <c r="N244" s="163" t="str">
        <f t="shared" si="15"/>
        <v/>
      </c>
      <c r="O244" s="126" t="str">
        <f t="shared" si="16"/>
        <v>-</v>
      </c>
      <c r="P244" s="164"/>
      <c r="Q244" s="164"/>
      <c r="R244" s="164"/>
      <c r="S244" s="164"/>
      <c r="T244" s="164"/>
      <c r="U244" s="164"/>
      <c r="V244" s="164"/>
    </row>
    <row r="245" spans="1:25" ht="27" customHeight="1">
      <c r="A245" s="192" t="str">
        <f>IF(ISBLANK(C245)," ",240-COUNTBLANK($C$6:C245))</f>
        <v xml:space="preserve"> </v>
      </c>
      <c r="B245" s="178"/>
      <c r="C245" s="178"/>
      <c r="D245" s="193"/>
      <c r="E245" s="193"/>
      <c r="F245" s="180"/>
      <c r="G245" s="180"/>
      <c r="H245" s="180"/>
      <c r="I245" s="180"/>
      <c r="J245" s="180"/>
      <c r="K245" s="180"/>
      <c r="L245" s="180"/>
      <c r="M245" s="181"/>
      <c r="N245" s="163" t="str">
        <f t="shared" si="15"/>
        <v/>
      </c>
      <c r="O245" s="126" t="str">
        <f t="shared" si="16"/>
        <v>-</v>
      </c>
      <c r="P245" s="164"/>
      <c r="Q245" s="164"/>
      <c r="R245" s="164"/>
      <c r="S245" s="164"/>
      <c r="T245" s="164"/>
      <c r="U245" s="164"/>
      <c r="V245" s="164"/>
    </row>
    <row r="246" spans="1:25" ht="27" customHeight="1">
      <c r="A246" s="192" t="str">
        <f>IF(ISBLANK(C246)," ",241-COUNTBLANK($C$6:C246))</f>
        <v xml:space="preserve"> </v>
      </c>
      <c r="B246" s="178"/>
      <c r="C246" s="178"/>
      <c r="D246" s="193"/>
      <c r="E246" s="193"/>
      <c r="F246" s="180"/>
      <c r="G246" s="180"/>
      <c r="H246" s="180"/>
      <c r="I246" s="180"/>
      <c r="J246" s="180"/>
      <c r="K246" s="180"/>
      <c r="L246" s="180"/>
      <c r="M246" s="181"/>
      <c r="N246" s="163" t="str">
        <f t="shared" si="15"/>
        <v/>
      </c>
      <c r="O246" s="126" t="str">
        <f t="shared" si="16"/>
        <v>-</v>
      </c>
      <c r="P246" s="164"/>
      <c r="Q246" s="164"/>
      <c r="R246" s="164"/>
      <c r="S246" s="164"/>
      <c r="T246" s="164"/>
      <c r="U246" s="164"/>
      <c r="V246" s="164"/>
    </row>
    <row r="247" spans="1:25" ht="27" customHeight="1">
      <c r="A247" s="192" t="str">
        <f>IF(ISBLANK(C247)," ",242-COUNTBLANK($C$6:C247))</f>
        <v xml:space="preserve"> </v>
      </c>
      <c r="B247" s="178"/>
      <c r="C247" s="178"/>
      <c r="D247" s="193"/>
      <c r="E247" s="193"/>
      <c r="F247" s="180"/>
      <c r="G247" s="180"/>
      <c r="H247" s="180"/>
      <c r="I247" s="180"/>
      <c r="J247" s="180"/>
      <c r="K247" s="180"/>
      <c r="L247" s="180"/>
      <c r="M247" s="181"/>
      <c r="N247" s="163" t="str">
        <f t="shared" si="15"/>
        <v/>
      </c>
      <c r="O247" s="126" t="str">
        <f t="shared" si="16"/>
        <v>-</v>
      </c>
      <c r="P247" s="164"/>
      <c r="Q247" s="164"/>
      <c r="R247" s="164"/>
      <c r="S247" s="164"/>
      <c r="T247" s="164"/>
      <c r="U247" s="164"/>
      <c r="V247" s="164"/>
    </row>
    <row r="248" spans="1:25" ht="27" customHeight="1">
      <c r="A248" s="192" t="str">
        <f>IF(ISBLANK(C248)," ",243-COUNTBLANK($C$6:C248))</f>
        <v xml:space="preserve"> </v>
      </c>
      <c r="B248" s="178"/>
      <c r="C248" s="178"/>
      <c r="D248" s="193"/>
      <c r="E248" s="193"/>
      <c r="F248" s="180"/>
      <c r="G248" s="180"/>
      <c r="H248" s="180"/>
      <c r="I248" s="180"/>
      <c r="J248" s="180"/>
      <c r="K248" s="180"/>
      <c r="L248" s="180"/>
      <c r="M248" s="181"/>
      <c r="N248" s="163" t="str">
        <f t="shared" si="15"/>
        <v/>
      </c>
      <c r="O248" s="126" t="str">
        <f t="shared" si="16"/>
        <v>-</v>
      </c>
      <c r="P248" s="164"/>
      <c r="Q248" s="164"/>
      <c r="R248" s="164"/>
      <c r="S248" s="164"/>
      <c r="T248" s="164"/>
      <c r="U248" s="164"/>
      <c r="V248" s="164"/>
    </row>
    <row r="249" spans="1:25" ht="27" customHeight="1">
      <c r="A249" s="192" t="str">
        <f>IF(ISBLANK(C249)," ",244-COUNTBLANK($C$6:C249))</f>
        <v xml:space="preserve"> </v>
      </c>
      <c r="B249" s="178"/>
      <c r="C249" s="178"/>
      <c r="D249" s="193"/>
      <c r="E249" s="193"/>
      <c r="F249" s="180"/>
      <c r="G249" s="180"/>
      <c r="H249" s="180"/>
      <c r="I249" s="180"/>
      <c r="J249" s="180"/>
      <c r="K249" s="180"/>
      <c r="L249" s="180"/>
      <c r="M249" s="181"/>
      <c r="N249" s="163" t="str">
        <f t="shared" si="15"/>
        <v/>
      </c>
      <c r="O249" s="126" t="str">
        <f t="shared" si="16"/>
        <v>-</v>
      </c>
      <c r="P249" s="164"/>
      <c r="Q249" s="164"/>
      <c r="R249" s="164"/>
      <c r="S249" s="164"/>
      <c r="T249" s="164"/>
      <c r="U249" s="164"/>
      <c r="V249" s="164"/>
    </row>
    <row r="250" spans="1:25" ht="27" customHeight="1">
      <c r="A250" s="192" t="str">
        <f>IF(ISBLANK(C250)," ",245-COUNTBLANK($C$6:C250))</f>
        <v xml:space="preserve"> </v>
      </c>
      <c r="B250" s="178"/>
      <c r="C250" s="178"/>
      <c r="D250" s="193"/>
      <c r="E250" s="193"/>
      <c r="F250" s="180"/>
      <c r="G250" s="180"/>
      <c r="H250" s="180"/>
      <c r="I250" s="180"/>
      <c r="J250" s="180"/>
      <c r="K250" s="180"/>
      <c r="L250" s="180"/>
      <c r="M250" s="181"/>
      <c r="N250" s="163" t="str">
        <f t="shared" si="15"/>
        <v/>
      </c>
      <c r="O250" s="126" t="str">
        <f t="shared" si="16"/>
        <v>-</v>
      </c>
      <c r="P250" s="164"/>
      <c r="Q250" s="164"/>
      <c r="R250" s="164"/>
      <c r="S250" s="164"/>
      <c r="T250" s="164"/>
      <c r="U250" s="164"/>
      <c r="V250" s="164"/>
    </row>
    <row r="251" spans="1:25" ht="27" customHeight="1">
      <c r="A251" s="192" t="str">
        <f>IF(ISBLANK(C251)," ",246-COUNTBLANK($C$6:C251))</f>
        <v xml:space="preserve"> </v>
      </c>
      <c r="B251" s="178"/>
      <c r="C251" s="178"/>
      <c r="D251" s="193"/>
      <c r="E251" s="193"/>
      <c r="F251" s="180"/>
      <c r="G251" s="180"/>
      <c r="H251" s="180"/>
      <c r="I251" s="180"/>
      <c r="J251" s="180"/>
      <c r="K251" s="180"/>
      <c r="L251" s="180"/>
      <c r="M251" s="181"/>
      <c r="N251" s="163" t="str">
        <f t="shared" si="15"/>
        <v/>
      </c>
      <c r="O251" s="126" t="str">
        <f t="shared" si="16"/>
        <v>-</v>
      </c>
      <c r="P251" s="164"/>
      <c r="Q251" s="164"/>
      <c r="R251" s="164"/>
      <c r="S251" s="164"/>
      <c r="T251" s="164"/>
      <c r="U251" s="164"/>
      <c r="V251" s="164"/>
    </row>
    <row r="252" spans="1:25" ht="27" customHeight="1">
      <c r="A252" s="192" t="str">
        <f>IF(ISBLANK(C252)," ",247-COUNTBLANK($C$6:C252))</f>
        <v xml:space="preserve"> </v>
      </c>
      <c r="B252" s="178"/>
      <c r="C252" s="178"/>
      <c r="D252" s="193"/>
      <c r="E252" s="193"/>
      <c r="F252" s="180"/>
      <c r="G252" s="180"/>
      <c r="H252" s="180"/>
      <c r="I252" s="180"/>
      <c r="J252" s="180"/>
      <c r="K252" s="180"/>
      <c r="L252" s="180"/>
      <c r="M252" s="181"/>
      <c r="N252" s="163" t="str">
        <f t="shared" si="15"/>
        <v/>
      </c>
      <c r="O252" s="126" t="str">
        <f t="shared" si="16"/>
        <v>-</v>
      </c>
      <c r="P252" s="164"/>
      <c r="Q252" s="164"/>
      <c r="R252" s="164"/>
      <c r="S252" s="164"/>
      <c r="T252" s="164"/>
      <c r="U252" s="164"/>
      <c r="V252" s="165"/>
    </row>
    <row r="253" spans="1:25" ht="27" customHeight="1">
      <c r="A253" s="192" t="str">
        <f>IF(ISBLANK(C253)," ",248-COUNTBLANK($C$6:C253))</f>
        <v xml:space="preserve"> </v>
      </c>
      <c r="B253" s="178"/>
      <c r="C253" s="178"/>
      <c r="D253" s="193"/>
      <c r="E253" s="193"/>
      <c r="F253" s="180"/>
      <c r="G253" s="180"/>
      <c r="H253" s="180"/>
      <c r="I253" s="180"/>
      <c r="J253" s="180"/>
      <c r="K253" s="180"/>
      <c r="L253" s="180"/>
      <c r="M253" s="181"/>
      <c r="N253" s="163" t="str">
        <f t="shared" si="15"/>
        <v/>
      </c>
      <c r="O253" s="126" t="str">
        <f t="shared" si="16"/>
        <v>-</v>
      </c>
      <c r="P253" s="164"/>
      <c r="Q253" s="164"/>
      <c r="R253" s="164"/>
      <c r="S253" s="164"/>
      <c r="T253" s="164"/>
      <c r="U253" s="164"/>
      <c r="V253" s="165"/>
    </row>
    <row r="254" spans="1:25" ht="27" customHeight="1">
      <c r="A254" s="192" t="str">
        <f>IF(ISBLANK(C254)," ",249-COUNTBLANK($C$6:C254))</f>
        <v xml:space="preserve"> </v>
      </c>
      <c r="B254" s="178"/>
      <c r="C254" s="178"/>
      <c r="D254" s="193"/>
      <c r="E254" s="193"/>
      <c r="F254" s="180"/>
      <c r="G254" s="180"/>
      <c r="H254" s="180"/>
      <c r="I254" s="180"/>
      <c r="J254" s="180"/>
      <c r="K254" s="180"/>
      <c r="L254" s="180"/>
      <c r="M254" s="181"/>
      <c r="N254" s="163" t="str">
        <f t="shared" si="15"/>
        <v/>
      </c>
      <c r="O254" s="126" t="str">
        <f t="shared" si="16"/>
        <v>-</v>
      </c>
      <c r="P254" s="164"/>
      <c r="Q254" s="164"/>
      <c r="R254" s="164"/>
      <c r="S254" s="164"/>
      <c r="T254" s="164"/>
      <c r="U254" s="164"/>
      <c r="V254" s="165"/>
    </row>
    <row r="255" spans="1:25" ht="27" customHeight="1">
      <c r="A255" s="192" t="str">
        <f>IF(ISBLANK(C255)," ",250-COUNTBLANK($C$6:C255))</f>
        <v xml:space="preserve"> </v>
      </c>
      <c r="B255" s="178"/>
      <c r="C255" s="178"/>
      <c r="D255" s="193"/>
      <c r="E255" s="193"/>
      <c r="F255" s="180"/>
      <c r="G255" s="180"/>
      <c r="H255" s="180"/>
      <c r="I255" s="180"/>
      <c r="J255" s="180"/>
      <c r="K255" s="180"/>
      <c r="L255" s="180"/>
      <c r="M255" s="181"/>
      <c r="N255" s="163" t="str">
        <f t="shared" si="15"/>
        <v/>
      </c>
      <c r="O255" s="126" t="str">
        <f t="shared" si="16"/>
        <v>-</v>
      </c>
      <c r="P255" s="164"/>
      <c r="Q255" s="164"/>
      <c r="R255" s="164"/>
      <c r="S255" s="164"/>
      <c r="T255" s="164"/>
      <c r="U255" s="164"/>
      <c r="V255" s="165"/>
    </row>
    <row r="256" spans="1:25" ht="27" customHeight="1">
      <c r="A256" s="192" t="str">
        <f>IF(ISBLANK(C256)," ",251-COUNTBLANK($C$6:C256))</f>
        <v xml:space="preserve"> </v>
      </c>
      <c r="B256" s="178"/>
      <c r="C256" s="178"/>
      <c r="D256" s="193"/>
      <c r="E256" s="193"/>
      <c r="F256" s="180"/>
      <c r="G256" s="180"/>
      <c r="H256" s="180"/>
      <c r="I256" s="180"/>
      <c r="J256" s="180"/>
      <c r="K256" s="180"/>
      <c r="L256" s="180"/>
      <c r="M256" s="181"/>
      <c r="N256" s="163" t="str">
        <f t="shared" si="15"/>
        <v/>
      </c>
      <c r="O256" s="126" t="str">
        <f t="shared" si="16"/>
        <v>-</v>
      </c>
      <c r="P256" s="164"/>
      <c r="Q256" s="164"/>
      <c r="R256" s="164"/>
      <c r="S256" s="164"/>
      <c r="T256" s="164"/>
      <c r="U256" s="164"/>
      <c r="V256" s="166"/>
      <c r="W256" s="164"/>
      <c r="X256" s="164"/>
      <c r="Y256" s="164"/>
    </row>
    <row r="257" spans="1:25" ht="27" customHeight="1">
      <c r="A257" s="172" t="s">
        <v>44</v>
      </c>
      <c r="B257" s="173"/>
      <c r="C257" s="174"/>
      <c r="D257" s="194"/>
      <c r="E257" s="194">
        <f>SUM(E237:E256)</f>
        <v>0</v>
      </c>
      <c r="F257" s="176"/>
      <c r="G257" s="176"/>
      <c r="H257" s="176"/>
      <c r="I257" s="176"/>
      <c r="J257" s="176"/>
      <c r="K257" s="176"/>
      <c r="L257" s="176"/>
      <c r="M257" s="177"/>
      <c r="N257" s="163" t="str">
        <f t="shared" si="15"/>
        <v/>
      </c>
      <c r="O257" s="126"/>
      <c r="P257" s="164"/>
      <c r="Q257" s="164"/>
      <c r="R257" s="164"/>
      <c r="S257" s="164"/>
      <c r="T257" s="164"/>
      <c r="U257" s="164"/>
      <c r="V257" s="166"/>
      <c r="W257" s="164"/>
      <c r="X257" s="164"/>
      <c r="Y257" s="164"/>
    </row>
    <row r="258" spans="1:25" ht="27" customHeight="1">
      <c r="A258" s="187" t="str">
        <f>IF(ISBLANK(C258)," ",253-COUNTBLANK($C$6:C258))</f>
        <v xml:space="preserve"> </v>
      </c>
      <c r="B258" s="188"/>
      <c r="C258" s="188"/>
      <c r="D258" s="189"/>
      <c r="E258" s="189"/>
      <c r="F258" s="190"/>
      <c r="G258" s="190"/>
      <c r="H258" s="190"/>
      <c r="I258" s="190"/>
      <c r="J258" s="190"/>
      <c r="K258" s="190"/>
      <c r="L258" s="190"/>
      <c r="M258" s="191"/>
      <c r="N258" s="163" t="str">
        <f>CONCATENATE(C258,H258)</f>
        <v/>
      </c>
      <c r="O258" s="126" t="str">
        <f>IF(D258&gt;=E258,"-","ERR")</f>
        <v>-</v>
      </c>
      <c r="P258" s="164"/>
      <c r="Q258" s="164"/>
      <c r="R258" s="164"/>
      <c r="S258" s="164"/>
      <c r="T258" s="164"/>
      <c r="U258" s="164"/>
      <c r="V258" s="164"/>
    </row>
    <row r="259" spans="1:25" ht="27" customHeight="1">
      <c r="A259" s="192" t="str">
        <f>IF(ISBLANK(C259)," ",254-COUNTBLANK($C$6:C259))</f>
        <v xml:space="preserve"> </v>
      </c>
      <c r="B259" s="178"/>
      <c r="C259" s="178"/>
      <c r="D259" s="193"/>
      <c r="E259" s="193"/>
      <c r="F259" s="180"/>
      <c r="G259" s="180"/>
      <c r="H259" s="180"/>
      <c r="I259" s="180"/>
      <c r="J259" s="180"/>
      <c r="K259" s="180"/>
      <c r="L259" s="180"/>
      <c r="M259" s="181"/>
      <c r="N259" s="163" t="str">
        <f t="shared" ref="N259:N278" si="17">CONCATENATE(C259,H259)</f>
        <v/>
      </c>
      <c r="O259" s="126" t="str">
        <f t="shared" ref="O259:O277" si="18">IF(D259&gt;=E259,"-","ERR")</f>
        <v>-</v>
      </c>
      <c r="P259" s="164"/>
      <c r="Q259" s="164"/>
      <c r="R259" s="164"/>
      <c r="S259" s="164"/>
      <c r="T259" s="164"/>
      <c r="U259" s="164"/>
      <c r="V259" s="164"/>
    </row>
    <row r="260" spans="1:25" ht="27" customHeight="1">
      <c r="A260" s="192" t="str">
        <f>IF(ISBLANK(C260)," ",255-COUNTBLANK($C$6:C260))</f>
        <v xml:space="preserve"> </v>
      </c>
      <c r="B260" s="178"/>
      <c r="C260" s="178"/>
      <c r="D260" s="193"/>
      <c r="E260" s="193"/>
      <c r="F260" s="180"/>
      <c r="G260" s="180"/>
      <c r="H260" s="180"/>
      <c r="I260" s="180"/>
      <c r="J260" s="180"/>
      <c r="K260" s="180"/>
      <c r="L260" s="180"/>
      <c r="M260" s="181"/>
      <c r="N260" s="163" t="str">
        <f t="shared" si="17"/>
        <v/>
      </c>
      <c r="O260" s="126" t="str">
        <f t="shared" si="18"/>
        <v>-</v>
      </c>
      <c r="P260" s="164"/>
      <c r="Q260" s="164"/>
      <c r="R260" s="164"/>
      <c r="S260" s="164"/>
      <c r="T260" s="164"/>
      <c r="U260" s="164"/>
      <c r="V260" s="164"/>
    </row>
    <row r="261" spans="1:25" ht="27" customHeight="1">
      <c r="A261" s="192" t="str">
        <f>IF(ISBLANK(C261)," ",256-COUNTBLANK($C$6:C261))</f>
        <v xml:space="preserve"> </v>
      </c>
      <c r="B261" s="178"/>
      <c r="C261" s="178"/>
      <c r="D261" s="193"/>
      <c r="E261" s="193"/>
      <c r="F261" s="180"/>
      <c r="G261" s="180"/>
      <c r="H261" s="180"/>
      <c r="I261" s="180"/>
      <c r="J261" s="180"/>
      <c r="K261" s="180"/>
      <c r="L261" s="180"/>
      <c r="M261" s="181"/>
      <c r="N261" s="163" t="str">
        <f t="shared" si="17"/>
        <v/>
      </c>
      <c r="O261" s="126" t="str">
        <f t="shared" si="18"/>
        <v>-</v>
      </c>
      <c r="P261" s="164"/>
      <c r="Q261" s="164"/>
      <c r="R261" s="164"/>
      <c r="S261" s="164"/>
      <c r="T261" s="164"/>
      <c r="U261" s="164"/>
      <c r="V261" s="164"/>
    </row>
    <row r="262" spans="1:25" ht="27" customHeight="1">
      <c r="A262" s="192" t="str">
        <f>IF(ISBLANK(C262)," ",257-COUNTBLANK($C$6:C262))</f>
        <v xml:space="preserve"> </v>
      </c>
      <c r="B262" s="178"/>
      <c r="C262" s="178"/>
      <c r="D262" s="193"/>
      <c r="E262" s="193"/>
      <c r="F262" s="180"/>
      <c r="G262" s="180"/>
      <c r="H262" s="180"/>
      <c r="I262" s="180"/>
      <c r="J262" s="180"/>
      <c r="K262" s="180"/>
      <c r="L262" s="180"/>
      <c r="M262" s="181"/>
      <c r="N262" s="163" t="str">
        <f t="shared" si="17"/>
        <v/>
      </c>
      <c r="O262" s="126" t="str">
        <f t="shared" si="18"/>
        <v>-</v>
      </c>
      <c r="P262" s="164"/>
      <c r="Q262" s="164"/>
      <c r="R262" s="164"/>
      <c r="S262" s="164"/>
      <c r="T262" s="164"/>
      <c r="U262" s="164"/>
      <c r="V262" s="164"/>
    </row>
    <row r="263" spans="1:25" ht="27" customHeight="1">
      <c r="A263" s="192" t="str">
        <f>IF(ISBLANK(C263)," ",258-COUNTBLANK($C$6:C263))</f>
        <v xml:space="preserve"> </v>
      </c>
      <c r="B263" s="178"/>
      <c r="C263" s="178"/>
      <c r="D263" s="193"/>
      <c r="E263" s="193"/>
      <c r="F263" s="180"/>
      <c r="G263" s="180"/>
      <c r="H263" s="180"/>
      <c r="I263" s="180"/>
      <c r="J263" s="180"/>
      <c r="K263" s="180"/>
      <c r="L263" s="180"/>
      <c r="M263" s="181"/>
      <c r="N263" s="163" t="str">
        <f t="shared" si="17"/>
        <v/>
      </c>
      <c r="O263" s="126" t="str">
        <f t="shared" si="18"/>
        <v>-</v>
      </c>
      <c r="P263" s="164"/>
      <c r="Q263" s="164"/>
      <c r="R263" s="164"/>
      <c r="S263" s="164"/>
      <c r="T263" s="164"/>
      <c r="U263" s="164"/>
      <c r="V263" s="164"/>
    </row>
    <row r="264" spans="1:25" ht="27" customHeight="1">
      <c r="A264" s="192" t="str">
        <f>IF(ISBLANK(C264)," ",259-COUNTBLANK($C$6:C264))</f>
        <v xml:space="preserve"> </v>
      </c>
      <c r="B264" s="178"/>
      <c r="C264" s="178"/>
      <c r="D264" s="193"/>
      <c r="E264" s="193"/>
      <c r="F264" s="180"/>
      <c r="G264" s="180"/>
      <c r="H264" s="180"/>
      <c r="I264" s="180"/>
      <c r="J264" s="180"/>
      <c r="K264" s="180"/>
      <c r="L264" s="180"/>
      <c r="M264" s="181"/>
      <c r="N264" s="163" t="str">
        <f t="shared" si="17"/>
        <v/>
      </c>
      <c r="O264" s="126" t="str">
        <f t="shared" si="18"/>
        <v>-</v>
      </c>
      <c r="P264" s="164"/>
      <c r="Q264" s="164"/>
      <c r="R264" s="164"/>
      <c r="S264" s="164"/>
      <c r="T264" s="164"/>
      <c r="U264" s="164"/>
      <c r="V264" s="164"/>
    </row>
    <row r="265" spans="1:25" ht="27" customHeight="1">
      <c r="A265" s="192" t="str">
        <f>IF(ISBLANK(C265)," ",260-COUNTBLANK($C$6:C265))</f>
        <v xml:space="preserve"> </v>
      </c>
      <c r="B265" s="178"/>
      <c r="C265" s="178"/>
      <c r="D265" s="193"/>
      <c r="E265" s="193"/>
      <c r="F265" s="180"/>
      <c r="G265" s="180"/>
      <c r="H265" s="180"/>
      <c r="I265" s="180"/>
      <c r="J265" s="180"/>
      <c r="K265" s="180"/>
      <c r="L265" s="180"/>
      <c r="M265" s="181"/>
      <c r="N265" s="163" t="str">
        <f t="shared" si="17"/>
        <v/>
      </c>
      <c r="O265" s="126" t="str">
        <f t="shared" si="18"/>
        <v>-</v>
      </c>
      <c r="P265" s="164"/>
      <c r="Q265" s="164"/>
      <c r="R265" s="164"/>
      <c r="S265" s="164"/>
      <c r="T265" s="164"/>
      <c r="U265" s="164"/>
      <c r="V265" s="164"/>
    </row>
    <row r="266" spans="1:25" ht="27" customHeight="1">
      <c r="A266" s="192" t="str">
        <f>IF(ISBLANK(C266)," ",261-COUNTBLANK($C$6:C266))</f>
        <v xml:space="preserve"> </v>
      </c>
      <c r="B266" s="178"/>
      <c r="C266" s="178"/>
      <c r="D266" s="193"/>
      <c r="E266" s="193"/>
      <c r="F266" s="180"/>
      <c r="G266" s="180"/>
      <c r="H266" s="180"/>
      <c r="I266" s="180"/>
      <c r="J266" s="180"/>
      <c r="K266" s="180"/>
      <c r="L266" s="180"/>
      <c r="M266" s="181"/>
      <c r="N266" s="163" t="str">
        <f t="shared" si="17"/>
        <v/>
      </c>
      <c r="O266" s="126" t="str">
        <f t="shared" si="18"/>
        <v>-</v>
      </c>
      <c r="P266" s="164"/>
      <c r="Q266" s="164"/>
      <c r="R266" s="164"/>
      <c r="S266" s="164"/>
      <c r="T266" s="164"/>
      <c r="U266" s="164"/>
      <c r="V266" s="164"/>
    </row>
    <row r="267" spans="1:25" ht="27" customHeight="1">
      <c r="A267" s="192" t="str">
        <f>IF(ISBLANK(C267)," ",262-COUNTBLANK($C$6:C267))</f>
        <v xml:space="preserve"> </v>
      </c>
      <c r="B267" s="178"/>
      <c r="C267" s="178"/>
      <c r="D267" s="193"/>
      <c r="E267" s="193"/>
      <c r="F267" s="180"/>
      <c r="G267" s="180"/>
      <c r="H267" s="180"/>
      <c r="I267" s="180"/>
      <c r="J267" s="180"/>
      <c r="K267" s="180"/>
      <c r="L267" s="180"/>
      <c r="M267" s="181"/>
      <c r="N267" s="163" t="str">
        <f t="shared" si="17"/>
        <v/>
      </c>
      <c r="O267" s="126" t="str">
        <f t="shared" si="18"/>
        <v>-</v>
      </c>
      <c r="P267" s="164"/>
      <c r="Q267" s="164"/>
      <c r="R267" s="164"/>
      <c r="S267" s="164"/>
      <c r="T267" s="164"/>
      <c r="U267" s="164"/>
      <c r="V267" s="164"/>
    </row>
    <row r="268" spans="1:25" ht="27" customHeight="1">
      <c r="A268" s="192" t="str">
        <f>IF(ISBLANK(C268)," ",263-COUNTBLANK($C$6:C268))</f>
        <v xml:space="preserve"> </v>
      </c>
      <c r="B268" s="178"/>
      <c r="C268" s="178"/>
      <c r="D268" s="193"/>
      <c r="E268" s="193"/>
      <c r="F268" s="180"/>
      <c r="G268" s="180"/>
      <c r="H268" s="180"/>
      <c r="I268" s="180"/>
      <c r="J268" s="180"/>
      <c r="K268" s="180"/>
      <c r="L268" s="180"/>
      <c r="M268" s="181"/>
      <c r="N268" s="163" t="str">
        <f t="shared" si="17"/>
        <v/>
      </c>
      <c r="O268" s="126" t="str">
        <f t="shared" si="18"/>
        <v>-</v>
      </c>
      <c r="P268" s="164"/>
      <c r="Q268" s="164"/>
      <c r="R268" s="164"/>
      <c r="S268" s="164"/>
      <c r="T268" s="164"/>
      <c r="U268" s="164"/>
      <c r="V268" s="164"/>
    </row>
    <row r="269" spans="1:25" ht="27" customHeight="1">
      <c r="A269" s="192" t="str">
        <f>IF(ISBLANK(C269)," ",264-COUNTBLANK($C$6:C269))</f>
        <v xml:space="preserve"> </v>
      </c>
      <c r="B269" s="178"/>
      <c r="C269" s="178"/>
      <c r="D269" s="193"/>
      <c r="E269" s="193"/>
      <c r="F269" s="180"/>
      <c r="G269" s="180"/>
      <c r="H269" s="180"/>
      <c r="I269" s="180"/>
      <c r="J269" s="180"/>
      <c r="K269" s="180"/>
      <c r="L269" s="180"/>
      <c r="M269" s="181"/>
      <c r="N269" s="163" t="str">
        <f t="shared" si="17"/>
        <v/>
      </c>
      <c r="O269" s="126" t="str">
        <f t="shared" si="18"/>
        <v>-</v>
      </c>
      <c r="P269" s="164"/>
      <c r="Q269" s="164"/>
      <c r="R269" s="164"/>
      <c r="S269" s="164"/>
      <c r="T269" s="164"/>
      <c r="U269" s="164"/>
      <c r="V269" s="164"/>
    </row>
    <row r="270" spans="1:25" ht="27" customHeight="1">
      <c r="A270" s="192" t="str">
        <f>IF(ISBLANK(C270)," ",265-COUNTBLANK($C$6:C270))</f>
        <v xml:space="preserve"> </v>
      </c>
      <c r="B270" s="178"/>
      <c r="C270" s="178"/>
      <c r="D270" s="193"/>
      <c r="E270" s="193"/>
      <c r="F270" s="180"/>
      <c r="G270" s="180"/>
      <c r="H270" s="180"/>
      <c r="I270" s="180"/>
      <c r="J270" s="180"/>
      <c r="K270" s="180"/>
      <c r="L270" s="180"/>
      <c r="M270" s="181"/>
      <c r="N270" s="163" t="str">
        <f t="shared" si="17"/>
        <v/>
      </c>
      <c r="O270" s="126" t="str">
        <f t="shared" si="18"/>
        <v>-</v>
      </c>
      <c r="P270" s="164"/>
      <c r="Q270" s="164"/>
      <c r="R270" s="164"/>
      <c r="S270" s="164"/>
      <c r="T270" s="164"/>
      <c r="U270" s="164"/>
      <c r="V270" s="164"/>
    </row>
    <row r="271" spans="1:25" ht="27" customHeight="1">
      <c r="A271" s="192" t="str">
        <f>IF(ISBLANK(C271)," ",266-COUNTBLANK($C$6:C271))</f>
        <v xml:space="preserve"> </v>
      </c>
      <c r="B271" s="178"/>
      <c r="C271" s="178"/>
      <c r="D271" s="193"/>
      <c r="E271" s="193"/>
      <c r="F271" s="180"/>
      <c r="G271" s="180"/>
      <c r="H271" s="180"/>
      <c r="I271" s="180"/>
      <c r="J271" s="180"/>
      <c r="K271" s="180"/>
      <c r="L271" s="180"/>
      <c r="M271" s="181"/>
      <c r="N271" s="163" t="str">
        <f t="shared" si="17"/>
        <v/>
      </c>
      <c r="O271" s="126" t="str">
        <f t="shared" si="18"/>
        <v>-</v>
      </c>
      <c r="P271" s="164"/>
      <c r="Q271" s="164"/>
      <c r="R271" s="164"/>
      <c r="S271" s="164"/>
      <c r="T271" s="164"/>
      <c r="U271" s="164"/>
      <c r="V271" s="164"/>
    </row>
    <row r="272" spans="1:25" ht="27" customHeight="1">
      <c r="A272" s="192" t="str">
        <f>IF(ISBLANK(C272)," ",267-COUNTBLANK($C$6:C272))</f>
        <v xml:space="preserve"> </v>
      </c>
      <c r="B272" s="178"/>
      <c r="C272" s="178"/>
      <c r="D272" s="193"/>
      <c r="E272" s="193"/>
      <c r="F272" s="180"/>
      <c r="G272" s="180"/>
      <c r="H272" s="180"/>
      <c r="I272" s="180"/>
      <c r="J272" s="180"/>
      <c r="K272" s="180"/>
      <c r="L272" s="180"/>
      <c r="M272" s="181"/>
      <c r="N272" s="163" t="str">
        <f t="shared" si="17"/>
        <v/>
      </c>
      <c r="O272" s="126" t="str">
        <f t="shared" si="18"/>
        <v>-</v>
      </c>
      <c r="P272" s="164"/>
      <c r="Q272" s="164"/>
      <c r="R272" s="164"/>
      <c r="S272" s="164"/>
      <c r="T272" s="164"/>
      <c r="U272" s="164"/>
      <c r="V272" s="164"/>
    </row>
    <row r="273" spans="1:25" ht="27" customHeight="1">
      <c r="A273" s="192" t="str">
        <f>IF(ISBLANK(C273)," ",268-COUNTBLANK($C$6:C273))</f>
        <v xml:space="preserve"> </v>
      </c>
      <c r="B273" s="178"/>
      <c r="C273" s="178"/>
      <c r="D273" s="193"/>
      <c r="E273" s="193"/>
      <c r="F273" s="180"/>
      <c r="G273" s="180"/>
      <c r="H273" s="180"/>
      <c r="I273" s="180"/>
      <c r="J273" s="180"/>
      <c r="K273" s="180"/>
      <c r="L273" s="180"/>
      <c r="M273" s="181"/>
      <c r="N273" s="163" t="str">
        <f t="shared" si="17"/>
        <v/>
      </c>
      <c r="O273" s="126" t="str">
        <f t="shared" si="18"/>
        <v>-</v>
      </c>
      <c r="P273" s="164"/>
      <c r="Q273" s="164"/>
      <c r="R273" s="164"/>
      <c r="S273" s="164"/>
      <c r="T273" s="164"/>
      <c r="U273" s="164"/>
      <c r="V273" s="165"/>
    </row>
    <row r="274" spans="1:25" ht="27" customHeight="1">
      <c r="A274" s="192" t="str">
        <f>IF(ISBLANK(C274)," ",269-COUNTBLANK($C$6:C274))</f>
        <v xml:space="preserve"> </v>
      </c>
      <c r="B274" s="178"/>
      <c r="C274" s="178"/>
      <c r="D274" s="193"/>
      <c r="E274" s="193"/>
      <c r="F274" s="180"/>
      <c r="G274" s="180"/>
      <c r="H274" s="180"/>
      <c r="I274" s="180"/>
      <c r="J274" s="180"/>
      <c r="K274" s="180"/>
      <c r="L274" s="180"/>
      <c r="M274" s="181"/>
      <c r="N274" s="163" t="str">
        <f t="shared" si="17"/>
        <v/>
      </c>
      <c r="O274" s="126" t="str">
        <f t="shared" si="18"/>
        <v>-</v>
      </c>
      <c r="P274" s="164"/>
      <c r="Q274" s="164"/>
      <c r="R274" s="164"/>
      <c r="S274" s="164"/>
      <c r="T274" s="164"/>
      <c r="U274" s="164"/>
      <c r="V274" s="165"/>
    </row>
    <row r="275" spans="1:25" ht="27" customHeight="1">
      <c r="A275" s="192" t="str">
        <f>IF(ISBLANK(C275)," ",270-COUNTBLANK($C$6:C275))</f>
        <v xml:space="preserve"> </v>
      </c>
      <c r="B275" s="178"/>
      <c r="C275" s="178"/>
      <c r="D275" s="193"/>
      <c r="E275" s="193"/>
      <c r="F275" s="180"/>
      <c r="G275" s="180"/>
      <c r="H275" s="180"/>
      <c r="I275" s="180"/>
      <c r="J275" s="180"/>
      <c r="K275" s="180"/>
      <c r="L275" s="180"/>
      <c r="M275" s="181"/>
      <c r="N275" s="163" t="str">
        <f t="shared" si="17"/>
        <v/>
      </c>
      <c r="O275" s="126" t="str">
        <f t="shared" si="18"/>
        <v>-</v>
      </c>
      <c r="P275" s="164"/>
      <c r="Q275" s="164"/>
      <c r="R275" s="164"/>
      <c r="S275" s="164"/>
      <c r="T275" s="164"/>
      <c r="U275" s="164"/>
      <c r="V275" s="165"/>
    </row>
    <row r="276" spans="1:25" ht="27" customHeight="1">
      <c r="A276" s="192" t="str">
        <f>IF(ISBLANK(C276)," ",271-COUNTBLANK($C$6:C276))</f>
        <v xml:space="preserve"> </v>
      </c>
      <c r="B276" s="178"/>
      <c r="C276" s="178"/>
      <c r="D276" s="193"/>
      <c r="E276" s="193"/>
      <c r="F276" s="180"/>
      <c r="G276" s="180"/>
      <c r="H276" s="180"/>
      <c r="I276" s="180"/>
      <c r="J276" s="180"/>
      <c r="K276" s="180"/>
      <c r="L276" s="180"/>
      <c r="M276" s="181"/>
      <c r="N276" s="163" t="str">
        <f t="shared" si="17"/>
        <v/>
      </c>
      <c r="O276" s="126" t="str">
        <f t="shared" si="18"/>
        <v>-</v>
      </c>
      <c r="P276" s="164"/>
      <c r="Q276" s="164"/>
      <c r="R276" s="164"/>
      <c r="S276" s="164"/>
      <c r="T276" s="164"/>
      <c r="U276" s="164"/>
      <c r="V276" s="165"/>
    </row>
    <row r="277" spans="1:25" ht="27" customHeight="1">
      <c r="A277" s="192" t="str">
        <f>IF(ISBLANK(C277)," ",272-COUNTBLANK($C$6:C277))</f>
        <v xml:space="preserve"> </v>
      </c>
      <c r="B277" s="178"/>
      <c r="C277" s="178"/>
      <c r="D277" s="193"/>
      <c r="E277" s="193"/>
      <c r="F277" s="180"/>
      <c r="G277" s="180"/>
      <c r="H277" s="180"/>
      <c r="I277" s="180"/>
      <c r="J277" s="180"/>
      <c r="K277" s="180"/>
      <c r="L277" s="180"/>
      <c r="M277" s="181"/>
      <c r="N277" s="163" t="str">
        <f t="shared" si="17"/>
        <v/>
      </c>
      <c r="O277" s="126" t="str">
        <f t="shared" si="18"/>
        <v>-</v>
      </c>
      <c r="P277" s="164"/>
      <c r="Q277" s="164"/>
      <c r="R277" s="164"/>
      <c r="S277" s="164"/>
      <c r="T277" s="164"/>
      <c r="U277" s="164"/>
      <c r="V277" s="166"/>
      <c r="W277" s="164"/>
      <c r="X277" s="164"/>
      <c r="Y277" s="164"/>
    </row>
    <row r="278" spans="1:25" ht="27" customHeight="1">
      <c r="A278" s="172" t="s">
        <v>44</v>
      </c>
      <c r="B278" s="173"/>
      <c r="C278" s="174"/>
      <c r="D278" s="194"/>
      <c r="E278" s="194">
        <f>SUM(E258:E277)</f>
        <v>0</v>
      </c>
      <c r="F278" s="176"/>
      <c r="G278" s="176"/>
      <c r="H278" s="176"/>
      <c r="I278" s="176"/>
      <c r="J278" s="176"/>
      <c r="K278" s="176"/>
      <c r="L278" s="176"/>
      <c r="M278" s="177"/>
      <c r="N278" s="163" t="str">
        <f t="shared" si="17"/>
        <v/>
      </c>
      <c r="O278" s="126"/>
      <c r="P278" s="164"/>
      <c r="Q278" s="164"/>
      <c r="R278" s="164"/>
      <c r="S278" s="164"/>
      <c r="T278" s="164"/>
      <c r="U278" s="164"/>
      <c r="V278" s="166"/>
      <c r="W278" s="164"/>
      <c r="X278" s="164"/>
      <c r="Y278" s="164"/>
    </row>
    <row r="279" spans="1:25" ht="27" customHeight="1">
      <c r="A279" s="187" t="str">
        <f>IF(ISBLANK(C279)," ",274-COUNTBLANK($C$6:C279))</f>
        <v xml:space="preserve"> </v>
      </c>
      <c r="B279" s="188"/>
      <c r="C279" s="188"/>
      <c r="D279" s="189"/>
      <c r="E279" s="189"/>
      <c r="F279" s="190"/>
      <c r="G279" s="190"/>
      <c r="H279" s="190"/>
      <c r="I279" s="190"/>
      <c r="J279" s="190"/>
      <c r="K279" s="190"/>
      <c r="L279" s="190"/>
      <c r="M279" s="191"/>
      <c r="N279" s="163" t="str">
        <f>CONCATENATE(C279,H279)</f>
        <v/>
      </c>
      <c r="O279" s="126" t="str">
        <f>IF(D279&gt;=E279,"-","ERR")</f>
        <v>-</v>
      </c>
      <c r="P279" s="164"/>
      <c r="Q279" s="164"/>
      <c r="R279" s="164"/>
      <c r="S279" s="164"/>
      <c r="T279" s="164"/>
      <c r="U279" s="164"/>
      <c r="V279" s="164"/>
    </row>
    <row r="280" spans="1:25" ht="27" customHeight="1">
      <c r="A280" s="192" t="str">
        <f>IF(ISBLANK(C280)," ",275-COUNTBLANK($C$6:C280))</f>
        <v xml:space="preserve"> </v>
      </c>
      <c r="B280" s="178"/>
      <c r="C280" s="178"/>
      <c r="D280" s="193"/>
      <c r="E280" s="193"/>
      <c r="F280" s="180"/>
      <c r="G280" s="180"/>
      <c r="H280" s="180"/>
      <c r="I280" s="180"/>
      <c r="J280" s="180"/>
      <c r="K280" s="180"/>
      <c r="L280" s="180"/>
      <c r="M280" s="181"/>
      <c r="N280" s="163" t="str">
        <f t="shared" ref="N280:N299" si="19">CONCATENATE(C280,H280)</f>
        <v/>
      </c>
      <c r="O280" s="126" t="str">
        <f t="shared" ref="O280:O298" si="20">IF(D280&gt;=E280,"-","ERR")</f>
        <v>-</v>
      </c>
      <c r="P280" s="164"/>
      <c r="Q280" s="164"/>
      <c r="R280" s="164"/>
      <c r="S280" s="164"/>
      <c r="T280" s="164"/>
      <c r="U280" s="164"/>
      <c r="V280" s="164"/>
    </row>
    <row r="281" spans="1:25" ht="27" customHeight="1">
      <c r="A281" s="192" t="str">
        <f>IF(ISBLANK(C281)," ",276-COUNTBLANK($C$6:C281))</f>
        <v xml:space="preserve"> </v>
      </c>
      <c r="B281" s="178"/>
      <c r="C281" s="178"/>
      <c r="D281" s="193"/>
      <c r="E281" s="193"/>
      <c r="F281" s="180"/>
      <c r="G281" s="180"/>
      <c r="H281" s="180"/>
      <c r="I281" s="180"/>
      <c r="J281" s="180"/>
      <c r="K281" s="180"/>
      <c r="L281" s="180"/>
      <c r="M281" s="181"/>
      <c r="N281" s="163" t="str">
        <f t="shared" si="19"/>
        <v/>
      </c>
      <c r="O281" s="126" t="str">
        <f t="shared" si="20"/>
        <v>-</v>
      </c>
      <c r="P281" s="164"/>
      <c r="Q281" s="164"/>
      <c r="R281" s="164"/>
      <c r="S281" s="164"/>
      <c r="T281" s="164"/>
      <c r="U281" s="164"/>
      <c r="V281" s="164"/>
    </row>
    <row r="282" spans="1:25" ht="27" customHeight="1">
      <c r="A282" s="192" t="str">
        <f>IF(ISBLANK(C282)," ",277-COUNTBLANK($C$6:C282))</f>
        <v xml:space="preserve"> </v>
      </c>
      <c r="B282" s="178"/>
      <c r="C282" s="178"/>
      <c r="D282" s="193"/>
      <c r="E282" s="193"/>
      <c r="F282" s="180"/>
      <c r="G282" s="180"/>
      <c r="H282" s="180"/>
      <c r="I282" s="180"/>
      <c r="J282" s="180"/>
      <c r="K282" s="180"/>
      <c r="L282" s="180"/>
      <c r="M282" s="181"/>
      <c r="N282" s="163" t="str">
        <f t="shared" si="19"/>
        <v/>
      </c>
      <c r="O282" s="126" t="str">
        <f t="shared" si="20"/>
        <v>-</v>
      </c>
      <c r="P282" s="164"/>
      <c r="Q282" s="164"/>
      <c r="R282" s="164"/>
      <c r="S282" s="164"/>
      <c r="T282" s="164"/>
      <c r="U282" s="164"/>
      <c r="V282" s="164"/>
    </row>
    <row r="283" spans="1:25" ht="27" customHeight="1">
      <c r="A283" s="192" t="str">
        <f>IF(ISBLANK(C283)," ",278-COUNTBLANK($C$6:C283))</f>
        <v xml:space="preserve"> </v>
      </c>
      <c r="B283" s="178"/>
      <c r="C283" s="178"/>
      <c r="D283" s="193"/>
      <c r="E283" s="193"/>
      <c r="F283" s="180"/>
      <c r="G283" s="180"/>
      <c r="H283" s="180"/>
      <c r="I283" s="180"/>
      <c r="J283" s="180"/>
      <c r="K283" s="180"/>
      <c r="L283" s="180"/>
      <c r="M283" s="181"/>
      <c r="N283" s="163" t="str">
        <f t="shared" si="19"/>
        <v/>
      </c>
      <c r="O283" s="126" t="str">
        <f t="shared" si="20"/>
        <v>-</v>
      </c>
      <c r="P283" s="164"/>
      <c r="Q283" s="164"/>
      <c r="R283" s="164"/>
      <c r="S283" s="164"/>
      <c r="T283" s="164"/>
      <c r="U283" s="164"/>
      <c r="V283" s="164"/>
    </row>
    <row r="284" spans="1:25" ht="27" customHeight="1">
      <c r="A284" s="192" t="str">
        <f>IF(ISBLANK(C284)," ",279-COUNTBLANK($C$6:C284))</f>
        <v xml:space="preserve"> </v>
      </c>
      <c r="B284" s="178"/>
      <c r="C284" s="178"/>
      <c r="D284" s="193"/>
      <c r="E284" s="193"/>
      <c r="F284" s="180"/>
      <c r="G284" s="180"/>
      <c r="H284" s="180"/>
      <c r="I284" s="180"/>
      <c r="J284" s="180"/>
      <c r="K284" s="180"/>
      <c r="L284" s="180"/>
      <c r="M284" s="181"/>
      <c r="N284" s="163" t="str">
        <f t="shared" si="19"/>
        <v/>
      </c>
      <c r="O284" s="126" t="str">
        <f t="shared" si="20"/>
        <v>-</v>
      </c>
      <c r="P284" s="164"/>
      <c r="Q284" s="164"/>
      <c r="R284" s="164"/>
      <c r="S284" s="164"/>
      <c r="T284" s="164"/>
      <c r="U284" s="164"/>
      <c r="V284" s="164"/>
    </row>
    <row r="285" spans="1:25" ht="27" customHeight="1">
      <c r="A285" s="192" t="str">
        <f>IF(ISBLANK(C285)," ",280-COUNTBLANK($C$6:C285))</f>
        <v xml:space="preserve"> </v>
      </c>
      <c r="B285" s="178"/>
      <c r="C285" s="178"/>
      <c r="D285" s="193"/>
      <c r="E285" s="193"/>
      <c r="F285" s="180"/>
      <c r="G285" s="180"/>
      <c r="H285" s="180"/>
      <c r="I285" s="180"/>
      <c r="J285" s="180"/>
      <c r="K285" s="180"/>
      <c r="L285" s="180"/>
      <c r="M285" s="181"/>
      <c r="N285" s="163" t="str">
        <f t="shared" si="19"/>
        <v/>
      </c>
      <c r="O285" s="126" t="str">
        <f t="shared" si="20"/>
        <v>-</v>
      </c>
      <c r="P285" s="164"/>
      <c r="Q285" s="164"/>
      <c r="R285" s="164"/>
      <c r="S285" s="164"/>
      <c r="T285" s="164"/>
      <c r="U285" s="164"/>
      <c r="V285" s="164"/>
    </row>
    <row r="286" spans="1:25" ht="27" customHeight="1">
      <c r="A286" s="192" t="str">
        <f>IF(ISBLANK(C286)," ",281-COUNTBLANK($C$6:C286))</f>
        <v xml:space="preserve"> </v>
      </c>
      <c r="B286" s="178"/>
      <c r="C286" s="178"/>
      <c r="D286" s="193"/>
      <c r="E286" s="193"/>
      <c r="F286" s="180"/>
      <c r="G286" s="180"/>
      <c r="H286" s="180"/>
      <c r="I286" s="180"/>
      <c r="J286" s="180"/>
      <c r="K286" s="180"/>
      <c r="L286" s="180"/>
      <c r="M286" s="181"/>
      <c r="N286" s="163" t="str">
        <f t="shared" si="19"/>
        <v/>
      </c>
      <c r="O286" s="126" t="str">
        <f t="shared" si="20"/>
        <v>-</v>
      </c>
      <c r="P286" s="164"/>
      <c r="Q286" s="164"/>
      <c r="R286" s="164"/>
      <c r="S286" s="164"/>
      <c r="T286" s="164"/>
      <c r="U286" s="164"/>
      <c r="V286" s="164"/>
    </row>
    <row r="287" spans="1:25" ht="27" customHeight="1">
      <c r="A287" s="192" t="str">
        <f>IF(ISBLANK(C287)," ",282-COUNTBLANK($C$6:C287))</f>
        <v xml:space="preserve"> </v>
      </c>
      <c r="B287" s="178"/>
      <c r="C287" s="178"/>
      <c r="D287" s="193"/>
      <c r="E287" s="193"/>
      <c r="F287" s="180"/>
      <c r="G287" s="180"/>
      <c r="H287" s="180"/>
      <c r="I287" s="180"/>
      <c r="J287" s="180"/>
      <c r="K287" s="180"/>
      <c r="L287" s="180"/>
      <c r="M287" s="181"/>
      <c r="N287" s="163" t="str">
        <f t="shared" si="19"/>
        <v/>
      </c>
      <c r="O287" s="126" t="str">
        <f t="shared" si="20"/>
        <v>-</v>
      </c>
      <c r="P287" s="164"/>
      <c r="Q287" s="164"/>
      <c r="R287" s="164"/>
      <c r="S287" s="164"/>
      <c r="T287" s="164"/>
      <c r="U287" s="164"/>
      <c r="V287" s="164"/>
    </row>
    <row r="288" spans="1:25" ht="27" customHeight="1">
      <c r="A288" s="192" t="str">
        <f>IF(ISBLANK(C288)," ",283-COUNTBLANK($C$6:C288))</f>
        <v xml:space="preserve"> </v>
      </c>
      <c r="B288" s="178"/>
      <c r="C288" s="178"/>
      <c r="D288" s="193"/>
      <c r="E288" s="193"/>
      <c r="F288" s="180"/>
      <c r="G288" s="180"/>
      <c r="H288" s="180"/>
      <c r="I288" s="180"/>
      <c r="J288" s="180"/>
      <c r="K288" s="180"/>
      <c r="L288" s="180"/>
      <c r="M288" s="181"/>
      <c r="N288" s="163" t="str">
        <f t="shared" si="19"/>
        <v/>
      </c>
      <c r="O288" s="126" t="str">
        <f t="shared" si="20"/>
        <v>-</v>
      </c>
      <c r="P288" s="164"/>
      <c r="Q288" s="164"/>
      <c r="R288" s="164"/>
      <c r="S288" s="164"/>
      <c r="T288" s="164"/>
      <c r="U288" s="164"/>
      <c r="V288" s="164"/>
    </row>
    <row r="289" spans="1:25" ht="27" customHeight="1">
      <c r="A289" s="192" t="str">
        <f>IF(ISBLANK(C289)," ",284-COUNTBLANK($C$6:C289))</f>
        <v xml:space="preserve"> </v>
      </c>
      <c r="B289" s="178"/>
      <c r="C289" s="178"/>
      <c r="D289" s="193"/>
      <c r="E289" s="193"/>
      <c r="F289" s="180"/>
      <c r="G289" s="180"/>
      <c r="H289" s="180"/>
      <c r="I289" s="180"/>
      <c r="J289" s="180"/>
      <c r="K289" s="180"/>
      <c r="L289" s="180"/>
      <c r="M289" s="181"/>
      <c r="N289" s="163" t="str">
        <f t="shared" si="19"/>
        <v/>
      </c>
      <c r="O289" s="126" t="str">
        <f t="shared" si="20"/>
        <v>-</v>
      </c>
      <c r="P289" s="164"/>
      <c r="Q289" s="164"/>
      <c r="R289" s="164"/>
      <c r="S289" s="164"/>
      <c r="T289" s="164"/>
      <c r="U289" s="164"/>
      <c r="V289" s="164"/>
    </row>
    <row r="290" spans="1:25" ht="27" customHeight="1">
      <c r="A290" s="192" t="str">
        <f>IF(ISBLANK(C290)," ",285-COUNTBLANK($C$6:C290))</f>
        <v xml:space="preserve"> </v>
      </c>
      <c r="B290" s="178"/>
      <c r="C290" s="178"/>
      <c r="D290" s="193"/>
      <c r="E290" s="193"/>
      <c r="F290" s="180"/>
      <c r="G290" s="180"/>
      <c r="H290" s="180"/>
      <c r="I290" s="180"/>
      <c r="J290" s="180"/>
      <c r="K290" s="180"/>
      <c r="L290" s="180"/>
      <c r="M290" s="181"/>
      <c r="N290" s="163" t="str">
        <f t="shared" si="19"/>
        <v/>
      </c>
      <c r="O290" s="126" t="str">
        <f t="shared" si="20"/>
        <v>-</v>
      </c>
      <c r="P290" s="164"/>
      <c r="Q290" s="164"/>
      <c r="R290" s="164"/>
      <c r="S290" s="164"/>
      <c r="T290" s="164"/>
      <c r="U290" s="164"/>
      <c r="V290" s="164"/>
    </row>
    <row r="291" spans="1:25" ht="27" customHeight="1">
      <c r="A291" s="192" t="str">
        <f>IF(ISBLANK(C291)," ",286-COUNTBLANK($C$6:C291))</f>
        <v xml:space="preserve"> </v>
      </c>
      <c r="B291" s="178"/>
      <c r="C291" s="178"/>
      <c r="D291" s="193"/>
      <c r="E291" s="193"/>
      <c r="F291" s="180"/>
      <c r="G291" s="180"/>
      <c r="H291" s="180"/>
      <c r="I291" s="180"/>
      <c r="J291" s="180"/>
      <c r="K291" s="180"/>
      <c r="L291" s="180"/>
      <c r="M291" s="181"/>
      <c r="N291" s="163" t="str">
        <f t="shared" si="19"/>
        <v/>
      </c>
      <c r="O291" s="126" t="str">
        <f t="shared" si="20"/>
        <v>-</v>
      </c>
      <c r="P291" s="164"/>
      <c r="Q291" s="164"/>
      <c r="R291" s="164"/>
      <c r="S291" s="164"/>
      <c r="T291" s="164"/>
      <c r="U291" s="164"/>
      <c r="V291" s="164"/>
    </row>
    <row r="292" spans="1:25" ht="27" customHeight="1">
      <c r="A292" s="192" t="str">
        <f>IF(ISBLANK(C292)," ",287-COUNTBLANK($C$6:C292))</f>
        <v xml:space="preserve"> </v>
      </c>
      <c r="B292" s="178"/>
      <c r="C292" s="178"/>
      <c r="D292" s="193"/>
      <c r="E292" s="193"/>
      <c r="F292" s="180"/>
      <c r="G292" s="180"/>
      <c r="H292" s="180"/>
      <c r="I292" s="180"/>
      <c r="J292" s="180"/>
      <c r="K292" s="180"/>
      <c r="L292" s="180"/>
      <c r="M292" s="181"/>
      <c r="N292" s="163" t="str">
        <f t="shared" si="19"/>
        <v/>
      </c>
      <c r="O292" s="126" t="str">
        <f t="shared" si="20"/>
        <v>-</v>
      </c>
      <c r="P292" s="164"/>
      <c r="Q292" s="164"/>
      <c r="R292" s="164"/>
      <c r="S292" s="164"/>
      <c r="T292" s="164"/>
      <c r="U292" s="164"/>
      <c r="V292" s="164"/>
    </row>
    <row r="293" spans="1:25" ht="27" customHeight="1">
      <c r="A293" s="192" t="str">
        <f>IF(ISBLANK(C293)," ",288-COUNTBLANK($C$6:C293))</f>
        <v xml:space="preserve"> </v>
      </c>
      <c r="B293" s="178"/>
      <c r="C293" s="178"/>
      <c r="D293" s="193"/>
      <c r="E293" s="193"/>
      <c r="F293" s="180"/>
      <c r="G293" s="180"/>
      <c r="H293" s="180"/>
      <c r="I293" s="180"/>
      <c r="J293" s="180"/>
      <c r="K293" s="180"/>
      <c r="L293" s="180"/>
      <c r="M293" s="181"/>
      <c r="N293" s="163" t="str">
        <f t="shared" si="19"/>
        <v/>
      </c>
      <c r="O293" s="126" t="str">
        <f t="shared" si="20"/>
        <v>-</v>
      </c>
      <c r="P293" s="164"/>
      <c r="Q293" s="164"/>
      <c r="R293" s="164"/>
      <c r="S293" s="164"/>
      <c r="T293" s="164"/>
      <c r="U293" s="164"/>
      <c r="V293" s="164"/>
    </row>
    <row r="294" spans="1:25" ht="27" customHeight="1">
      <c r="A294" s="192" t="str">
        <f>IF(ISBLANK(C294)," ",289-COUNTBLANK($C$6:C294))</f>
        <v xml:space="preserve"> </v>
      </c>
      <c r="B294" s="178"/>
      <c r="C294" s="178"/>
      <c r="D294" s="193"/>
      <c r="E294" s="193"/>
      <c r="F294" s="180"/>
      <c r="G294" s="180"/>
      <c r="H294" s="180"/>
      <c r="I294" s="180"/>
      <c r="J294" s="180"/>
      <c r="K294" s="180"/>
      <c r="L294" s="180"/>
      <c r="M294" s="181"/>
      <c r="N294" s="163" t="str">
        <f t="shared" si="19"/>
        <v/>
      </c>
      <c r="O294" s="126" t="str">
        <f t="shared" si="20"/>
        <v>-</v>
      </c>
      <c r="P294" s="164"/>
      <c r="Q294" s="164"/>
      <c r="R294" s="164"/>
      <c r="S294" s="164"/>
      <c r="T294" s="164"/>
      <c r="U294" s="164"/>
      <c r="V294" s="165"/>
    </row>
    <row r="295" spans="1:25" ht="27" customHeight="1">
      <c r="A295" s="192" t="str">
        <f>IF(ISBLANK(C295)," ",290-COUNTBLANK($C$6:C295))</f>
        <v xml:space="preserve"> </v>
      </c>
      <c r="B295" s="178"/>
      <c r="C295" s="178"/>
      <c r="D295" s="193"/>
      <c r="E295" s="193"/>
      <c r="F295" s="180"/>
      <c r="G295" s="180"/>
      <c r="H295" s="180"/>
      <c r="I295" s="180"/>
      <c r="J295" s="180"/>
      <c r="K295" s="180"/>
      <c r="L295" s="180"/>
      <c r="M295" s="181"/>
      <c r="N295" s="163" t="str">
        <f t="shared" si="19"/>
        <v/>
      </c>
      <c r="O295" s="126" t="str">
        <f t="shared" si="20"/>
        <v>-</v>
      </c>
      <c r="P295" s="164"/>
      <c r="Q295" s="164"/>
      <c r="R295" s="164"/>
      <c r="S295" s="164"/>
      <c r="T295" s="164"/>
      <c r="U295" s="164"/>
      <c r="V295" s="165"/>
    </row>
    <row r="296" spans="1:25" ht="27" customHeight="1">
      <c r="A296" s="192" t="str">
        <f>IF(ISBLANK(C296)," ",291-COUNTBLANK($C$6:C296))</f>
        <v xml:space="preserve"> </v>
      </c>
      <c r="B296" s="178"/>
      <c r="C296" s="178"/>
      <c r="D296" s="193"/>
      <c r="E296" s="193"/>
      <c r="F296" s="180"/>
      <c r="G296" s="180"/>
      <c r="H296" s="180"/>
      <c r="I296" s="180"/>
      <c r="J296" s="180"/>
      <c r="K296" s="180"/>
      <c r="L296" s="180"/>
      <c r="M296" s="181"/>
      <c r="N296" s="163" t="str">
        <f t="shared" si="19"/>
        <v/>
      </c>
      <c r="O296" s="126" t="str">
        <f t="shared" si="20"/>
        <v>-</v>
      </c>
      <c r="P296" s="164"/>
      <c r="Q296" s="164"/>
      <c r="R296" s="164"/>
      <c r="S296" s="164"/>
      <c r="T296" s="164"/>
      <c r="U296" s="164"/>
      <c r="V296" s="165"/>
    </row>
    <row r="297" spans="1:25" ht="27" customHeight="1">
      <c r="A297" s="192" t="str">
        <f>IF(ISBLANK(C297)," ",292-COUNTBLANK($C$6:C297))</f>
        <v xml:space="preserve"> </v>
      </c>
      <c r="B297" s="178"/>
      <c r="C297" s="178"/>
      <c r="D297" s="193"/>
      <c r="E297" s="193"/>
      <c r="F297" s="180"/>
      <c r="G297" s="180"/>
      <c r="H297" s="180"/>
      <c r="I297" s="180"/>
      <c r="J297" s="180"/>
      <c r="K297" s="180"/>
      <c r="L297" s="180"/>
      <c r="M297" s="181"/>
      <c r="N297" s="163" t="str">
        <f t="shared" si="19"/>
        <v/>
      </c>
      <c r="O297" s="126" t="str">
        <f t="shared" si="20"/>
        <v>-</v>
      </c>
      <c r="P297" s="164"/>
      <c r="Q297" s="164"/>
      <c r="R297" s="164"/>
      <c r="S297" s="164"/>
      <c r="T297" s="164"/>
      <c r="U297" s="164"/>
      <c r="V297" s="165"/>
    </row>
    <row r="298" spans="1:25" ht="27" customHeight="1">
      <c r="A298" s="192" t="str">
        <f>IF(ISBLANK(C298)," ",293-COUNTBLANK($C$6:C298))</f>
        <v xml:space="preserve"> </v>
      </c>
      <c r="B298" s="178"/>
      <c r="C298" s="178"/>
      <c r="D298" s="193"/>
      <c r="E298" s="193"/>
      <c r="F298" s="180"/>
      <c r="G298" s="180"/>
      <c r="H298" s="180"/>
      <c r="I298" s="180"/>
      <c r="J298" s="180"/>
      <c r="K298" s="180"/>
      <c r="L298" s="180"/>
      <c r="M298" s="181"/>
      <c r="N298" s="163" t="str">
        <f t="shared" si="19"/>
        <v/>
      </c>
      <c r="O298" s="126" t="str">
        <f t="shared" si="20"/>
        <v>-</v>
      </c>
      <c r="P298" s="164"/>
      <c r="Q298" s="164"/>
      <c r="R298" s="164"/>
      <c r="S298" s="164"/>
      <c r="T298" s="164"/>
      <c r="U298" s="164"/>
      <c r="V298" s="166"/>
      <c r="W298" s="164"/>
      <c r="X298" s="164"/>
      <c r="Y298" s="164"/>
    </row>
    <row r="299" spans="1:25" ht="27" customHeight="1">
      <c r="A299" s="172" t="s">
        <v>44</v>
      </c>
      <c r="B299" s="173"/>
      <c r="C299" s="174"/>
      <c r="D299" s="194"/>
      <c r="E299" s="194">
        <f>SUM(E279:E298)</f>
        <v>0</v>
      </c>
      <c r="F299" s="176"/>
      <c r="G299" s="176"/>
      <c r="H299" s="176"/>
      <c r="I299" s="176"/>
      <c r="J299" s="176"/>
      <c r="K299" s="176"/>
      <c r="L299" s="176"/>
      <c r="M299" s="177"/>
      <c r="N299" s="163" t="str">
        <f t="shared" si="19"/>
        <v/>
      </c>
      <c r="O299" s="126"/>
      <c r="P299" s="164"/>
      <c r="Q299" s="164"/>
      <c r="R299" s="164"/>
      <c r="S299" s="164"/>
      <c r="T299" s="164"/>
      <c r="U299" s="164"/>
      <c r="V299" s="166"/>
      <c r="W299" s="164"/>
      <c r="X299" s="164"/>
      <c r="Y299" s="164"/>
    </row>
    <row r="300" spans="1:25" ht="27" customHeight="1">
      <c r="A300" s="187" t="str">
        <f>IF(ISBLANK(C300)," ",295-COUNTBLANK($C$6:C300))</f>
        <v xml:space="preserve"> </v>
      </c>
      <c r="B300" s="188"/>
      <c r="C300" s="188"/>
      <c r="D300" s="189"/>
      <c r="E300" s="189"/>
      <c r="F300" s="190"/>
      <c r="G300" s="190"/>
      <c r="H300" s="190"/>
      <c r="I300" s="190"/>
      <c r="J300" s="190"/>
      <c r="K300" s="190"/>
      <c r="L300" s="190"/>
      <c r="M300" s="191"/>
      <c r="N300" s="163" t="str">
        <f>CONCATENATE(C300,H300)</f>
        <v/>
      </c>
      <c r="O300" s="126" t="str">
        <f>IF(D300&gt;=E300,"-","ERR")</f>
        <v>-</v>
      </c>
      <c r="P300" s="164"/>
      <c r="Q300" s="164"/>
      <c r="R300" s="164"/>
      <c r="S300" s="164"/>
      <c r="T300" s="164"/>
      <c r="U300" s="164"/>
      <c r="V300" s="164"/>
    </row>
    <row r="301" spans="1:25" ht="27" customHeight="1">
      <c r="A301" s="192" t="str">
        <f>IF(ISBLANK(C301)," ",296-COUNTBLANK($C$6:C301))</f>
        <v xml:space="preserve"> </v>
      </c>
      <c r="B301" s="178"/>
      <c r="C301" s="178"/>
      <c r="D301" s="193"/>
      <c r="E301" s="193"/>
      <c r="F301" s="180"/>
      <c r="G301" s="180"/>
      <c r="H301" s="180"/>
      <c r="I301" s="180"/>
      <c r="J301" s="180"/>
      <c r="K301" s="180"/>
      <c r="L301" s="180"/>
      <c r="M301" s="181"/>
      <c r="N301" s="163" t="str">
        <f t="shared" ref="N301:N320" si="21">CONCATENATE(C301,H301)</f>
        <v/>
      </c>
      <c r="O301" s="126" t="str">
        <f t="shared" ref="O301:O319" si="22">IF(D301&gt;=E301,"-","ERR")</f>
        <v>-</v>
      </c>
      <c r="P301" s="164"/>
      <c r="Q301" s="164"/>
      <c r="R301" s="164"/>
      <c r="S301" s="164"/>
      <c r="T301" s="164"/>
      <c r="U301" s="164"/>
      <c r="V301" s="164"/>
    </row>
    <row r="302" spans="1:25" ht="27" customHeight="1">
      <c r="A302" s="192" t="str">
        <f>IF(ISBLANK(C302)," ",297-COUNTBLANK($C$6:C302))</f>
        <v xml:space="preserve"> </v>
      </c>
      <c r="B302" s="178"/>
      <c r="C302" s="178"/>
      <c r="D302" s="193"/>
      <c r="E302" s="193"/>
      <c r="F302" s="180"/>
      <c r="G302" s="180"/>
      <c r="H302" s="180"/>
      <c r="I302" s="180"/>
      <c r="J302" s="180"/>
      <c r="K302" s="180"/>
      <c r="L302" s="180"/>
      <c r="M302" s="181"/>
      <c r="N302" s="163" t="str">
        <f t="shared" si="21"/>
        <v/>
      </c>
      <c r="O302" s="126" t="str">
        <f t="shared" si="22"/>
        <v>-</v>
      </c>
      <c r="P302" s="164"/>
      <c r="Q302" s="164"/>
      <c r="R302" s="164"/>
      <c r="S302" s="164"/>
      <c r="T302" s="164"/>
      <c r="U302" s="164"/>
      <c r="V302" s="164"/>
    </row>
    <row r="303" spans="1:25" ht="27" customHeight="1">
      <c r="A303" s="192" t="str">
        <f>IF(ISBLANK(C303)," ",298-COUNTBLANK($C$6:C303))</f>
        <v xml:space="preserve"> </v>
      </c>
      <c r="B303" s="178"/>
      <c r="C303" s="178"/>
      <c r="D303" s="193"/>
      <c r="E303" s="193"/>
      <c r="F303" s="180"/>
      <c r="G303" s="180"/>
      <c r="H303" s="180"/>
      <c r="I303" s="180"/>
      <c r="J303" s="180"/>
      <c r="K303" s="180"/>
      <c r="L303" s="180"/>
      <c r="M303" s="181"/>
      <c r="N303" s="163" t="str">
        <f t="shared" si="21"/>
        <v/>
      </c>
      <c r="O303" s="126" t="str">
        <f t="shared" si="22"/>
        <v>-</v>
      </c>
      <c r="P303" s="164"/>
      <c r="Q303" s="164"/>
      <c r="R303" s="164"/>
      <c r="S303" s="164"/>
      <c r="T303" s="164"/>
      <c r="U303" s="164"/>
      <c r="V303" s="164"/>
    </row>
    <row r="304" spans="1:25" ht="27" customHeight="1">
      <c r="A304" s="192" t="str">
        <f>IF(ISBLANK(C304)," ",299-COUNTBLANK($C$6:C304))</f>
        <v xml:space="preserve"> </v>
      </c>
      <c r="B304" s="178"/>
      <c r="C304" s="178"/>
      <c r="D304" s="193"/>
      <c r="E304" s="193"/>
      <c r="F304" s="180"/>
      <c r="G304" s="180"/>
      <c r="H304" s="180"/>
      <c r="I304" s="180"/>
      <c r="J304" s="180"/>
      <c r="K304" s="180"/>
      <c r="L304" s="180"/>
      <c r="M304" s="181"/>
      <c r="N304" s="163" t="str">
        <f t="shared" si="21"/>
        <v/>
      </c>
      <c r="O304" s="126" t="str">
        <f t="shared" si="22"/>
        <v>-</v>
      </c>
      <c r="P304" s="164"/>
      <c r="Q304" s="164"/>
      <c r="R304" s="164"/>
      <c r="S304" s="164"/>
      <c r="T304" s="164"/>
      <c r="U304" s="164"/>
      <c r="V304" s="164"/>
    </row>
    <row r="305" spans="1:25" ht="27" customHeight="1">
      <c r="A305" s="192" t="str">
        <f>IF(ISBLANK(C305)," ",300-COUNTBLANK($C$6:C305))</f>
        <v xml:space="preserve"> </v>
      </c>
      <c r="B305" s="178"/>
      <c r="C305" s="178"/>
      <c r="D305" s="193"/>
      <c r="E305" s="193"/>
      <c r="F305" s="180"/>
      <c r="G305" s="180"/>
      <c r="H305" s="180"/>
      <c r="I305" s="180"/>
      <c r="J305" s="180"/>
      <c r="K305" s="180"/>
      <c r="L305" s="180"/>
      <c r="M305" s="181"/>
      <c r="N305" s="163" t="str">
        <f t="shared" si="21"/>
        <v/>
      </c>
      <c r="O305" s="126" t="str">
        <f t="shared" si="22"/>
        <v>-</v>
      </c>
      <c r="P305" s="164"/>
      <c r="Q305" s="164"/>
      <c r="R305" s="164"/>
      <c r="S305" s="164"/>
      <c r="T305" s="164"/>
      <c r="U305" s="164"/>
      <c r="V305" s="164"/>
    </row>
    <row r="306" spans="1:25" ht="27" customHeight="1">
      <c r="A306" s="192" t="str">
        <f>IF(ISBLANK(C306)," ",301-COUNTBLANK($C$6:C306))</f>
        <v xml:space="preserve"> </v>
      </c>
      <c r="B306" s="178"/>
      <c r="C306" s="178"/>
      <c r="D306" s="193"/>
      <c r="E306" s="193"/>
      <c r="F306" s="180"/>
      <c r="G306" s="180"/>
      <c r="H306" s="180"/>
      <c r="I306" s="180"/>
      <c r="J306" s="180"/>
      <c r="K306" s="180"/>
      <c r="L306" s="180"/>
      <c r="M306" s="181"/>
      <c r="N306" s="163" t="str">
        <f t="shared" si="21"/>
        <v/>
      </c>
      <c r="O306" s="126" t="str">
        <f t="shared" si="22"/>
        <v>-</v>
      </c>
      <c r="P306" s="164"/>
      <c r="Q306" s="164"/>
      <c r="R306" s="164"/>
      <c r="S306" s="164"/>
      <c r="T306" s="164"/>
      <c r="U306" s="164"/>
      <c r="V306" s="164"/>
    </row>
    <row r="307" spans="1:25" ht="27" customHeight="1">
      <c r="A307" s="192" t="str">
        <f>IF(ISBLANK(C307)," ",302-COUNTBLANK($C$6:C307))</f>
        <v xml:space="preserve"> </v>
      </c>
      <c r="B307" s="178"/>
      <c r="C307" s="178"/>
      <c r="D307" s="193"/>
      <c r="E307" s="193"/>
      <c r="F307" s="180"/>
      <c r="G307" s="180"/>
      <c r="H307" s="180"/>
      <c r="I307" s="180"/>
      <c r="J307" s="180"/>
      <c r="K307" s="180"/>
      <c r="L307" s="180"/>
      <c r="M307" s="181"/>
      <c r="N307" s="163" t="str">
        <f t="shared" si="21"/>
        <v/>
      </c>
      <c r="O307" s="126" t="str">
        <f t="shared" si="22"/>
        <v>-</v>
      </c>
      <c r="P307" s="164"/>
      <c r="Q307" s="164"/>
      <c r="R307" s="164"/>
      <c r="S307" s="164"/>
      <c r="T307" s="164"/>
      <c r="U307" s="164"/>
      <c r="V307" s="164"/>
    </row>
    <row r="308" spans="1:25" ht="27" customHeight="1">
      <c r="A308" s="192" t="str">
        <f>IF(ISBLANK(C308)," ",303-COUNTBLANK($C$6:C308))</f>
        <v xml:space="preserve"> </v>
      </c>
      <c r="B308" s="178"/>
      <c r="C308" s="178"/>
      <c r="D308" s="193"/>
      <c r="E308" s="193"/>
      <c r="F308" s="180"/>
      <c r="G308" s="180"/>
      <c r="H308" s="180"/>
      <c r="I308" s="180"/>
      <c r="J308" s="180"/>
      <c r="K308" s="180"/>
      <c r="L308" s="180"/>
      <c r="M308" s="181"/>
      <c r="N308" s="163" t="str">
        <f t="shared" si="21"/>
        <v/>
      </c>
      <c r="O308" s="126" t="str">
        <f t="shared" si="22"/>
        <v>-</v>
      </c>
      <c r="P308" s="164"/>
      <c r="Q308" s="164"/>
      <c r="R308" s="164"/>
      <c r="S308" s="164"/>
      <c r="T308" s="164"/>
      <c r="U308" s="164"/>
      <c r="V308" s="164"/>
    </row>
    <row r="309" spans="1:25" ht="27" customHeight="1">
      <c r="A309" s="192" t="str">
        <f>IF(ISBLANK(C309)," ",304-COUNTBLANK($C$6:C309))</f>
        <v xml:space="preserve"> </v>
      </c>
      <c r="B309" s="178"/>
      <c r="C309" s="178"/>
      <c r="D309" s="193"/>
      <c r="E309" s="193"/>
      <c r="F309" s="180"/>
      <c r="G309" s="180"/>
      <c r="H309" s="180"/>
      <c r="I309" s="180"/>
      <c r="J309" s="180"/>
      <c r="K309" s="180"/>
      <c r="L309" s="180"/>
      <c r="M309" s="181"/>
      <c r="N309" s="163" t="str">
        <f t="shared" si="21"/>
        <v/>
      </c>
      <c r="O309" s="126" t="str">
        <f t="shared" si="22"/>
        <v>-</v>
      </c>
      <c r="P309" s="164"/>
      <c r="Q309" s="164"/>
      <c r="R309" s="164"/>
      <c r="S309" s="164"/>
      <c r="T309" s="164"/>
      <c r="U309" s="164"/>
      <c r="V309" s="164"/>
    </row>
    <row r="310" spans="1:25" ht="27" customHeight="1">
      <c r="A310" s="192" t="str">
        <f>IF(ISBLANK(C310)," ",305-COUNTBLANK($C$6:C310))</f>
        <v xml:space="preserve"> </v>
      </c>
      <c r="B310" s="178"/>
      <c r="C310" s="178"/>
      <c r="D310" s="193"/>
      <c r="E310" s="193"/>
      <c r="F310" s="180"/>
      <c r="G310" s="180"/>
      <c r="H310" s="180"/>
      <c r="I310" s="180"/>
      <c r="J310" s="180"/>
      <c r="K310" s="180"/>
      <c r="L310" s="180"/>
      <c r="M310" s="181"/>
      <c r="N310" s="163" t="str">
        <f t="shared" si="21"/>
        <v/>
      </c>
      <c r="O310" s="126" t="str">
        <f t="shared" si="22"/>
        <v>-</v>
      </c>
      <c r="P310" s="164"/>
      <c r="Q310" s="164"/>
      <c r="R310" s="164"/>
      <c r="S310" s="164"/>
      <c r="T310" s="164"/>
      <c r="U310" s="164"/>
      <c r="V310" s="164"/>
    </row>
    <row r="311" spans="1:25" ht="27" customHeight="1">
      <c r="A311" s="192" t="str">
        <f>IF(ISBLANK(C311)," ",306-COUNTBLANK($C$6:C311))</f>
        <v xml:space="preserve"> </v>
      </c>
      <c r="B311" s="178"/>
      <c r="C311" s="178"/>
      <c r="D311" s="193"/>
      <c r="E311" s="193"/>
      <c r="F311" s="180"/>
      <c r="G311" s="180"/>
      <c r="H311" s="180"/>
      <c r="I311" s="180"/>
      <c r="J311" s="180"/>
      <c r="K311" s="180"/>
      <c r="L311" s="180"/>
      <c r="M311" s="181"/>
      <c r="N311" s="163" t="str">
        <f t="shared" si="21"/>
        <v/>
      </c>
      <c r="O311" s="126" t="str">
        <f t="shared" si="22"/>
        <v>-</v>
      </c>
      <c r="P311" s="164"/>
      <c r="Q311" s="164"/>
      <c r="R311" s="164"/>
      <c r="S311" s="164"/>
      <c r="T311" s="164"/>
      <c r="U311" s="164"/>
      <c r="V311" s="164"/>
    </row>
    <row r="312" spans="1:25" ht="27" customHeight="1">
      <c r="A312" s="192" t="str">
        <f>IF(ISBLANK(C312)," ",307-COUNTBLANK($C$6:C312))</f>
        <v xml:space="preserve"> </v>
      </c>
      <c r="B312" s="178"/>
      <c r="C312" s="178"/>
      <c r="D312" s="193"/>
      <c r="E312" s="193"/>
      <c r="F312" s="180"/>
      <c r="G312" s="180"/>
      <c r="H312" s="180"/>
      <c r="I312" s="180"/>
      <c r="J312" s="180"/>
      <c r="K312" s="180"/>
      <c r="L312" s="180"/>
      <c r="M312" s="181"/>
      <c r="N312" s="163" t="str">
        <f t="shared" si="21"/>
        <v/>
      </c>
      <c r="O312" s="126" t="str">
        <f t="shared" si="22"/>
        <v>-</v>
      </c>
      <c r="P312" s="164"/>
      <c r="Q312" s="164"/>
      <c r="R312" s="164"/>
      <c r="S312" s="164"/>
      <c r="T312" s="164"/>
      <c r="U312" s="164"/>
      <c r="V312" s="164"/>
    </row>
    <row r="313" spans="1:25" ht="27" customHeight="1">
      <c r="A313" s="192" t="str">
        <f>IF(ISBLANK(C313)," ",308-COUNTBLANK($C$6:C313))</f>
        <v xml:space="preserve"> </v>
      </c>
      <c r="B313" s="178"/>
      <c r="C313" s="178"/>
      <c r="D313" s="193"/>
      <c r="E313" s="193"/>
      <c r="F313" s="180"/>
      <c r="G313" s="180"/>
      <c r="H313" s="180"/>
      <c r="I313" s="180"/>
      <c r="J313" s="180"/>
      <c r="K313" s="180"/>
      <c r="L313" s="180"/>
      <c r="M313" s="181"/>
      <c r="N313" s="163" t="str">
        <f t="shared" si="21"/>
        <v/>
      </c>
      <c r="O313" s="126" t="str">
        <f t="shared" si="22"/>
        <v>-</v>
      </c>
      <c r="P313" s="164"/>
      <c r="Q313" s="164"/>
      <c r="R313" s="164"/>
      <c r="S313" s="164"/>
      <c r="T313" s="164"/>
      <c r="U313" s="164"/>
      <c r="V313" s="164"/>
    </row>
    <row r="314" spans="1:25" ht="27" customHeight="1">
      <c r="A314" s="192" t="str">
        <f>IF(ISBLANK(C314)," ",309-COUNTBLANK($C$6:C314))</f>
        <v xml:space="preserve"> </v>
      </c>
      <c r="B314" s="178"/>
      <c r="C314" s="178"/>
      <c r="D314" s="193"/>
      <c r="E314" s="193"/>
      <c r="F314" s="180"/>
      <c r="G314" s="180"/>
      <c r="H314" s="180"/>
      <c r="I314" s="180"/>
      <c r="J314" s="180"/>
      <c r="K314" s="180"/>
      <c r="L314" s="180"/>
      <c r="M314" s="181"/>
      <c r="N314" s="163" t="str">
        <f t="shared" si="21"/>
        <v/>
      </c>
      <c r="O314" s="126" t="str">
        <f t="shared" si="22"/>
        <v>-</v>
      </c>
      <c r="P314" s="164"/>
      <c r="Q314" s="164"/>
      <c r="R314" s="164"/>
      <c r="S314" s="164"/>
      <c r="T314" s="164"/>
      <c r="U314" s="164"/>
      <c r="V314" s="164"/>
    </row>
    <row r="315" spans="1:25" ht="27" customHeight="1">
      <c r="A315" s="192" t="str">
        <f>IF(ISBLANK(C315)," ",310-COUNTBLANK($C$6:C315))</f>
        <v xml:space="preserve"> </v>
      </c>
      <c r="B315" s="178"/>
      <c r="C315" s="178"/>
      <c r="D315" s="193"/>
      <c r="E315" s="193"/>
      <c r="F315" s="180"/>
      <c r="G315" s="180"/>
      <c r="H315" s="180"/>
      <c r="I315" s="180"/>
      <c r="J315" s="180"/>
      <c r="K315" s="180"/>
      <c r="L315" s="180"/>
      <c r="M315" s="181"/>
      <c r="N315" s="163" t="str">
        <f t="shared" si="21"/>
        <v/>
      </c>
      <c r="O315" s="126" t="str">
        <f t="shared" si="22"/>
        <v>-</v>
      </c>
      <c r="P315" s="164"/>
      <c r="Q315" s="164"/>
      <c r="R315" s="164"/>
      <c r="S315" s="164"/>
      <c r="T315" s="164"/>
      <c r="U315" s="164"/>
      <c r="V315" s="165"/>
    </row>
    <row r="316" spans="1:25" ht="27" customHeight="1">
      <c r="A316" s="192" t="str">
        <f>IF(ISBLANK(C316)," ",311-COUNTBLANK($C$6:C316))</f>
        <v xml:space="preserve"> </v>
      </c>
      <c r="B316" s="178"/>
      <c r="C316" s="178"/>
      <c r="D316" s="193"/>
      <c r="E316" s="193"/>
      <c r="F316" s="180"/>
      <c r="G316" s="180"/>
      <c r="H316" s="180"/>
      <c r="I316" s="180"/>
      <c r="J316" s="180"/>
      <c r="K316" s="180"/>
      <c r="L316" s="180"/>
      <c r="M316" s="181"/>
      <c r="N316" s="163" t="str">
        <f t="shared" si="21"/>
        <v/>
      </c>
      <c r="O316" s="126" t="str">
        <f t="shared" si="22"/>
        <v>-</v>
      </c>
      <c r="P316" s="164"/>
      <c r="Q316" s="164"/>
      <c r="R316" s="164"/>
      <c r="S316" s="164"/>
      <c r="T316" s="164"/>
      <c r="U316" s="164"/>
      <c r="V316" s="165"/>
    </row>
    <row r="317" spans="1:25" ht="27" customHeight="1">
      <c r="A317" s="192" t="str">
        <f>IF(ISBLANK(C317)," ",312-COUNTBLANK($C$6:C317))</f>
        <v xml:space="preserve"> </v>
      </c>
      <c r="B317" s="178"/>
      <c r="C317" s="178"/>
      <c r="D317" s="193"/>
      <c r="E317" s="193"/>
      <c r="F317" s="180"/>
      <c r="G317" s="180"/>
      <c r="H317" s="180"/>
      <c r="I317" s="180"/>
      <c r="J317" s="180"/>
      <c r="K317" s="180"/>
      <c r="L317" s="180"/>
      <c r="M317" s="181"/>
      <c r="N317" s="163" t="str">
        <f t="shared" si="21"/>
        <v/>
      </c>
      <c r="O317" s="126" t="str">
        <f t="shared" si="22"/>
        <v>-</v>
      </c>
      <c r="P317" s="164"/>
      <c r="Q317" s="164"/>
      <c r="R317" s="164"/>
      <c r="S317" s="164"/>
      <c r="T317" s="164"/>
      <c r="U317" s="164"/>
      <c r="V317" s="165"/>
    </row>
    <row r="318" spans="1:25" ht="27" customHeight="1">
      <c r="A318" s="192" t="str">
        <f>IF(ISBLANK(C318)," ",313-COUNTBLANK($C$6:C318))</f>
        <v xml:space="preserve"> </v>
      </c>
      <c r="B318" s="178"/>
      <c r="C318" s="178"/>
      <c r="D318" s="193"/>
      <c r="E318" s="193"/>
      <c r="F318" s="180"/>
      <c r="G318" s="180"/>
      <c r="H318" s="180"/>
      <c r="I318" s="180"/>
      <c r="J318" s="180"/>
      <c r="K318" s="180"/>
      <c r="L318" s="180"/>
      <c r="M318" s="181"/>
      <c r="N318" s="163" t="str">
        <f t="shared" si="21"/>
        <v/>
      </c>
      <c r="O318" s="126" t="str">
        <f t="shared" si="22"/>
        <v>-</v>
      </c>
      <c r="P318" s="164"/>
      <c r="Q318" s="164"/>
      <c r="R318" s="164"/>
      <c r="S318" s="164"/>
      <c r="T318" s="164"/>
      <c r="U318" s="164"/>
      <c r="V318" s="165"/>
    </row>
    <row r="319" spans="1:25" ht="27" customHeight="1">
      <c r="A319" s="192" t="str">
        <f>IF(ISBLANK(C319)," ",314-COUNTBLANK($C$6:C319))</f>
        <v xml:space="preserve"> </v>
      </c>
      <c r="B319" s="178"/>
      <c r="C319" s="178"/>
      <c r="D319" s="193"/>
      <c r="E319" s="193"/>
      <c r="F319" s="180"/>
      <c r="G319" s="180"/>
      <c r="H319" s="180"/>
      <c r="I319" s="180"/>
      <c r="J319" s="180"/>
      <c r="K319" s="180"/>
      <c r="L319" s="180"/>
      <c r="M319" s="181"/>
      <c r="N319" s="163" t="str">
        <f t="shared" si="21"/>
        <v/>
      </c>
      <c r="O319" s="126" t="str">
        <f t="shared" si="22"/>
        <v>-</v>
      </c>
      <c r="P319" s="164"/>
      <c r="Q319" s="164"/>
      <c r="R319" s="164"/>
      <c r="S319" s="164"/>
      <c r="T319" s="164"/>
      <c r="U319" s="164"/>
      <c r="V319" s="166"/>
      <c r="W319" s="164"/>
      <c r="X319" s="164"/>
      <c r="Y319" s="164"/>
    </row>
    <row r="320" spans="1:25" ht="27" customHeight="1">
      <c r="A320" s="172" t="s">
        <v>44</v>
      </c>
      <c r="B320" s="173"/>
      <c r="C320" s="174"/>
      <c r="D320" s="194"/>
      <c r="E320" s="194">
        <f>SUM(E300:E319)</f>
        <v>0</v>
      </c>
      <c r="F320" s="176"/>
      <c r="G320" s="176"/>
      <c r="H320" s="176"/>
      <c r="I320" s="176"/>
      <c r="J320" s="176"/>
      <c r="K320" s="176"/>
      <c r="L320" s="176"/>
      <c r="M320" s="177"/>
      <c r="N320" s="163" t="str">
        <f t="shared" si="21"/>
        <v/>
      </c>
      <c r="O320" s="126"/>
      <c r="P320" s="164"/>
      <c r="Q320" s="164"/>
      <c r="R320" s="164"/>
      <c r="S320" s="164"/>
      <c r="T320" s="164"/>
      <c r="U320" s="164"/>
      <c r="V320" s="166"/>
      <c r="W320" s="164"/>
      <c r="X320" s="164"/>
      <c r="Y320" s="164"/>
    </row>
    <row r="321" spans="1:22" ht="27" customHeight="1">
      <c r="A321" s="187" t="str">
        <f>IF(ISBLANK(C321)," ",316-COUNTBLANK($C$6:C321))</f>
        <v xml:space="preserve"> </v>
      </c>
      <c r="B321" s="188"/>
      <c r="C321" s="188"/>
      <c r="D321" s="189"/>
      <c r="E321" s="189"/>
      <c r="F321" s="190"/>
      <c r="G321" s="190"/>
      <c r="H321" s="190"/>
      <c r="I321" s="190"/>
      <c r="J321" s="190"/>
      <c r="K321" s="190"/>
      <c r="L321" s="190"/>
      <c r="M321" s="191"/>
      <c r="N321" s="163" t="str">
        <f>CONCATENATE(C321,H321)</f>
        <v/>
      </c>
      <c r="O321" s="126" t="str">
        <f>IF(D321&gt;=E321,"-","ERR")</f>
        <v>-</v>
      </c>
      <c r="P321" s="164"/>
      <c r="Q321" s="164"/>
      <c r="R321" s="164"/>
      <c r="S321" s="164"/>
      <c r="T321" s="164"/>
      <c r="U321" s="164"/>
      <c r="V321" s="164"/>
    </row>
    <row r="322" spans="1:22" ht="27" customHeight="1">
      <c r="A322" s="192" t="str">
        <f>IF(ISBLANK(C322)," ",317-COUNTBLANK($C$6:C322))</f>
        <v xml:space="preserve"> </v>
      </c>
      <c r="B322" s="178"/>
      <c r="C322" s="178"/>
      <c r="D322" s="193"/>
      <c r="E322" s="193"/>
      <c r="F322" s="180"/>
      <c r="G322" s="180"/>
      <c r="H322" s="180"/>
      <c r="I322" s="180"/>
      <c r="J322" s="180"/>
      <c r="K322" s="180"/>
      <c r="L322" s="180"/>
      <c r="M322" s="181"/>
      <c r="N322" s="163" t="str">
        <f t="shared" ref="N322:N341" si="23">CONCATENATE(C322,H322)</f>
        <v/>
      </c>
      <c r="O322" s="126" t="str">
        <f t="shared" ref="O322:O340" si="24">IF(D322&gt;=E322,"-","ERR")</f>
        <v>-</v>
      </c>
      <c r="P322" s="164"/>
      <c r="Q322" s="164"/>
      <c r="R322" s="164"/>
      <c r="S322" s="164"/>
      <c r="T322" s="164"/>
      <c r="U322" s="164"/>
      <c r="V322" s="164"/>
    </row>
    <row r="323" spans="1:22" ht="27" customHeight="1">
      <c r="A323" s="192" t="str">
        <f>IF(ISBLANK(C323)," ",318-COUNTBLANK($C$6:C323))</f>
        <v xml:space="preserve"> </v>
      </c>
      <c r="B323" s="178"/>
      <c r="C323" s="178"/>
      <c r="D323" s="193"/>
      <c r="E323" s="193"/>
      <c r="F323" s="180"/>
      <c r="G323" s="180"/>
      <c r="H323" s="180"/>
      <c r="I323" s="180"/>
      <c r="J323" s="180"/>
      <c r="K323" s="180"/>
      <c r="L323" s="180"/>
      <c r="M323" s="181"/>
      <c r="N323" s="163" t="str">
        <f t="shared" si="23"/>
        <v/>
      </c>
      <c r="O323" s="126" t="str">
        <f t="shared" si="24"/>
        <v>-</v>
      </c>
      <c r="P323" s="164"/>
      <c r="Q323" s="164"/>
      <c r="R323" s="164"/>
      <c r="S323" s="164"/>
      <c r="T323" s="164"/>
      <c r="U323" s="164"/>
      <c r="V323" s="164"/>
    </row>
    <row r="324" spans="1:22" ht="27" customHeight="1">
      <c r="A324" s="192" t="str">
        <f>IF(ISBLANK(C324)," ",319-COUNTBLANK($C$6:C324))</f>
        <v xml:space="preserve"> </v>
      </c>
      <c r="B324" s="178"/>
      <c r="C324" s="178"/>
      <c r="D324" s="193"/>
      <c r="E324" s="193"/>
      <c r="F324" s="180"/>
      <c r="G324" s="180"/>
      <c r="H324" s="180"/>
      <c r="I324" s="180"/>
      <c r="J324" s="180"/>
      <c r="K324" s="180"/>
      <c r="L324" s="180"/>
      <c r="M324" s="181"/>
      <c r="N324" s="163" t="str">
        <f t="shared" si="23"/>
        <v/>
      </c>
      <c r="O324" s="126" t="str">
        <f t="shared" si="24"/>
        <v>-</v>
      </c>
      <c r="P324" s="164"/>
      <c r="Q324" s="164"/>
      <c r="R324" s="164"/>
      <c r="S324" s="164"/>
      <c r="T324" s="164"/>
      <c r="U324" s="164"/>
      <c r="V324" s="164"/>
    </row>
    <row r="325" spans="1:22" ht="27" customHeight="1">
      <c r="A325" s="192" t="str">
        <f>IF(ISBLANK(C325)," ",320-COUNTBLANK($C$6:C325))</f>
        <v xml:space="preserve"> </v>
      </c>
      <c r="B325" s="178"/>
      <c r="C325" s="178"/>
      <c r="D325" s="193"/>
      <c r="E325" s="193"/>
      <c r="F325" s="180"/>
      <c r="G325" s="180"/>
      <c r="H325" s="180"/>
      <c r="I325" s="180"/>
      <c r="J325" s="180"/>
      <c r="K325" s="180"/>
      <c r="L325" s="180"/>
      <c r="M325" s="181"/>
      <c r="N325" s="163" t="str">
        <f t="shared" si="23"/>
        <v/>
      </c>
      <c r="O325" s="126" t="str">
        <f t="shared" si="24"/>
        <v>-</v>
      </c>
      <c r="P325" s="164"/>
      <c r="Q325" s="164"/>
      <c r="R325" s="164"/>
      <c r="S325" s="164"/>
      <c r="T325" s="164"/>
      <c r="U325" s="164"/>
      <c r="V325" s="164"/>
    </row>
    <row r="326" spans="1:22" ht="27" customHeight="1">
      <c r="A326" s="192" t="str">
        <f>IF(ISBLANK(C326)," ",321-COUNTBLANK($C$6:C326))</f>
        <v xml:space="preserve"> </v>
      </c>
      <c r="B326" s="178"/>
      <c r="C326" s="178"/>
      <c r="D326" s="193"/>
      <c r="E326" s="193"/>
      <c r="F326" s="180"/>
      <c r="G326" s="180"/>
      <c r="H326" s="180"/>
      <c r="I326" s="180"/>
      <c r="J326" s="180"/>
      <c r="K326" s="180"/>
      <c r="L326" s="180"/>
      <c r="M326" s="181"/>
      <c r="N326" s="163" t="str">
        <f t="shared" si="23"/>
        <v/>
      </c>
      <c r="O326" s="126" t="str">
        <f t="shared" si="24"/>
        <v>-</v>
      </c>
      <c r="P326" s="164"/>
      <c r="Q326" s="164"/>
      <c r="R326" s="164"/>
      <c r="S326" s="164"/>
      <c r="T326" s="164"/>
      <c r="U326" s="164"/>
      <c r="V326" s="164"/>
    </row>
    <row r="327" spans="1:22" ht="27" customHeight="1">
      <c r="A327" s="192" t="str">
        <f>IF(ISBLANK(C327)," ",322-COUNTBLANK($C$6:C327))</f>
        <v xml:space="preserve"> </v>
      </c>
      <c r="B327" s="178"/>
      <c r="C327" s="178"/>
      <c r="D327" s="193"/>
      <c r="E327" s="193"/>
      <c r="F327" s="180"/>
      <c r="G327" s="180"/>
      <c r="H327" s="180"/>
      <c r="I327" s="180"/>
      <c r="J327" s="180"/>
      <c r="K327" s="180"/>
      <c r="L327" s="180"/>
      <c r="M327" s="181"/>
      <c r="N327" s="163" t="str">
        <f t="shared" si="23"/>
        <v/>
      </c>
      <c r="O327" s="126" t="str">
        <f t="shared" si="24"/>
        <v>-</v>
      </c>
      <c r="P327" s="164"/>
      <c r="Q327" s="164"/>
      <c r="R327" s="164"/>
      <c r="S327" s="164"/>
      <c r="T327" s="164"/>
      <c r="U327" s="164"/>
      <c r="V327" s="164"/>
    </row>
    <row r="328" spans="1:22" ht="27" customHeight="1">
      <c r="A328" s="192" t="str">
        <f>IF(ISBLANK(C328)," ",323-COUNTBLANK($C$6:C328))</f>
        <v xml:space="preserve"> </v>
      </c>
      <c r="B328" s="178"/>
      <c r="C328" s="178"/>
      <c r="D328" s="193"/>
      <c r="E328" s="193"/>
      <c r="F328" s="180"/>
      <c r="G328" s="180"/>
      <c r="H328" s="180"/>
      <c r="I328" s="180"/>
      <c r="J328" s="180"/>
      <c r="K328" s="180"/>
      <c r="L328" s="180"/>
      <c r="M328" s="181"/>
      <c r="N328" s="163" t="str">
        <f t="shared" si="23"/>
        <v/>
      </c>
      <c r="O328" s="126" t="str">
        <f t="shared" si="24"/>
        <v>-</v>
      </c>
      <c r="P328" s="164"/>
      <c r="Q328" s="164"/>
      <c r="R328" s="164"/>
      <c r="S328" s="164"/>
      <c r="T328" s="164"/>
      <c r="U328" s="164"/>
      <c r="V328" s="164"/>
    </row>
    <row r="329" spans="1:22" ht="27" customHeight="1">
      <c r="A329" s="192" t="str">
        <f>IF(ISBLANK(C329)," ",324-COUNTBLANK($C$6:C329))</f>
        <v xml:space="preserve"> </v>
      </c>
      <c r="B329" s="178"/>
      <c r="C329" s="178"/>
      <c r="D329" s="193"/>
      <c r="E329" s="193"/>
      <c r="F329" s="180"/>
      <c r="G329" s="180"/>
      <c r="H329" s="180"/>
      <c r="I329" s="180"/>
      <c r="J329" s="180"/>
      <c r="K329" s="180"/>
      <c r="L329" s="180"/>
      <c r="M329" s="181"/>
      <c r="N329" s="163" t="str">
        <f t="shared" si="23"/>
        <v/>
      </c>
      <c r="O329" s="126" t="str">
        <f t="shared" si="24"/>
        <v>-</v>
      </c>
      <c r="P329" s="164"/>
      <c r="Q329" s="164"/>
      <c r="R329" s="164"/>
      <c r="S329" s="164"/>
      <c r="T329" s="164"/>
      <c r="U329" s="164"/>
      <c r="V329" s="164"/>
    </row>
    <row r="330" spans="1:22" ht="27" customHeight="1">
      <c r="A330" s="192" t="str">
        <f>IF(ISBLANK(C330)," ",325-COUNTBLANK($C$6:C330))</f>
        <v xml:space="preserve"> </v>
      </c>
      <c r="B330" s="178"/>
      <c r="C330" s="178"/>
      <c r="D330" s="193"/>
      <c r="E330" s="193"/>
      <c r="F330" s="180"/>
      <c r="G330" s="180"/>
      <c r="H330" s="180"/>
      <c r="I330" s="180"/>
      <c r="J330" s="180"/>
      <c r="K330" s="180"/>
      <c r="L330" s="180"/>
      <c r="M330" s="181"/>
      <c r="N330" s="163" t="str">
        <f t="shared" si="23"/>
        <v/>
      </c>
      <c r="O330" s="126" t="str">
        <f t="shared" si="24"/>
        <v>-</v>
      </c>
      <c r="P330" s="164"/>
      <c r="Q330" s="164"/>
      <c r="R330" s="164"/>
      <c r="S330" s="164"/>
      <c r="T330" s="164"/>
      <c r="U330" s="164"/>
      <c r="V330" s="164"/>
    </row>
    <row r="331" spans="1:22" ht="27" customHeight="1">
      <c r="A331" s="192" t="str">
        <f>IF(ISBLANK(C331)," ",326-COUNTBLANK($C$6:C331))</f>
        <v xml:space="preserve"> </v>
      </c>
      <c r="B331" s="178"/>
      <c r="C331" s="178"/>
      <c r="D331" s="193"/>
      <c r="E331" s="193"/>
      <c r="F331" s="180"/>
      <c r="G331" s="180"/>
      <c r="H331" s="180"/>
      <c r="I331" s="180"/>
      <c r="J331" s="180"/>
      <c r="K331" s="180"/>
      <c r="L331" s="180"/>
      <c r="M331" s="181"/>
      <c r="N331" s="163" t="str">
        <f t="shared" si="23"/>
        <v/>
      </c>
      <c r="O331" s="126" t="str">
        <f t="shared" si="24"/>
        <v>-</v>
      </c>
      <c r="P331" s="164"/>
      <c r="Q331" s="164"/>
      <c r="R331" s="164"/>
      <c r="S331" s="164"/>
      <c r="T331" s="164"/>
      <c r="U331" s="164"/>
      <c r="V331" s="164"/>
    </row>
    <row r="332" spans="1:22" ht="27" customHeight="1">
      <c r="A332" s="192" t="str">
        <f>IF(ISBLANK(C332)," ",327-COUNTBLANK($C$6:C332))</f>
        <v xml:space="preserve"> </v>
      </c>
      <c r="B332" s="178"/>
      <c r="C332" s="178"/>
      <c r="D332" s="193"/>
      <c r="E332" s="193"/>
      <c r="F332" s="180"/>
      <c r="G332" s="180"/>
      <c r="H332" s="180"/>
      <c r="I332" s="180"/>
      <c r="J332" s="180"/>
      <c r="K332" s="180"/>
      <c r="L332" s="180"/>
      <c r="M332" s="181"/>
      <c r="N332" s="163" t="str">
        <f t="shared" si="23"/>
        <v/>
      </c>
      <c r="O332" s="126" t="str">
        <f t="shared" si="24"/>
        <v>-</v>
      </c>
      <c r="P332" s="164"/>
      <c r="Q332" s="164"/>
      <c r="R332" s="164"/>
      <c r="S332" s="164"/>
      <c r="T332" s="164"/>
      <c r="U332" s="164"/>
      <c r="V332" s="164"/>
    </row>
    <row r="333" spans="1:22" ht="27" customHeight="1">
      <c r="A333" s="192" t="str">
        <f>IF(ISBLANK(C333)," ",328-COUNTBLANK($C$6:C333))</f>
        <v xml:space="preserve"> </v>
      </c>
      <c r="B333" s="178"/>
      <c r="C333" s="178"/>
      <c r="D333" s="193"/>
      <c r="E333" s="193"/>
      <c r="F333" s="180"/>
      <c r="G333" s="180"/>
      <c r="H333" s="180"/>
      <c r="I333" s="180"/>
      <c r="J333" s="180"/>
      <c r="K333" s="180"/>
      <c r="L333" s="180"/>
      <c r="M333" s="181"/>
      <c r="N333" s="163" t="str">
        <f t="shared" si="23"/>
        <v/>
      </c>
      <c r="O333" s="126" t="str">
        <f t="shared" si="24"/>
        <v>-</v>
      </c>
      <c r="P333" s="164"/>
      <c r="Q333" s="164"/>
      <c r="R333" s="164"/>
      <c r="S333" s="164"/>
      <c r="T333" s="164"/>
      <c r="U333" s="164"/>
      <c r="V333" s="164"/>
    </row>
    <row r="334" spans="1:22" ht="27" customHeight="1">
      <c r="A334" s="192" t="str">
        <f>IF(ISBLANK(C334)," ",329-COUNTBLANK($C$6:C334))</f>
        <v xml:space="preserve"> </v>
      </c>
      <c r="B334" s="178"/>
      <c r="C334" s="178"/>
      <c r="D334" s="193"/>
      <c r="E334" s="193"/>
      <c r="F334" s="180"/>
      <c r="G334" s="180"/>
      <c r="H334" s="180"/>
      <c r="I334" s="180"/>
      <c r="J334" s="180"/>
      <c r="K334" s="180"/>
      <c r="L334" s="180"/>
      <c r="M334" s="181"/>
      <c r="N334" s="163" t="str">
        <f t="shared" si="23"/>
        <v/>
      </c>
      <c r="O334" s="126" t="str">
        <f t="shared" si="24"/>
        <v>-</v>
      </c>
      <c r="P334" s="164"/>
      <c r="Q334" s="164"/>
      <c r="R334" s="164"/>
      <c r="S334" s="164"/>
      <c r="T334" s="164"/>
      <c r="U334" s="164"/>
      <c r="V334" s="164"/>
    </row>
    <row r="335" spans="1:22" ht="27" customHeight="1">
      <c r="A335" s="192" t="str">
        <f>IF(ISBLANK(C335)," ",330-COUNTBLANK($C$6:C335))</f>
        <v xml:space="preserve"> </v>
      </c>
      <c r="B335" s="178"/>
      <c r="C335" s="178"/>
      <c r="D335" s="193"/>
      <c r="E335" s="193"/>
      <c r="F335" s="180"/>
      <c r="G335" s="180"/>
      <c r="H335" s="180"/>
      <c r="I335" s="180"/>
      <c r="J335" s="180"/>
      <c r="K335" s="180"/>
      <c r="L335" s="180"/>
      <c r="M335" s="181"/>
      <c r="N335" s="163" t="str">
        <f t="shared" si="23"/>
        <v/>
      </c>
      <c r="O335" s="126" t="str">
        <f t="shared" si="24"/>
        <v>-</v>
      </c>
      <c r="P335" s="164"/>
      <c r="Q335" s="164"/>
      <c r="R335" s="164"/>
      <c r="S335" s="164"/>
      <c r="T335" s="164"/>
      <c r="U335" s="164"/>
      <c r="V335" s="164"/>
    </row>
    <row r="336" spans="1:22" ht="27" customHeight="1">
      <c r="A336" s="192" t="str">
        <f>IF(ISBLANK(C336)," ",331-COUNTBLANK($C$6:C336))</f>
        <v xml:space="preserve"> </v>
      </c>
      <c r="B336" s="178"/>
      <c r="C336" s="178"/>
      <c r="D336" s="193"/>
      <c r="E336" s="193"/>
      <c r="F336" s="180"/>
      <c r="G336" s="180"/>
      <c r="H336" s="180"/>
      <c r="I336" s="180"/>
      <c r="J336" s="180"/>
      <c r="K336" s="180"/>
      <c r="L336" s="180"/>
      <c r="M336" s="181"/>
      <c r="N336" s="163" t="str">
        <f t="shared" si="23"/>
        <v/>
      </c>
      <c r="O336" s="126" t="str">
        <f t="shared" si="24"/>
        <v>-</v>
      </c>
      <c r="P336" s="164"/>
      <c r="Q336" s="164"/>
      <c r="R336" s="164"/>
      <c r="S336" s="164"/>
      <c r="T336" s="164"/>
      <c r="U336" s="164"/>
      <c r="V336" s="165"/>
    </row>
    <row r="337" spans="1:25" ht="27" customHeight="1">
      <c r="A337" s="192" t="str">
        <f>IF(ISBLANK(C337)," ",332-COUNTBLANK($C$6:C337))</f>
        <v xml:space="preserve"> </v>
      </c>
      <c r="B337" s="178"/>
      <c r="C337" s="178"/>
      <c r="D337" s="193"/>
      <c r="E337" s="193"/>
      <c r="F337" s="180"/>
      <c r="G337" s="180"/>
      <c r="H337" s="180"/>
      <c r="I337" s="180"/>
      <c r="J337" s="180"/>
      <c r="K337" s="180"/>
      <c r="L337" s="180"/>
      <c r="M337" s="181"/>
      <c r="N337" s="163" t="str">
        <f t="shared" si="23"/>
        <v/>
      </c>
      <c r="O337" s="126" t="str">
        <f t="shared" si="24"/>
        <v>-</v>
      </c>
      <c r="P337" s="164"/>
      <c r="Q337" s="164"/>
      <c r="R337" s="164"/>
      <c r="S337" s="164"/>
      <c r="T337" s="164"/>
      <c r="U337" s="164"/>
      <c r="V337" s="165"/>
    </row>
    <row r="338" spans="1:25" ht="27" customHeight="1">
      <c r="A338" s="192" t="str">
        <f>IF(ISBLANK(C338)," ",333-COUNTBLANK($C$6:C338))</f>
        <v xml:space="preserve"> </v>
      </c>
      <c r="B338" s="178"/>
      <c r="C338" s="178"/>
      <c r="D338" s="193"/>
      <c r="E338" s="193"/>
      <c r="F338" s="180"/>
      <c r="G338" s="180"/>
      <c r="H338" s="180"/>
      <c r="I338" s="180"/>
      <c r="J338" s="180"/>
      <c r="K338" s="180"/>
      <c r="L338" s="180"/>
      <c r="M338" s="181"/>
      <c r="N338" s="163" t="str">
        <f t="shared" si="23"/>
        <v/>
      </c>
      <c r="O338" s="126" t="str">
        <f t="shared" si="24"/>
        <v>-</v>
      </c>
      <c r="P338" s="164"/>
      <c r="Q338" s="164"/>
      <c r="R338" s="164"/>
      <c r="S338" s="164"/>
      <c r="T338" s="164"/>
      <c r="U338" s="164"/>
      <c r="V338" s="165"/>
    </row>
    <row r="339" spans="1:25" ht="27" customHeight="1">
      <c r="A339" s="192" t="str">
        <f>IF(ISBLANK(C339)," ",334-COUNTBLANK($C$6:C339))</f>
        <v xml:space="preserve"> </v>
      </c>
      <c r="B339" s="178"/>
      <c r="C339" s="178"/>
      <c r="D339" s="193"/>
      <c r="E339" s="193"/>
      <c r="F339" s="180"/>
      <c r="G339" s="180"/>
      <c r="H339" s="180"/>
      <c r="I339" s="180"/>
      <c r="J339" s="180"/>
      <c r="K339" s="180"/>
      <c r="L339" s="180"/>
      <c r="M339" s="181"/>
      <c r="N339" s="163" t="str">
        <f t="shared" si="23"/>
        <v/>
      </c>
      <c r="O339" s="126" t="str">
        <f t="shared" si="24"/>
        <v>-</v>
      </c>
      <c r="P339" s="164"/>
      <c r="Q339" s="164"/>
      <c r="R339" s="164"/>
      <c r="S339" s="164"/>
      <c r="T339" s="164"/>
      <c r="U339" s="164"/>
      <c r="V339" s="165"/>
    </row>
    <row r="340" spans="1:25" ht="27" customHeight="1">
      <c r="A340" s="192" t="str">
        <f>IF(ISBLANK(C340)," ",335-COUNTBLANK($C$6:C340))</f>
        <v xml:space="preserve"> </v>
      </c>
      <c r="B340" s="178"/>
      <c r="C340" s="178"/>
      <c r="D340" s="193"/>
      <c r="E340" s="193"/>
      <c r="F340" s="180"/>
      <c r="G340" s="180"/>
      <c r="H340" s="180"/>
      <c r="I340" s="180"/>
      <c r="J340" s="180"/>
      <c r="K340" s="180"/>
      <c r="L340" s="180"/>
      <c r="M340" s="181"/>
      <c r="N340" s="163" t="str">
        <f t="shared" si="23"/>
        <v/>
      </c>
      <c r="O340" s="126" t="str">
        <f t="shared" si="24"/>
        <v>-</v>
      </c>
      <c r="P340" s="164"/>
      <c r="Q340" s="164"/>
      <c r="R340" s="164"/>
      <c r="S340" s="164"/>
      <c r="T340" s="164"/>
      <c r="U340" s="164"/>
      <c r="V340" s="166"/>
      <c r="W340" s="164"/>
      <c r="X340" s="164"/>
      <c r="Y340" s="164"/>
    </row>
    <row r="341" spans="1:25" ht="27" customHeight="1">
      <c r="A341" s="172" t="s">
        <v>44</v>
      </c>
      <c r="B341" s="173"/>
      <c r="C341" s="174"/>
      <c r="D341" s="194"/>
      <c r="E341" s="194">
        <f>SUM(E321:E340)</f>
        <v>0</v>
      </c>
      <c r="F341" s="176"/>
      <c r="G341" s="176"/>
      <c r="H341" s="176"/>
      <c r="I341" s="176"/>
      <c r="J341" s="176"/>
      <c r="K341" s="176"/>
      <c r="L341" s="176"/>
      <c r="M341" s="177"/>
      <c r="N341" s="163" t="str">
        <f t="shared" si="23"/>
        <v/>
      </c>
      <c r="O341" s="126"/>
      <c r="P341" s="164"/>
      <c r="Q341" s="164"/>
      <c r="R341" s="164"/>
      <c r="S341" s="164"/>
      <c r="T341" s="164"/>
      <c r="U341" s="164"/>
      <c r="V341" s="166"/>
      <c r="W341" s="164"/>
      <c r="X341" s="164"/>
      <c r="Y341" s="164"/>
    </row>
    <row r="342" spans="1:25" ht="27" customHeight="1">
      <c r="A342" s="187" t="str">
        <f>IF(ISBLANK(C342)," ",337-COUNTBLANK($C$6:C342))</f>
        <v xml:space="preserve"> </v>
      </c>
      <c r="B342" s="188"/>
      <c r="C342" s="188"/>
      <c r="D342" s="189"/>
      <c r="E342" s="189"/>
      <c r="F342" s="190"/>
      <c r="G342" s="190"/>
      <c r="H342" s="190"/>
      <c r="I342" s="190"/>
      <c r="J342" s="190"/>
      <c r="K342" s="190"/>
      <c r="L342" s="190"/>
      <c r="M342" s="191"/>
      <c r="N342" s="163" t="str">
        <f>CONCATENATE(C342,H342)</f>
        <v/>
      </c>
      <c r="O342" s="126" t="str">
        <f>IF(D342&gt;=E342,"-","ERR")</f>
        <v>-</v>
      </c>
      <c r="P342" s="164"/>
      <c r="Q342" s="164"/>
      <c r="R342" s="164"/>
      <c r="S342" s="164"/>
      <c r="T342" s="164"/>
      <c r="U342" s="164"/>
      <c r="V342" s="164"/>
    </row>
    <row r="343" spans="1:25" ht="27" customHeight="1">
      <c r="A343" s="192" t="str">
        <f>IF(ISBLANK(C343)," ",338-COUNTBLANK($C$6:C343))</f>
        <v xml:space="preserve"> </v>
      </c>
      <c r="B343" s="178"/>
      <c r="C343" s="178"/>
      <c r="D343" s="193"/>
      <c r="E343" s="193"/>
      <c r="F343" s="180"/>
      <c r="G343" s="180"/>
      <c r="H343" s="180"/>
      <c r="I343" s="180"/>
      <c r="J343" s="180"/>
      <c r="K343" s="180"/>
      <c r="L343" s="180"/>
      <c r="M343" s="181"/>
      <c r="N343" s="163" t="str">
        <f t="shared" ref="N343:N362" si="25">CONCATENATE(C343,H343)</f>
        <v/>
      </c>
      <c r="O343" s="126" t="str">
        <f t="shared" ref="O343:O361" si="26">IF(D343&gt;=E343,"-","ERR")</f>
        <v>-</v>
      </c>
      <c r="P343" s="164"/>
      <c r="Q343" s="164"/>
      <c r="R343" s="164"/>
      <c r="S343" s="164"/>
      <c r="T343" s="164"/>
      <c r="U343" s="164"/>
      <c r="V343" s="164"/>
    </row>
    <row r="344" spans="1:25" ht="27" customHeight="1">
      <c r="A344" s="192" t="str">
        <f>IF(ISBLANK(C344)," ",339-COUNTBLANK($C$6:C344))</f>
        <v xml:space="preserve"> </v>
      </c>
      <c r="B344" s="178"/>
      <c r="C344" s="178"/>
      <c r="D344" s="193"/>
      <c r="E344" s="193"/>
      <c r="F344" s="180"/>
      <c r="G344" s="180"/>
      <c r="H344" s="180"/>
      <c r="I344" s="180"/>
      <c r="J344" s="180"/>
      <c r="K344" s="180"/>
      <c r="L344" s="180"/>
      <c r="M344" s="181"/>
      <c r="N344" s="163" t="str">
        <f t="shared" si="25"/>
        <v/>
      </c>
      <c r="O344" s="126" t="str">
        <f t="shared" si="26"/>
        <v>-</v>
      </c>
      <c r="P344" s="164"/>
      <c r="Q344" s="164"/>
      <c r="R344" s="164"/>
      <c r="S344" s="164"/>
      <c r="T344" s="164"/>
      <c r="U344" s="164"/>
      <c r="V344" s="164"/>
    </row>
    <row r="345" spans="1:25" ht="27" customHeight="1">
      <c r="A345" s="192" t="str">
        <f>IF(ISBLANK(C345)," ",340-COUNTBLANK($C$6:C345))</f>
        <v xml:space="preserve"> </v>
      </c>
      <c r="B345" s="178"/>
      <c r="C345" s="178"/>
      <c r="D345" s="193"/>
      <c r="E345" s="193"/>
      <c r="F345" s="180"/>
      <c r="G345" s="180"/>
      <c r="H345" s="180"/>
      <c r="I345" s="180"/>
      <c r="J345" s="180"/>
      <c r="K345" s="180"/>
      <c r="L345" s="180"/>
      <c r="M345" s="181"/>
      <c r="N345" s="163" t="str">
        <f t="shared" si="25"/>
        <v/>
      </c>
      <c r="O345" s="126" t="str">
        <f t="shared" si="26"/>
        <v>-</v>
      </c>
      <c r="P345" s="164"/>
      <c r="Q345" s="164"/>
      <c r="R345" s="164"/>
      <c r="S345" s="164"/>
      <c r="T345" s="164"/>
      <c r="U345" s="164"/>
      <c r="V345" s="164"/>
    </row>
    <row r="346" spans="1:25" ht="27" customHeight="1">
      <c r="A346" s="192" t="str">
        <f>IF(ISBLANK(C346)," ",341-COUNTBLANK($C$6:C346))</f>
        <v xml:space="preserve"> </v>
      </c>
      <c r="B346" s="178"/>
      <c r="C346" s="178"/>
      <c r="D346" s="193"/>
      <c r="E346" s="193"/>
      <c r="F346" s="180"/>
      <c r="G346" s="180"/>
      <c r="H346" s="180"/>
      <c r="I346" s="180"/>
      <c r="J346" s="180"/>
      <c r="K346" s="180"/>
      <c r="L346" s="180"/>
      <c r="M346" s="181"/>
      <c r="N346" s="163" t="str">
        <f t="shared" si="25"/>
        <v/>
      </c>
      <c r="O346" s="126" t="str">
        <f t="shared" si="26"/>
        <v>-</v>
      </c>
      <c r="P346" s="164"/>
      <c r="Q346" s="164"/>
      <c r="R346" s="164"/>
      <c r="S346" s="164"/>
      <c r="T346" s="164"/>
      <c r="U346" s="164"/>
      <c r="V346" s="164"/>
    </row>
    <row r="347" spans="1:25" ht="27" customHeight="1">
      <c r="A347" s="192" t="str">
        <f>IF(ISBLANK(C347)," ",342-COUNTBLANK($C$6:C347))</f>
        <v xml:space="preserve"> </v>
      </c>
      <c r="B347" s="178"/>
      <c r="C347" s="178"/>
      <c r="D347" s="193"/>
      <c r="E347" s="193"/>
      <c r="F347" s="180"/>
      <c r="G347" s="180"/>
      <c r="H347" s="180"/>
      <c r="I347" s="180"/>
      <c r="J347" s="180"/>
      <c r="K347" s="180"/>
      <c r="L347" s="180"/>
      <c r="M347" s="181"/>
      <c r="N347" s="163" t="str">
        <f t="shared" si="25"/>
        <v/>
      </c>
      <c r="O347" s="126" t="str">
        <f t="shared" si="26"/>
        <v>-</v>
      </c>
      <c r="P347" s="164"/>
      <c r="Q347" s="164"/>
      <c r="R347" s="164"/>
      <c r="S347" s="164"/>
      <c r="T347" s="164"/>
      <c r="U347" s="164"/>
      <c r="V347" s="164"/>
    </row>
    <row r="348" spans="1:25" ht="27" customHeight="1">
      <c r="A348" s="192" t="str">
        <f>IF(ISBLANK(C348)," ",343-COUNTBLANK($C$6:C348))</f>
        <v xml:space="preserve"> </v>
      </c>
      <c r="B348" s="178"/>
      <c r="C348" s="178"/>
      <c r="D348" s="193"/>
      <c r="E348" s="193"/>
      <c r="F348" s="180"/>
      <c r="G348" s="180"/>
      <c r="H348" s="180"/>
      <c r="I348" s="180"/>
      <c r="J348" s="180"/>
      <c r="K348" s="180"/>
      <c r="L348" s="180"/>
      <c r="M348" s="181"/>
      <c r="N348" s="163" t="str">
        <f t="shared" si="25"/>
        <v/>
      </c>
      <c r="O348" s="126" t="str">
        <f t="shared" si="26"/>
        <v>-</v>
      </c>
      <c r="P348" s="164"/>
      <c r="Q348" s="164"/>
      <c r="R348" s="164"/>
      <c r="S348" s="164"/>
      <c r="T348" s="164"/>
      <c r="U348" s="164"/>
      <c r="V348" s="164"/>
    </row>
    <row r="349" spans="1:25" ht="27" customHeight="1">
      <c r="A349" s="192" t="str">
        <f>IF(ISBLANK(C349)," ",344-COUNTBLANK($C$6:C349))</f>
        <v xml:space="preserve"> </v>
      </c>
      <c r="B349" s="178"/>
      <c r="C349" s="178"/>
      <c r="D349" s="193"/>
      <c r="E349" s="193"/>
      <c r="F349" s="180"/>
      <c r="G349" s="180"/>
      <c r="H349" s="180"/>
      <c r="I349" s="180"/>
      <c r="J349" s="180"/>
      <c r="K349" s="180"/>
      <c r="L349" s="180"/>
      <c r="M349" s="181"/>
      <c r="N349" s="163" t="str">
        <f t="shared" si="25"/>
        <v/>
      </c>
      <c r="O349" s="126" t="str">
        <f t="shared" si="26"/>
        <v>-</v>
      </c>
      <c r="P349" s="164"/>
      <c r="Q349" s="164"/>
      <c r="R349" s="164"/>
      <c r="S349" s="164"/>
      <c r="T349" s="164"/>
      <c r="U349" s="164"/>
      <c r="V349" s="164"/>
    </row>
    <row r="350" spans="1:25" ht="27" customHeight="1">
      <c r="A350" s="192" t="str">
        <f>IF(ISBLANK(C350)," ",345-COUNTBLANK($C$6:C350))</f>
        <v xml:space="preserve"> </v>
      </c>
      <c r="B350" s="178"/>
      <c r="C350" s="178"/>
      <c r="D350" s="193"/>
      <c r="E350" s="193"/>
      <c r="F350" s="180"/>
      <c r="G350" s="180"/>
      <c r="H350" s="180"/>
      <c r="I350" s="180"/>
      <c r="J350" s="180"/>
      <c r="K350" s="180"/>
      <c r="L350" s="180"/>
      <c r="M350" s="181"/>
      <c r="N350" s="163" t="str">
        <f t="shared" si="25"/>
        <v/>
      </c>
      <c r="O350" s="126" t="str">
        <f t="shared" si="26"/>
        <v>-</v>
      </c>
      <c r="P350" s="164"/>
      <c r="Q350" s="164"/>
      <c r="R350" s="164"/>
      <c r="S350" s="164"/>
      <c r="T350" s="164"/>
      <c r="U350" s="164"/>
      <c r="V350" s="164"/>
    </row>
    <row r="351" spans="1:25" ht="27" customHeight="1">
      <c r="A351" s="192" t="str">
        <f>IF(ISBLANK(C351)," ",346-COUNTBLANK($C$6:C351))</f>
        <v xml:space="preserve"> </v>
      </c>
      <c r="B351" s="178"/>
      <c r="C351" s="178"/>
      <c r="D351" s="193"/>
      <c r="E351" s="193"/>
      <c r="F351" s="180"/>
      <c r="G351" s="180"/>
      <c r="H351" s="180"/>
      <c r="I351" s="180"/>
      <c r="J351" s="180"/>
      <c r="K351" s="180"/>
      <c r="L351" s="180"/>
      <c r="M351" s="181"/>
      <c r="N351" s="163" t="str">
        <f t="shared" si="25"/>
        <v/>
      </c>
      <c r="O351" s="126" t="str">
        <f t="shared" si="26"/>
        <v>-</v>
      </c>
      <c r="P351" s="164"/>
      <c r="Q351" s="164"/>
      <c r="R351" s="164"/>
      <c r="S351" s="164"/>
      <c r="T351" s="164"/>
      <c r="U351" s="164"/>
      <c r="V351" s="164"/>
    </row>
    <row r="352" spans="1:25" ht="27" customHeight="1">
      <c r="A352" s="192" t="str">
        <f>IF(ISBLANK(C352)," ",347-COUNTBLANK($C$6:C352))</f>
        <v xml:space="preserve"> </v>
      </c>
      <c r="B352" s="178"/>
      <c r="C352" s="178"/>
      <c r="D352" s="193"/>
      <c r="E352" s="193"/>
      <c r="F352" s="180"/>
      <c r="G352" s="180"/>
      <c r="H352" s="180"/>
      <c r="I352" s="180"/>
      <c r="J352" s="180"/>
      <c r="K352" s="180"/>
      <c r="L352" s="180"/>
      <c r="M352" s="181"/>
      <c r="N352" s="163" t="str">
        <f t="shared" si="25"/>
        <v/>
      </c>
      <c r="O352" s="126" t="str">
        <f t="shared" si="26"/>
        <v>-</v>
      </c>
      <c r="P352" s="164"/>
      <c r="Q352" s="164"/>
      <c r="R352" s="164"/>
      <c r="S352" s="164"/>
      <c r="T352" s="164"/>
      <c r="U352" s="164"/>
      <c r="V352" s="164"/>
    </row>
    <row r="353" spans="1:25" ht="27" customHeight="1">
      <c r="A353" s="192" t="str">
        <f>IF(ISBLANK(C353)," ",348-COUNTBLANK($C$6:C353))</f>
        <v xml:space="preserve"> </v>
      </c>
      <c r="B353" s="178"/>
      <c r="C353" s="178"/>
      <c r="D353" s="193"/>
      <c r="E353" s="193"/>
      <c r="F353" s="180"/>
      <c r="G353" s="180"/>
      <c r="H353" s="180"/>
      <c r="I353" s="180"/>
      <c r="J353" s="180"/>
      <c r="K353" s="180"/>
      <c r="L353" s="180"/>
      <c r="M353" s="181"/>
      <c r="N353" s="163" t="str">
        <f t="shared" si="25"/>
        <v/>
      </c>
      <c r="O353" s="126" t="str">
        <f t="shared" si="26"/>
        <v>-</v>
      </c>
      <c r="P353" s="164"/>
      <c r="Q353" s="164"/>
      <c r="R353" s="164"/>
      <c r="S353" s="164"/>
      <c r="T353" s="164"/>
      <c r="U353" s="164"/>
      <c r="V353" s="164"/>
    </row>
    <row r="354" spans="1:25" ht="27" customHeight="1">
      <c r="A354" s="192" t="str">
        <f>IF(ISBLANK(C354)," ",349-COUNTBLANK($C$6:C354))</f>
        <v xml:space="preserve"> </v>
      </c>
      <c r="B354" s="178"/>
      <c r="C354" s="178"/>
      <c r="D354" s="193"/>
      <c r="E354" s="193"/>
      <c r="F354" s="180"/>
      <c r="G354" s="180"/>
      <c r="H354" s="180"/>
      <c r="I354" s="180"/>
      <c r="J354" s="180"/>
      <c r="K354" s="180"/>
      <c r="L354" s="180"/>
      <c r="M354" s="181"/>
      <c r="N354" s="163" t="str">
        <f t="shared" si="25"/>
        <v/>
      </c>
      <c r="O354" s="126" t="str">
        <f t="shared" si="26"/>
        <v>-</v>
      </c>
      <c r="P354" s="164"/>
      <c r="Q354" s="164"/>
      <c r="R354" s="164"/>
      <c r="S354" s="164"/>
      <c r="T354" s="164"/>
      <c r="U354" s="164"/>
      <c r="V354" s="164"/>
    </row>
    <row r="355" spans="1:25" ht="27" customHeight="1">
      <c r="A355" s="192" t="str">
        <f>IF(ISBLANK(C355)," ",350-COUNTBLANK($C$6:C355))</f>
        <v xml:space="preserve"> </v>
      </c>
      <c r="B355" s="178"/>
      <c r="C355" s="178"/>
      <c r="D355" s="193"/>
      <c r="E355" s="193"/>
      <c r="F355" s="180"/>
      <c r="G355" s="180"/>
      <c r="H355" s="180"/>
      <c r="I355" s="180"/>
      <c r="J355" s="180"/>
      <c r="K355" s="180"/>
      <c r="L355" s="180"/>
      <c r="M355" s="181"/>
      <c r="N355" s="163" t="str">
        <f t="shared" si="25"/>
        <v/>
      </c>
      <c r="O355" s="126" t="str">
        <f t="shared" si="26"/>
        <v>-</v>
      </c>
      <c r="P355" s="164"/>
      <c r="Q355" s="164"/>
      <c r="R355" s="164"/>
      <c r="S355" s="164"/>
      <c r="T355" s="164"/>
      <c r="U355" s="164"/>
      <c r="V355" s="164"/>
    </row>
    <row r="356" spans="1:25" ht="27" customHeight="1">
      <c r="A356" s="192" t="str">
        <f>IF(ISBLANK(C356)," ",351-COUNTBLANK($C$6:C356))</f>
        <v xml:space="preserve"> </v>
      </c>
      <c r="B356" s="178"/>
      <c r="C356" s="178"/>
      <c r="D356" s="193"/>
      <c r="E356" s="193"/>
      <c r="F356" s="180"/>
      <c r="G356" s="180"/>
      <c r="H356" s="180"/>
      <c r="I356" s="180"/>
      <c r="J356" s="180"/>
      <c r="K356" s="180"/>
      <c r="L356" s="180"/>
      <c r="M356" s="181"/>
      <c r="N356" s="163" t="str">
        <f t="shared" si="25"/>
        <v/>
      </c>
      <c r="O356" s="126" t="str">
        <f t="shared" si="26"/>
        <v>-</v>
      </c>
      <c r="P356" s="164"/>
      <c r="Q356" s="164"/>
      <c r="R356" s="164"/>
      <c r="S356" s="164"/>
      <c r="T356" s="164"/>
      <c r="U356" s="164"/>
      <c r="V356" s="164"/>
    </row>
    <row r="357" spans="1:25" ht="27" customHeight="1">
      <c r="A357" s="192" t="str">
        <f>IF(ISBLANK(C357)," ",352-COUNTBLANK($C$6:C357))</f>
        <v xml:space="preserve"> </v>
      </c>
      <c r="B357" s="178"/>
      <c r="C357" s="178"/>
      <c r="D357" s="193"/>
      <c r="E357" s="193"/>
      <c r="F357" s="180"/>
      <c r="G357" s="180"/>
      <c r="H357" s="180"/>
      <c r="I357" s="180"/>
      <c r="J357" s="180"/>
      <c r="K357" s="180"/>
      <c r="L357" s="180"/>
      <c r="M357" s="181"/>
      <c r="N357" s="163" t="str">
        <f t="shared" si="25"/>
        <v/>
      </c>
      <c r="O357" s="126" t="str">
        <f t="shared" si="26"/>
        <v>-</v>
      </c>
      <c r="P357" s="164"/>
      <c r="Q357" s="164"/>
      <c r="R357" s="164"/>
      <c r="S357" s="164"/>
      <c r="T357" s="164"/>
      <c r="U357" s="164"/>
      <c r="V357" s="165"/>
    </row>
    <row r="358" spans="1:25" ht="27" customHeight="1">
      <c r="A358" s="192" t="str">
        <f>IF(ISBLANK(C358)," ",353-COUNTBLANK($C$6:C358))</f>
        <v xml:space="preserve"> </v>
      </c>
      <c r="B358" s="178"/>
      <c r="C358" s="178"/>
      <c r="D358" s="193"/>
      <c r="E358" s="193"/>
      <c r="F358" s="180"/>
      <c r="G358" s="180"/>
      <c r="H358" s="180"/>
      <c r="I358" s="180"/>
      <c r="J358" s="180"/>
      <c r="K358" s="180"/>
      <c r="L358" s="180"/>
      <c r="M358" s="181"/>
      <c r="N358" s="163" t="str">
        <f t="shared" si="25"/>
        <v/>
      </c>
      <c r="O358" s="126" t="str">
        <f t="shared" si="26"/>
        <v>-</v>
      </c>
      <c r="P358" s="164"/>
      <c r="Q358" s="164"/>
      <c r="R358" s="164"/>
      <c r="S358" s="164"/>
      <c r="T358" s="164"/>
      <c r="U358" s="164"/>
      <c r="V358" s="165"/>
    </row>
    <row r="359" spans="1:25" ht="27" customHeight="1">
      <c r="A359" s="192" t="str">
        <f>IF(ISBLANK(C359)," ",354-COUNTBLANK($C$6:C359))</f>
        <v xml:space="preserve"> </v>
      </c>
      <c r="B359" s="178"/>
      <c r="C359" s="178"/>
      <c r="D359" s="193"/>
      <c r="E359" s="193"/>
      <c r="F359" s="180"/>
      <c r="G359" s="180"/>
      <c r="H359" s="180"/>
      <c r="I359" s="180"/>
      <c r="J359" s="180"/>
      <c r="K359" s="180"/>
      <c r="L359" s="180"/>
      <c r="M359" s="181"/>
      <c r="N359" s="163" t="str">
        <f t="shared" si="25"/>
        <v/>
      </c>
      <c r="O359" s="126" t="str">
        <f t="shared" si="26"/>
        <v>-</v>
      </c>
      <c r="P359" s="164"/>
      <c r="Q359" s="164"/>
      <c r="R359" s="164"/>
      <c r="S359" s="164"/>
      <c r="T359" s="164"/>
      <c r="U359" s="164"/>
      <c r="V359" s="165"/>
    </row>
    <row r="360" spans="1:25" ht="27" customHeight="1">
      <c r="A360" s="192" t="str">
        <f>IF(ISBLANK(C360)," ",355-COUNTBLANK($C$6:C360))</f>
        <v xml:space="preserve"> </v>
      </c>
      <c r="B360" s="178"/>
      <c r="C360" s="178"/>
      <c r="D360" s="193"/>
      <c r="E360" s="193"/>
      <c r="F360" s="180"/>
      <c r="G360" s="180"/>
      <c r="H360" s="180"/>
      <c r="I360" s="180"/>
      <c r="J360" s="180"/>
      <c r="K360" s="180"/>
      <c r="L360" s="180"/>
      <c r="M360" s="181"/>
      <c r="N360" s="163" t="str">
        <f t="shared" si="25"/>
        <v/>
      </c>
      <c r="O360" s="126" t="str">
        <f t="shared" si="26"/>
        <v>-</v>
      </c>
      <c r="P360" s="164"/>
      <c r="Q360" s="164"/>
      <c r="R360" s="164"/>
      <c r="S360" s="164"/>
      <c r="T360" s="164"/>
      <c r="U360" s="164"/>
      <c r="V360" s="165"/>
    </row>
    <row r="361" spans="1:25" ht="27" customHeight="1">
      <c r="A361" s="192" t="str">
        <f>IF(ISBLANK(C361)," ",356-COUNTBLANK($C$6:C361))</f>
        <v xml:space="preserve"> </v>
      </c>
      <c r="B361" s="178"/>
      <c r="C361" s="178"/>
      <c r="D361" s="193"/>
      <c r="E361" s="193"/>
      <c r="F361" s="180"/>
      <c r="G361" s="180"/>
      <c r="H361" s="180"/>
      <c r="I361" s="180"/>
      <c r="J361" s="180"/>
      <c r="K361" s="180"/>
      <c r="L361" s="180"/>
      <c r="M361" s="181"/>
      <c r="N361" s="163" t="str">
        <f t="shared" si="25"/>
        <v/>
      </c>
      <c r="O361" s="126" t="str">
        <f t="shared" si="26"/>
        <v>-</v>
      </c>
      <c r="P361" s="164"/>
      <c r="Q361" s="164"/>
      <c r="R361" s="164"/>
      <c r="S361" s="164"/>
      <c r="T361" s="164"/>
      <c r="U361" s="164"/>
      <c r="V361" s="166"/>
      <c r="W361" s="164"/>
      <c r="X361" s="164"/>
      <c r="Y361" s="164"/>
    </row>
    <row r="362" spans="1:25" ht="27" customHeight="1">
      <c r="A362" s="172" t="s">
        <v>44</v>
      </c>
      <c r="B362" s="173"/>
      <c r="C362" s="174"/>
      <c r="D362" s="194"/>
      <c r="E362" s="194">
        <f>SUM(E342:E361)</f>
        <v>0</v>
      </c>
      <c r="F362" s="176"/>
      <c r="G362" s="176"/>
      <c r="H362" s="176"/>
      <c r="I362" s="176"/>
      <c r="J362" s="176"/>
      <c r="K362" s="176"/>
      <c r="L362" s="176"/>
      <c r="M362" s="177"/>
      <c r="N362" s="163" t="str">
        <f t="shared" si="25"/>
        <v/>
      </c>
      <c r="O362" s="126"/>
      <c r="P362" s="164"/>
      <c r="Q362" s="164"/>
      <c r="R362" s="164"/>
      <c r="S362" s="164"/>
      <c r="T362" s="164"/>
      <c r="U362" s="164"/>
      <c r="V362" s="166"/>
      <c r="W362" s="164"/>
      <c r="X362" s="164"/>
      <c r="Y362" s="164"/>
    </row>
    <row r="363" spans="1:25" ht="27" customHeight="1">
      <c r="A363" s="187" t="str">
        <f>IF(ISBLANK(C363)," ",358-COUNTBLANK($C$6:C363))</f>
        <v xml:space="preserve"> </v>
      </c>
      <c r="B363" s="188"/>
      <c r="C363" s="188"/>
      <c r="D363" s="189"/>
      <c r="E363" s="189"/>
      <c r="F363" s="190"/>
      <c r="G363" s="190"/>
      <c r="H363" s="190"/>
      <c r="I363" s="190"/>
      <c r="J363" s="190"/>
      <c r="K363" s="190"/>
      <c r="L363" s="190"/>
      <c r="M363" s="191"/>
      <c r="N363" s="163" t="str">
        <f>CONCATENATE(C363,H363)</f>
        <v/>
      </c>
      <c r="O363" s="126" t="str">
        <f>IF(D363&gt;=E363,"-","ERR")</f>
        <v>-</v>
      </c>
      <c r="P363" s="164"/>
      <c r="Q363" s="164"/>
      <c r="R363" s="164"/>
      <c r="S363" s="164"/>
      <c r="T363" s="164"/>
      <c r="U363" s="164"/>
      <c r="V363" s="164"/>
    </row>
    <row r="364" spans="1:25" ht="27" customHeight="1">
      <c r="A364" s="192" t="str">
        <f>IF(ISBLANK(C364)," ",359-COUNTBLANK($C$6:C364))</f>
        <v xml:space="preserve"> </v>
      </c>
      <c r="B364" s="178"/>
      <c r="C364" s="178"/>
      <c r="D364" s="193"/>
      <c r="E364" s="193"/>
      <c r="F364" s="180"/>
      <c r="G364" s="180"/>
      <c r="H364" s="180"/>
      <c r="I364" s="180"/>
      <c r="J364" s="180"/>
      <c r="K364" s="180"/>
      <c r="L364" s="180"/>
      <c r="M364" s="181"/>
      <c r="N364" s="163" t="str">
        <f t="shared" ref="N364:N383" si="27">CONCATENATE(C364,H364)</f>
        <v/>
      </c>
      <c r="O364" s="126" t="str">
        <f t="shared" ref="O364:O382" si="28">IF(D364&gt;=E364,"-","ERR")</f>
        <v>-</v>
      </c>
      <c r="P364" s="164"/>
      <c r="Q364" s="164"/>
      <c r="R364" s="164"/>
      <c r="S364" s="164"/>
      <c r="T364" s="164"/>
      <c r="U364" s="164"/>
      <c r="V364" s="164"/>
    </row>
    <row r="365" spans="1:25" ht="27" customHeight="1">
      <c r="A365" s="192" t="str">
        <f>IF(ISBLANK(C365)," ",360-COUNTBLANK($C$6:C365))</f>
        <v xml:space="preserve"> </v>
      </c>
      <c r="B365" s="178"/>
      <c r="C365" s="178"/>
      <c r="D365" s="193"/>
      <c r="E365" s="193"/>
      <c r="F365" s="180"/>
      <c r="G365" s="180"/>
      <c r="H365" s="180"/>
      <c r="I365" s="180"/>
      <c r="J365" s="180"/>
      <c r="K365" s="180"/>
      <c r="L365" s="180"/>
      <c r="M365" s="181"/>
      <c r="N365" s="163" t="str">
        <f t="shared" si="27"/>
        <v/>
      </c>
      <c r="O365" s="126" t="str">
        <f t="shared" si="28"/>
        <v>-</v>
      </c>
      <c r="P365" s="164"/>
      <c r="Q365" s="164"/>
      <c r="R365" s="164"/>
      <c r="S365" s="164"/>
      <c r="T365" s="164"/>
      <c r="U365" s="164"/>
      <c r="V365" s="164"/>
    </row>
    <row r="366" spans="1:25" ht="27" customHeight="1">
      <c r="A366" s="192" t="str">
        <f>IF(ISBLANK(C366)," ",361-COUNTBLANK($C$6:C366))</f>
        <v xml:space="preserve"> </v>
      </c>
      <c r="B366" s="178"/>
      <c r="C366" s="178"/>
      <c r="D366" s="193"/>
      <c r="E366" s="193"/>
      <c r="F366" s="180"/>
      <c r="G366" s="180"/>
      <c r="H366" s="180"/>
      <c r="I366" s="180"/>
      <c r="J366" s="180"/>
      <c r="K366" s="180"/>
      <c r="L366" s="180"/>
      <c r="M366" s="181"/>
      <c r="N366" s="163" t="str">
        <f t="shared" si="27"/>
        <v/>
      </c>
      <c r="O366" s="126" t="str">
        <f t="shared" si="28"/>
        <v>-</v>
      </c>
      <c r="P366" s="164"/>
      <c r="Q366" s="164"/>
      <c r="R366" s="164"/>
      <c r="S366" s="164"/>
      <c r="T366" s="164"/>
      <c r="U366" s="164"/>
      <c r="V366" s="164"/>
    </row>
    <row r="367" spans="1:25" ht="27" customHeight="1">
      <c r="A367" s="192" t="str">
        <f>IF(ISBLANK(C367)," ",362-COUNTBLANK($C$6:C367))</f>
        <v xml:space="preserve"> </v>
      </c>
      <c r="B367" s="178"/>
      <c r="C367" s="178"/>
      <c r="D367" s="193"/>
      <c r="E367" s="193"/>
      <c r="F367" s="180"/>
      <c r="G367" s="180"/>
      <c r="H367" s="180"/>
      <c r="I367" s="180"/>
      <c r="J367" s="180"/>
      <c r="K367" s="180"/>
      <c r="L367" s="180"/>
      <c r="M367" s="181"/>
      <c r="N367" s="163" t="str">
        <f t="shared" si="27"/>
        <v/>
      </c>
      <c r="O367" s="126" t="str">
        <f t="shared" si="28"/>
        <v>-</v>
      </c>
      <c r="P367" s="164"/>
      <c r="Q367" s="164"/>
      <c r="R367" s="164"/>
      <c r="S367" s="164"/>
      <c r="T367" s="164"/>
      <c r="U367" s="164"/>
      <c r="V367" s="164"/>
    </row>
    <row r="368" spans="1:25" ht="27" customHeight="1">
      <c r="A368" s="192" t="str">
        <f>IF(ISBLANK(C368)," ",363-COUNTBLANK($C$6:C368))</f>
        <v xml:space="preserve"> </v>
      </c>
      <c r="B368" s="178"/>
      <c r="C368" s="178"/>
      <c r="D368" s="193"/>
      <c r="E368" s="193"/>
      <c r="F368" s="180"/>
      <c r="G368" s="180"/>
      <c r="H368" s="180"/>
      <c r="I368" s="180"/>
      <c r="J368" s="180"/>
      <c r="K368" s="180"/>
      <c r="L368" s="180"/>
      <c r="M368" s="181"/>
      <c r="N368" s="163" t="str">
        <f t="shared" si="27"/>
        <v/>
      </c>
      <c r="O368" s="126" t="str">
        <f t="shared" si="28"/>
        <v>-</v>
      </c>
      <c r="P368" s="164"/>
      <c r="Q368" s="164"/>
      <c r="R368" s="164"/>
      <c r="S368" s="164"/>
      <c r="T368" s="164"/>
      <c r="U368" s="164"/>
      <c r="V368" s="164"/>
    </row>
    <row r="369" spans="1:25" ht="27" customHeight="1">
      <c r="A369" s="192" t="str">
        <f>IF(ISBLANK(C369)," ",364-COUNTBLANK($C$6:C369))</f>
        <v xml:space="preserve"> </v>
      </c>
      <c r="B369" s="178"/>
      <c r="C369" s="178"/>
      <c r="D369" s="193"/>
      <c r="E369" s="193"/>
      <c r="F369" s="180"/>
      <c r="G369" s="180"/>
      <c r="H369" s="180"/>
      <c r="I369" s="180"/>
      <c r="J369" s="180"/>
      <c r="K369" s="180"/>
      <c r="L369" s="180"/>
      <c r="M369" s="181"/>
      <c r="N369" s="163" t="str">
        <f t="shared" si="27"/>
        <v/>
      </c>
      <c r="O369" s="126" t="str">
        <f t="shared" si="28"/>
        <v>-</v>
      </c>
      <c r="P369" s="164"/>
      <c r="Q369" s="164"/>
      <c r="R369" s="164"/>
      <c r="S369" s="164"/>
      <c r="T369" s="164"/>
      <c r="U369" s="164"/>
      <c r="V369" s="164"/>
    </row>
    <row r="370" spans="1:25" ht="27" customHeight="1">
      <c r="A370" s="192" t="str">
        <f>IF(ISBLANK(C370)," ",365-COUNTBLANK($C$6:C370))</f>
        <v xml:space="preserve"> </v>
      </c>
      <c r="B370" s="178"/>
      <c r="C370" s="178"/>
      <c r="D370" s="193"/>
      <c r="E370" s="193"/>
      <c r="F370" s="180"/>
      <c r="G370" s="180"/>
      <c r="H370" s="180"/>
      <c r="I370" s="180"/>
      <c r="J370" s="180"/>
      <c r="K370" s="180"/>
      <c r="L370" s="180"/>
      <c r="M370" s="181"/>
      <c r="N370" s="163" t="str">
        <f t="shared" si="27"/>
        <v/>
      </c>
      <c r="O370" s="126" t="str">
        <f t="shared" si="28"/>
        <v>-</v>
      </c>
      <c r="P370" s="164"/>
      <c r="Q370" s="164"/>
      <c r="R370" s="164"/>
      <c r="S370" s="164"/>
      <c r="T370" s="164"/>
      <c r="U370" s="164"/>
      <c r="V370" s="164"/>
    </row>
    <row r="371" spans="1:25" ht="27" customHeight="1">
      <c r="A371" s="192" t="str">
        <f>IF(ISBLANK(C371)," ",366-COUNTBLANK($C$6:C371))</f>
        <v xml:space="preserve"> </v>
      </c>
      <c r="B371" s="178"/>
      <c r="C371" s="178"/>
      <c r="D371" s="193"/>
      <c r="E371" s="193"/>
      <c r="F371" s="180"/>
      <c r="G371" s="180"/>
      <c r="H371" s="180"/>
      <c r="I371" s="180"/>
      <c r="J371" s="180"/>
      <c r="K371" s="180"/>
      <c r="L371" s="180"/>
      <c r="M371" s="181"/>
      <c r="N371" s="163" t="str">
        <f t="shared" si="27"/>
        <v/>
      </c>
      <c r="O371" s="126" t="str">
        <f t="shared" si="28"/>
        <v>-</v>
      </c>
      <c r="P371" s="164"/>
      <c r="Q371" s="164"/>
      <c r="R371" s="164"/>
      <c r="S371" s="164"/>
      <c r="T371" s="164"/>
      <c r="U371" s="164"/>
      <c r="V371" s="164"/>
    </row>
    <row r="372" spans="1:25" ht="27" customHeight="1">
      <c r="A372" s="192" t="str">
        <f>IF(ISBLANK(C372)," ",367-COUNTBLANK($C$6:C372))</f>
        <v xml:space="preserve"> </v>
      </c>
      <c r="B372" s="178"/>
      <c r="C372" s="178"/>
      <c r="D372" s="193"/>
      <c r="E372" s="193"/>
      <c r="F372" s="180"/>
      <c r="G372" s="180"/>
      <c r="H372" s="180"/>
      <c r="I372" s="180"/>
      <c r="J372" s="180"/>
      <c r="K372" s="180"/>
      <c r="L372" s="180"/>
      <c r="M372" s="181"/>
      <c r="N372" s="163" t="str">
        <f t="shared" si="27"/>
        <v/>
      </c>
      <c r="O372" s="126" t="str">
        <f t="shared" si="28"/>
        <v>-</v>
      </c>
      <c r="P372" s="164"/>
      <c r="Q372" s="164"/>
      <c r="R372" s="164"/>
      <c r="S372" s="164"/>
      <c r="T372" s="164"/>
      <c r="U372" s="164"/>
      <c r="V372" s="164"/>
    </row>
    <row r="373" spans="1:25" ht="27" customHeight="1">
      <c r="A373" s="192" t="str">
        <f>IF(ISBLANK(C373)," ",368-COUNTBLANK($C$6:C373))</f>
        <v xml:space="preserve"> </v>
      </c>
      <c r="B373" s="178"/>
      <c r="C373" s="178"/>
      <c r="D373" s="193"/>
      <c r="E373" s="193"/>
      <c r="F373" s="180"/>
      <c r="G373" s="180"/>
      <c r="H373" s="180"/>
      <c r="I373" s="180"/>
      <c r="J373" s="180"/>
      <c r="K373" s="180"/>
      <c r="L373" s="180"/>
      <c r="M373" s="181"/>
      <c r="N373" s="163" t="str">
        <f t="shared" si="27"/>
        <v/>
      </c>
      <c r="O373" s="126" t="str">
        <f t="shared" si="28"/>
        <v>-</v>
      </c>
      <c r="P373" s="164"/>
      <c r="Q373" s="164"/>
      <c r="R373" s="164"/>
      <c r="S373" s="164"/>
      <c r="T373" s="164"/>
      <c r="U373" s="164"/>
      <c r="V373" s="164"/>
    </row>
    <row r="374" spans="1:25" ht="27" customHeight="1">
      <c r="A374" s="192" t="str">
        <f>IF(ISBLANK(C374)," ",369-COUNTBLANK($C$6:C374))</f>
        <v xml:space="preserve"> </v>
      </c>
      <c r="B374" s="178"/>
      <c r="C374" s="178"/>
      <c r="D374" s="193"/>
      <c r="E374" s="193"/>
      <c r="F374" s="180"/>
      <c r="G374" s="180"/>
      <c r="H374" s="180"/>
      <c r="I374" s="180"/>
      <c r="J374" s="180"/>
      <c r="K374" s="180"/>
      <c r="L374" s="180"/>
      <c r="M374" s="181"/>
      <c r="N374" s="163" t="str">
        <f t="shared" si="27"/>
        <v/>
      </c>
      <c r="O374" s="126" t="str">
        <f t="shared" si="28"/>
        <v>-</v>
      </c>
      <c r="P374" s="164"/>
      <c r="Q374" s="164"/>
      <c r="R374" s="164"/>
      <c r="S374" s="164"/>
      <c r="T374" s="164"/>
      <c r="U374" s="164"/>
      <c r="V374" s="164"/>
    </row>
    <row r="375" spans="1:25" ht="27" customHeight="1">
      <c r="A375" s="192" t="str">
        <f>IF(ISBLANK(C375)," ",370-COUNTBLANK($C$6:C375))</f>
        <v xml:space="preserve"> </v>
      </c>
      <c r="B375" s="178"/>
      <c r="C375" s="178"/>
      <c r="D375" s="193"/>
      <c r="E375" s="193"/>
      <c r="F375" s="180"/>
      <c r="G375" s="180"/>
      <c r="H375" s="180"/>
      <c r="I375" s="180"/>
      <c r="J375" s="180"/>
      <c r="K375" s="180"/>
      <c r="L375" s="180"/>
      <c r="M375" s="181"/>
      <c r="N375" s="163" t="str">
        <f t="shared" si="27"/>
        <v/>
      </c>
      <c r="O375" s="126" t="str">
        <f t="shared" si="28"/>
        <v>-</v>
      </c>
      <c r="P375" s="164"/>
      <c r="Q375" s="164"/>
      <c r="R375" s="164"/>
      <c r="S375" s="164"/>
      <c r="T375" s="164"/>
      <c r="U375" s="164"/>
      <c r="V375" s="164"/>
    </row>
    <row r="376" spans="1:25" ht="27" customHeight="1">
      <c r="A376" s="192" t="str">
        <f>IF(ISBLANK(C376)," ",371-COUNTBLANK($C$6:C376))</f>
        <v xml:space="preserve"> </v>
      </c>
      <c r="B376" s="178"/>
      <c r="C376" s="178"/>
      <c r="D376" s="193"/>
      <c r="E376" s="193"/>
      <c r="F376" s="180"/>
      <c r="G376" s="180"/>
      <c r="H376" s="180"/>
      <c r="I376" s="180"/>
      <c r="J376" s="180"/>
      <c r="K376" s="180"/>
      <c r="L376" s="180"/>
      <c r="M376" s="181"/>
      <c r="N376" s="163" t="str">
        <f t="shared" si="27"/>
        <v/>
      </c>
      <c r="O376" s="126" t="str">
        <f t="shared" si="28"/>
        <v>-</v>
      </c>
      <c r="P376" s="164"/>
      <c r="Q376" s="164"/>
      <c r="R376" s="164"/>
      <c r="S376" s="164"/>
      <c r="T376" s="164"/>
      <c r="U376" s="164"/>
      <c r="V376" s="164"/>
    </row>
    <row r="377" spans="1:25" ht="27" customHeight="1">
      <c r="A377" s="192" t="str">
        <f>IF(ISBLANK(C377)," ",372-COUNTBLANK($C$6:C377))</f>
        <v xml:space="preserve"> </v>
      </c>
      <c r="B377" s="178"/>
      <c r="C377" s="178"/>
      <c r="D377" s="193"/>
      <c r="E377" s="193"/>
      <c r="F377" s="180"/>
      <c r="G377" s="180"/>
      <c r="H377" s="180"/>
      <c r="I377" s="180"/>
      <c r="J377" s="180"/>
      <c r="K377" s="180"/>
      <c r="L377" s="180"/>
      <c r="M377" s="181"/>
      <c r="N377" s="163" t="str">
        <f t="shared" si="27"/>
        <v/>
      </c>
      <c r="O377" s="126" t="str">
        <f t="shared" si="28"/>
        <v>-</v>
      </c>
      <c r="P377" s="164"/>
      <c r="Q377" s="164"/>
      <c r="R377" s="164"/>
      <c r="S377" s="164"/>
      <c r="T377" s="164"/>
      <c r="U377" s="164"/>
      <c r="V377" s="164"/>
    </row>
    <row r="378" spans="1:25" ht="27" customHeight="1">
      <c r="A378" s="192" t="str">
        <f>IF(ISBLANK(C378)," ",373-COUNTBLANK($C$6:C378))</f>
        <v xml:space="preserve"> </v>
      </c>
      <c r="B378" s="178"/>
      <c r="C378" s="178"/>
      <c r="D378" s="193"/>
      <c r="E378" s="193"/>
      <c r="F378" s="180"/>
      <c r="G378" s="180"/>
      <c r="H378" s="180"/>
      <c r="I378" s="180"/>
      <c r="J378" s="180"/>
      <c r="K378" s="180"/>
      <c r="L378" s="180"/>
      <c r="M378" s="181"/>
      <c r="N378" s="163" t="str">
        <f t="shared" si="27"/>
        <v/>
      </c>
      <c r="O378" s="126" t="str">
        <f t="shared" si="28"/>
        <v>-</v>
      </c>
      <c r="P378" s="164"/>
      <c r="Q378" s="164"/>
      <c r="R378" s="164"/>
      <c r="S378" s="164"/>
      <c r="T378" s="164"/>
      <c r="U378" s="164"/>
      <c r="V378" s="165"/>
    </row>
    <row r="379" spans="1:25" ht="27" customHeight="1">
      <c r="A379" s="192" t="str">
        <f>IF(ISBLANK(C379)," ",374-COUNTBLANK($C$6:C379))</f>
        <v xml:space="preserve"> </v>
      </c>
      <c r="B379" s="178"/>
      <c r="C379" s="178"/>
      <c r="D379" s="193"/>
      <c r="E379" s="193"/>
      <c r="F379" s="180"/>
      <c r="G379" s="180"/>
      <c r="H379" s="180"/>
      <c r="I379" s="180"/>
      <c r="J379" s="180"/>
      <c r="K379" s="180"/>
      <c r="L379" s="180"/>
      <c r="M379" s="181"/>
      <c r="N379" s="163" t="str">
        <f t="shared" si="27"/>
        <v/>
      </c>
      <c r="O379" s="126" t="str">
        <f t="shared" si="28"/>
        <v>-</v>
      </c>
      <c r="P379" s="164"/>
      <c r="Q379" s="164"/>
      <c r="R379" s="164"/>
      <c r="S379" s="164"/>
      <c r="T379" s="164"/>
      <c r="U379" s="164"/>
      <c r="V379" s="165"/>
    </row>
    <row r="380" spans="1:25" ht="27" customHeight="1">
      <c r="A380" s="192" t="str">
        <f>IF(ISBLANK(C380)," ",375-COUNTBLANK($C$6:C380))</f>
        <v xml:space="preserve"> </v>
      </c>
      <c r="B380" s="178"/>
      <c r="C380" s="178"/>
      <c r="D380" s="193"/>
      <c r="E380" s="193"/>
      <c r="F380" s="180"/>
      <c r="G380" s="180"/>
      <c r="H380" s="180"/>
      <c r="I380" s="180"/>
      <c r="J380" s="180"/>
      <c r="K380" s="180"/>
      <c r="L380" s="180"/>
      <c r="M380" s="181"/>
      <c r="N380" s="163" t="str">
        <f t="shared" si="27"/>
        <v/>
      </c>
      <c r="O380" s="126" t="str">
        <f t="shared" si="28"/>
        <v>-</v>
      </c>
      <c r="P380" s="164"/>
      <c r="Q380" s="164"/>
      <c r="R380" s="164"/>
      <c r="S380" s="164"/>
      <c r="T380" s="164"/>
      <c r="U380" s="164"/>
      <c r="V380" s="165"/>
    </row>
    <row r="381" spans="1:25" ht="27" customHeight="1">
      <c r="A381" s="192" t="str">
        <f>IF(ISBLANK(C381)," ",376-COUNTBLANK($C$6:C381))</f>
        <v xml:space="preserve"> </v>
      </c>
      <c r="B381" s="178"/>
      <c r="C381" s="178"/>
      <c r="D381" s="193"/>
      <c r="E381" s="193"/>
      <c r="F381" s="180"/>
      <c r="G381" s="180"/>
      <c r="H381" s="180"/>
      <c r="I381" s="180"/>
      <c r="J381" s="180"/>
      <c r="K381" s="180"/>
      <c r="L381" s="180"/>
      <c r="M381" s="181"/>
      <c r="N381" s="163" t="str">
        <f t="shared" si="27"/>
        <v/>
      </c>
      <c r="O381" s="126" t="str">
        <f t="shared" si="28"/>
        <v>-</v>
      </c>
      <c r="P381" s="164"/>
      <c r="Q381" s="164"/>
      <c r="R381" s="164"/>
      <c r="S381" s="164"/>
      <c r="T381" s="164"/>
      <c r="U381" s="164"/>
      <c r="V381" s="165"/>
    </row>
    <row r="382" spans="1:25" ht="27" customHeight="1">
      <c r="A382" s="192" t="str">
        <f>IF(ISBLANK(C382)," ",377-COUNTBLANK($C$6:C382))</f>
        <v xml:space="preserve"> </v>
      </c>
      <c r="B382" s="178"/>
      <c r="C382" s="178"/>
      <c r="D382" s="193"/>
      <c r="E382" s="193"/>
      <c r="F382" s="180"/>
      <c r="G382" s="180"/>
      <c r="H382" s="180"/>
      <c r="I382" s="180"/>
      <c r="J382" s="180"/>
      <c r="K382" s="180"/>
      <c r="L382" s="180"/>
      <c r="M382" s="181"/>
      <c r="N382" s="163" t="str">
        <f t="shared" si="27"/>
        <v/>
      </c>
      <c r="O382" s="126" t="str">
        <f t="shared" si="28"/>
        <v>-</v>
      </c>
      <c r="P382" s="164"/>
      <c r="Q382" s="164"/>
      <c r="R382" s="164"/>
      <c r="S382" s="164"/>
      <c r="T382" s="164"/>
      <c r="U382" s="164"/>
      <c r="V382" s="166"/>
      <c r="W382" s="164"/>
      <c r="X382" s="164"/>
      <c r="Y382" s="164"/>
    </row>
    <row r="383" spans="1:25" ht="27" customHeight="1">
      <c r="A383" s="172" t="s">
        <v>44</v>
      </c>
      <c r="B383" s="173"/>
      <c r="C383" s="174"/>
      <c r="D383" s="194"/>
      <c r="E383" s="194">
        <f>SUM(E363:E382)</f>
        <v>0</v>
      </c>
      <c r="F383" s="176"/>
      <c r="G383" s="176"/>
      <c r="H383" s="176"/>
      <c r="I383" s="176"/>
      <c r="J383" s="176"/>
      <c r="K383" s="176"/>
      <c r="L383" s="176"/>
      <c r="M383" s="177"/>
      <c r="N383" s="163" t="str">
        <f t="shared" si="27"/>
        <v/>
      </c>
      <c r="O383" s="126"/>
      <c r="P383" s="164"/>
      <c r="Q383" s="164"/>
      <c r="R383" s="164"/>
      <c r="S383" s="164"/>
      <c r="T383" s="164"/>
      <c r="U383" s="164"/>
      <c r="V383" s="166"/>
      <c r="W383" s="164"/>
      <c r="X383" s="164"/>
      <c r="Y383" s="164"/>
    </row>
    <row r="384" spans="1:25" ht="27" customHeight="1">
      <c r="A384" s="187" t="str">
        <f>IF(ISBLANK(C384)," ",379-COUNTBLANK($C$6:C384))</f>
        <v xml:space="preserve"> </v>
      </c>
      <c r="B384" s="188"/>
      <c r="C384" s="188"/>
      <c r="D384" s="189"/>
      <c r="E384" s="189"/>
      <c r="F384" s="190"/>
      <c r="G384" s="190"/>
      <c r="H384" s="190"/>
      <c r="I384" s="190"/>
      <c r="J384" s="190"/>
      <c r="K384" s="190"/>
      <c r="L384" s="190"/>
      <c r="M384" s="191"/>
      <c r="N384" s="163" t="str">
        <f>CONCATENATE(C384,H384)</f>
        <v/>
      </c>
      <c r="O384" s="126" t="str">
        <f>IF(D384&gt;=E384,"-","ERR")</f>
        <v>-</v>
      </c>
      <c r="P384" s="164"/>
      <c r="Q384" s="164"/>
      <c r="R384" s="164"/>
      <c r="S384" s="164"/>
      <c r="T384" s="164"/>
      <c r="U384" s="164"/>
      <c r="V384" s="164"/>
    </row>
    <row r="385" spans="1:22" ht="27" customHeight="1">
      <c r="A385" s="192" t="str">
        <f>IF(ISBLANK(C385)," ",380-COUNTBLANK($C$6:C385))</f>
        <v xml:space="preserve"> </v>
      </c>
      <c r="B385" s="178"/>
      <c r="C385" s="178"/>
      <c r="D385" s="193"/>
      <c r="E385" s="193"/>
      <c r="F385" s="180"/>
      <c r="G385" s="180"/>
      <c r="H385" s="180"/>
      <c r="I385" s="180"/>
      <c r="J385" s="180"/>
      <c r="K385" s="180"/>
      <c r="L385" s="180"/>
      <c r="M385" s="181"/>
      <c r="N385" s="163" t="str">
        <f t="shared" ref="N385:N404" si="29">CONCATENATE(C385,H385)</f>
        <v/>
      </c>
      <c r="O385" s="126" t="str">
        <f t="shared" ref="O385:O403" si="30">IF(D385&gt;=E385,"-","ERR")</f>
        <v>-</v>
      </c>
      <c r="P385" s="164"/>
      <c r="Q385" s="164"/>
      <c r="R385" s="164"/>
      <c r="S385" s="164"/>
      <c r="T385" s="164"/>
      <c r="U385" s="164"/>
      <c r="V385" s="164"/>
    </row>
    <row r="386" spans="1:22" ht="27" customHeight="1">
      <c r="A386" s="192" t="str">
        <f>IF(ISBLANK(C386)," ",381-COUNTBLANK($C$6:C386))</f>
        <v xml:space="preserve"> </v>
      </c>
      <c r="B386" s="178"/>
      <c r="C386" s="178"/>
      <c r="D386" s="193"/>
      <c r="E386" s="193"/>
      <c r="F386" s="180"/>
      <c r="G386" s="180"/>
      <c r="H386" s="180"/>
      <c r="I386" s="180"/>
      <c r="J386" s="180"/>
      <c r="K386" s="180"/>
      <c r="L386" s="180"/>
      <c r="M386" s="181"/>
      <c r="N386" s="163" t="str">
        <f t="shared" si="29"/>
        <v/>
      </c>
      <c r="O386" s="126" t="str">
        <f t="shared" si="30"/>
        <v>-</v>
      </c>
      <c r="P386" s="164"/>
      <c r="Q386" s="164"/>
      <c r="R386" s="164"/>
      <c r="S386" s="164"/>
      <c r="T386" s="164"/>
      <c r="U386" s="164"/>
      <c r="V386" s="164"/>
    </row>
    <row r="387" spans="1:22" ht="27" customHeight="1">
      <c r="A387" s="192" t="str">
        <f>IF(ISBLANK(C387)," ",382-COUNTBLANK($C$6:C387))</f>
        <v xml:space="preserve"> </v>
      </c>
      <c r="B387" s="178"/>
      <c r="C387" s="178"/>
      <c r="D387" s="193"/>
      <c r="E387" s="193"/>
      <c r="F387" s="180"/>
      <c r="G387" s="180"/>
      <c r="H387" s="180"/>
      <c r="I387" s="180"/>
      <c r="J387" s="180"/>
      <c r="K387" s="180"/>
      <c r="L387" s="180"/>
      <c r="M387" s="181"/>
      <c r="N387" s="163" t="str">
        <f t="shared" si="29"/>
        <v/>
      </c>
      <c r="O387" s="126" t="str">
        <f t="shared" si="30"/>
        <v>-</v>
      </c>
      <c r="P387" s="164"/>
      <c r="Q387" s="164"/>
      <c r="R387" s="164"/>
      <c r="S387" s="164"/>
      <c r="T387" s="164"/>
      <c r="U387" s="164"/>
      <c r="V387" s="164"/>
    </row>
    <row r="388" spans="1:22" ht="27" customHeight="1">
      <c r="A388" s="192" t="str">
        <f>IF(ISBLANK(C388)," ",383-COUNTBLANK($C$6:C388))</f>
        <v xml:space="preserve"> </v>
      </c>
      <c r="B388" s="178"/>
      <c r="C388" s="178"/>
      <c r="D388" s="193"/>
      <c r="E388" s="193"/>
      <c r="F388" s="180"/>
      <c r="G388" s="180"/>
      <c r="H388" s="180"/>
      <c r="I388" s="180"/>
      <c r="J388" s="180"/>
      <c r="K388" s="180"/>
      <c r="L388" s="180"/>
      <c r="M388" s="181"/>
      <c r="N388" s="163" t="str">
        <f t="shared" si="29"/>
        <v/>
      </c>
      <c r="O388" s="126" t="str">
        <f t="shared" si="30"/>
        <v>-</v>
      </c>
      <c r="P388" s="164"/>
      <c r="Q388" s="164"/>
      <c r="R388" s="164"/>
      <c r="S388" s="164"/>
      <c r="T388" s="164"/>
      <c r="U388" s="164"/>
      <c r="V388" s="164"/>
    </row>
    <row r="389" spans="1:22" ht="27" customHeight="1">
      <c r="A389" s="192" t="str">
        <f>IF(ISBLANK(C389)," ",384-COUNTBLANK($C$6:C389))</f>
        <v xml:space="preserve"> </v>
      </c>
      <c r="B389" s="178"/>
      <c r="C389" s="178"/>
      <c r="D389" s="193"/>
      <c r="E389" s="193"/>
      <c r="F389" s="180"/>
      <c r="G389" s="180"/>
      <c r="H389" s="180"/>
      <c r="I389" s="180"/>
      <c r="J389" s="180"/>
      <c r="K389" s="180"/>
      <c r="L389" s="180"/>
      <c r="M389" s="181"/>
      <c r="N389" s="163" t="str">
        <f t="shared" si="29"/>
        <v/>
      </c>
      <c r="O389" s="126" t="str">
        <f t="shared" si="30"/>
        <v>-</v>
      </c>
      <c r="P389" s="164"/>
      <c r="Q389" s="164"/>
      <c r="R389" s="164"/>
      <c r="S389" s="164"/>
      <c r="T389" s="164"/>
      <c r="U389" s="164"/>
      <c r="V389" s="164"/>
    </row>
    <row r="390" spans="1:22" ht="27" customHeight="1">
      <c r="A390" s="192" t="str">
        <f>IF(ISBLANK(C390)," ",385-COUNTBLANK($C$6:C390))</f>
        <v xml:space="preserve"> </v>
      </c>
      <c r="B390" s="178"/>
      <c r="C390" s="178"/>
      <c r="D390" s="193"/>
      <c r="E390" s="193"/>
      <c r="F390" s="180"/>
      <c r="G390" s="180"/>
      <c r="H390" s="180"/>
      <c r="I390" s="180"/>
      <c r="J390" s="180"/>
      <c r="K390" s="180"/>
      <c r="L390" s="180"/>
      <c r="M390" s="181"/>
      <c r="N390" s="163" t="str">
        <f t="shared" si="29"/>
        <v/>
      </c>
      <c r="O390" s="126" t="str">
        <f t="shared" si="30"/>
        <v>-</v>
      </c>
      <c r="P390" s="164"/>
      <c r="Q390" s="164"/>
      <c r="R390" s="164"/>
      <c r="S390" s="164"/>
      <c r="T390" s="164"/>
      <c r="U390" s="164"/>
      <c r="V390" s="164"/>
    </row>
    <row r="391" spans="1:22" ht="27" customHeight="1">
      <c r="A391" s="192" t="str">
        <f>IF(ISBLANK(C391)," ",386-COUNTBLANK($C$6:C391))</f>
        <v xml:space="preserve"> </v>
      </c>
      <c r="B391" s="178"/>
      <c r="C391" s="178"/>
      <c r="D391" s="193"/>
      <c r="E391" s="193"/>
      <c r="F391" s="180"/>
      <c r="G391" s="180"/>
      <c r="H391" s="180"/>
      <c r="I391" s="180"/>
      <c r="J391" s="180"/>
      <c r="K391" s="180"/>
      <c r="L391" s="180"/>
      <c r="M391" s="181"/>
      <c r="N391" s="163" t="str">
        <f t="shared" si="29"/>
        <v/>
      </c>
      <c r="O391" s="126" t="str">
        <f t="shared" si="30"/>
        <v>-</v>
      </c>
      <c r="P391" s="164"/>
      <c r="Q391" s="164"/>
      <c r="R391" s="164"/>
      <c r="S391" s="164"/>
      <c r="T391" s="164"/>
      <c r="U391" s="164"/>
      <c r="V391" s="164"/>
    </row>
    <row r="392" spans="1:22" ht="27" customHeight="1">
      <c r="A392" s="192" t="str">
        <f>IF(ISBLANK(C392)," ",387-COUNTBLANK($C$6:C392))</f>
        <v xml:space="preserve"> </v>
      </c>
      <c r="B392" s="178"/>
      <c r="C392" s="178"/>
      <c r="D392" s="193"/>
      <c r="E392" s="193"/>
      <c r="F392" s="180"/>
      <c r="G392" s="180"/>
      <c r="H392" s="180"/>
      <c r="I392" s="180"/>
      <c r="J392" s="180"/>
      <c r="K392" s="180"/>
      <c r="L392" s="180"/>
      <c r="M392" s="181"/>
      <c r="N392" s="163" t="str">
        <f t="shared" si="29"/>
        <v/>
      </c>
      <c r="O392" s="126" t="str">
        <f t="shared" si="30"/>
        <v>-</v>
      </c>
      <c r="P392" s="164"/>
      <c r="Q392" s="164"/>
      <c r="R392" s="164"/>
      <c r="S392" s="164"/>
      <c r="T392" s="164"/>
      <c r="U392" s="164"/>
      <c r="V392" s="164"/>
    </row>
    <row r="393" spans="1:22" ht="27" customHeight="1">
      <c r="A393" s="192" t="str">
        <f>IF(ISBLANK(C393)," ",388-COUNTBLANK($C$6:C393))</f>
        <v xml:space="preserve"> </v>
      </c>
      <c r="B393" s="178"/>
      <c r="C393" s="178"/>
      <c r="D393" s="193"/>
      <c r="E393" s="193"/>
      <c r="F393" s="180"/>
      <c r="G393" s="180"/>
      <c r="H393" s="180"/>
      <c r="I393" s="180"/>
      <c r="J393" s="180"/>
      <c r="K393" s="180"/>
      <c r="L393" s="180"/>
      <c r="M393" s="181"/>
      <c r="N393" s="163" t="str">
        <f t="shared" si="29"/>
        <v/>
      </c>
      <c r="O393" s="126" t="str">
        <f t="shared" si="30"/>
        <v>-</v>
      </c>
      <c r="P393" s="164"/>
      <c r="Q393" s="164"/>
      <c r="R393" s="164"/>
      <c r="S393" s="164"/>
      <c r="T393" s="164"/>
      <c r="U393" s="164"/>
      <c r="V393" s="164"/>
    </row>
    <row r="394" spans="1:22" ht="27" customHeight="1">
      <c r="A394" s="192" t="str">
        <f>IF(ISBLANK(C394)," ",389-COUNTBLANK($C$6:C394))</f>
        <v xml:space="preserve"> </v>
      </c>
      <c r="B394" s="178"/>
      <c r="C394" s="178"/>
      <c r="D394" s="193"/>
      <c r="E394" s="193"/>
      <c r="F394" s="180"/>
      <c r="G394" s="180"/>
      <c r="H394" s="180"/>
      <c r="I394" s="180"/>
      <c r="J394" s="180"/>
      <c r="K394" s="180"/>
      <c r="L394" s="180"/>
      <c r="M394" s="181"/>
      <c r="N394" s="163" t="str">
        <f t="shared" si="29"/>
        <v/>
      </c>
      <c r="O394" s="126" t="str">
        <f t="shared" si="30"/>
        <v>-</v>
      </c>
      <c r="P394" s="164"/>
      <c r="Q394" s="164"/>
      <c r="R394" s="164"/>
      <c r="S394" s="164"/>
      <c r="T394" s="164"/>
      <c r="U394" s="164"/>
      <c r="V394" s="164"/>
    </row>
    <row r="395" spans="1:22" ht="27" customHeight="1">
      <c r="A395" s="192" t="str">
        <f>IF(ISBLANK(C395)," ",390-COUNTBLANK($C$6:C395))</f>
        <v xml:space="preserve"> </v>
      </c>
      <c r="B395" s="178"/>
      <c r="C395" s="178"/>
      <c r="D395" s="193"/>
      <c r="E395" s="193"/>
      <c r="F395" s="180"/>
      <c r="G395" s="180"/>
      <c r="H395" s="180"/>
      <c r="I395" s="180"/>
      <c r="J395" s="180"/>
      <c r="K395" s="180"/>
      <c r="L395" s="180"/>
      <c r="M395" s="181"/>
      <c r="N395" s="163" t="str">
        <f t="shared" si="29"/>
        <v/>
      </c>
      <c r="O395" s="126" t="str">
        <f t="shared" si="30"/>
        <v>-</v>
      </c>
      <c r="P395" s="164"/>
      <c r="Q395" s="164"/>
      <c r="R395" s="164"/>
      <c r="S395" s="164"/>
      <c r="T395" s="164"/>
      <c r="U395" s="164"/>
      <c r="V395" s="164"/>
    </row>
    <row r="396" spans="1:22" ht="27" customHeight="1">
      <c r="A396" s="192" t="str">
        <f>IF(ISBLANK(C396)," ",391-COUNTBLANK($C$6:C396))</f>
        <v xml:space="preserve"> </v>
      </c>
      <c r="B396" s="178"/>
      <c r="C396" s="178"/>
      <c r="D396" s="193"/>
      <c r="E396" s="193"/>
      <c r="F396" s="180"/>
      <c r="G396" s="180"/>
      <c r="H396" s="180"/>
      <c r="I396" s="180"/>
      <c r="J396" s="180"/>
      <c r="K396" s="180"/>
      <c r="L396" s="180"/>
      <c r="M396" s="181"/>
      <c r="N396" s="163" t="str">
        <f t="shared" si="29"/>
        <v/>
      </c>
      <c r="O396" s="126" t="str">
        <f t="shared" si="30"/>
        <v>-</v>
      </c>
      <c r="P396" s="164"/>
      <c r="Q396" s="164"/>
      <c r="R396" s="164"/>
      <c r="S396" s="164"/>
      <c r="T396" s="164"/>
      <c r="U396" s="164"/>
      <c r="V396" s="164"/>
    </row>
    <row r="397" spans="1:22" ht="27" customHeight="1">
      <c r="A397" s="192" t="str">
        <f>IF(ISBLANK(C397)," ",392-COUNTBLANK($C$6:C397))</f>
        <v xml:space="preserve"> </v>
      </c>
      <c r="B397" s="178"/>
      <c r="C397" s="178"/>
      <c r="D397" s="193"/>
      <c r="E397" s="193"/>
      <c r="F397" s="180"/>
      <c r="G397" s="180"/>
      <c r="H397" s="180"/>
      <c r="I397" s="180"/>
      <c r="J397" s="180"/>
      <c r="K397" s="180"/>
      <c r="L397" s="180"/>
      <c r="M397" s="181"/>
      <c r="N397" s="163" t="str">
        <f t="shared" si="29"/>
        <v/>
      </c>
      <c r="O397" s="126" t="str">
        <f t="shared" si="30"/>
        <v>-</v>
      </c>
      <c r="P397" s="164"/>
      <c r="Q397" s="164"/>
      <c r="R397" s="164"/>
      <c r="S397" s="164"/>
      <c r="T397" s="164"/>
      <c r="U397" s="164"/>
      <c r="V397" s="164"/>
    </row>
    <row r="398" spans="1:22" ht="27" customHeight="1">
      <c r="A398" s="192" t="str">
        <f>IF(ISBLANK(C398)," ",393-COUNTBLANK($C$6:C398))</f>
        <v xml:space="preserve"> </v>
      </c>
      <c r="B398" s="178"/>
      <c r="C398" s="178"/>
      <c r="D398" s="193"/>
      <c r="E398" s="193"/>
      <c r="F398" s="180"/>
      <c r="G398" s="180"/>
      <c r="H398" s="180"/>
      <c r="I398" s="180"/>
      <c r="J398" s="180"/>
      <c r="K398" s="180"/>
      <c r="L398" s="180"/>
      <c r="M398" s="181"/>
      <c r="N398" s="163" t="str">
        <f t="shared" si="29"/>
        <v/>
      </c>
      <c r="O398" s="126" t="str">
        <f t="shared" si="30"/>
        <v>-</v>
      </c>
      <c r="P398" s="164"/>
      <c r="Q398" s="164"/>
      <c r="R398" s="164"/>
      <c r="S398" s="164"/>
      <c r="T398" s="164"/>
      <c r="U398" s="164"/>
      <c r="V398" s="164"/>
    </row>
    <row r="399" spans="1:22" ht="27" customHeight="1">
      <c r="A399" s="192" t="str">
        <f>IF(ISBLANK(C399)," ",394-COUNTBLANK($C$6:C399))</f>
        <v xml:space="preserve"> </v>
      </c>
      <c r="B399" s="178"/>
      <c r="C399" s="178"/>
      <c r="D399" s="193"/>
      <c r="E399" s="193"/>
      <c r="F399" s="180"/>
      <c r="G399" s="180"/>
      <c r="H399" s="180"/>
      <c r="I399" s="180"/>
      <c r="J399" s="180"/>
      <c r="K399" s="180"/>
      <c r="L399" s="180"/>
      <c r="M399" s="181"/>
      <c r="N399" s="163" t="str">
        <f t="shared" si="29"/>
        <v/>
      </c>
      <c r="O399" s="126" t="str">
        <f t="shared" si="30"/>
        <v>-</v>
      </c>
      <c r="P399" s="164"/>
      <c r="Q399" s="164"/>
      <c r="R399" s="164"/>
      <c r="S399" s="164"/>
      <c r="T399" s="164"/>
      <c r="U399" s="164"/>
      <c r="V399" s="165"/>
    </row>
    <row r="400" spans="1:22" ht="27" customHeight="1">
      <c r="A400" s="192" t="str">
        <f>IF(ISBLANK(C400)," ",395-COUNTBLANK($C$6:C400))</f>
        <v xml:space="preserve"> </v>
      </c>
      <c r="B400" s="178"/>
      <c r="C400" s="178"/>
      <c r="D400" s="193"/>
      <c r="E400" s="193"/>
      <c r="F400" s="180"/>
      <c r="G400" s="180"/>
      <c r="H400" s="180"/>
      <c r="I400" s="180"/>
      <c r="J400" s="180"/>
      <c r="K400" s="180"/>
      <c r="L400" s="180"/>
      <c r="M400" s="181"/>
      <c r="N400" s="163" t="str">
        <f t="shared" si="29"/>
        <v/>
      </c>
      <c r="O400" s="126" t="str">
        <f t="shared" si="30"/>
        <v>-</v>
      </c>
      <c r="P400" s="164"/>
      <c r="Q400" s="164"/>
      <c r="R400" s="164"/>
      <c r="S400" s="164"/>
      <c r="T400" s="164"/>
      <c r="U400" s="164"/>
      <c r="V400" s="165"/>
    </row>
    <row r="401" spans="1:25" ht="27" customHeight="1">
      <c r="A401" s="192" t="str">
        <f>IF(ISBLANK(C401)," ",396-COUNTBLANK($C$6:C401))</f>
        <v xml:space="preserve"> </v>
      </c>
      <c r="B401" s="178"/>
      <c r="C401" s="178"/>
      <c r="D401" s="193"/>
      <c r="E401" s="193"/>
      <c r="F401" s="180"/>
      <c r="G401" s="180"/>
      <c r="H401" s="180"/>
      <c r="I401" s="180"/>
      <c r="J401" s="180"/>
      <c r="K401" s="180"/>
      <c r="L401" s="180"/>
      <c r="M401" s="181"/>
      <c r="N401" s="163" t="str">
        <f t="shared" si="29"/>
        <v/>
      </c>
      <c r="O401" s="126" t="str">
        <f t="shared" si="30"/>
        <v>-</v>
      </c>
      <c r="P401" s="164"/>
      <c r="Q401" s="164"/>
      <c r="R401" s="164"/>
      <c r="S401" s="164"/>
      <c r="T401" s="164"/>
      <c r="U401" s="164"/>
      <c r="V401" s="165"/>
    </row>
    <row r="402" spans="1:25" ht="27" customHeight="1">
      <c r="A402" s="192" t="str">
        <f>IF(ISBLANK(C402)," ",397-COUNTBLANK($C$6:C402))</f>
        <v xml:space="preserve"> </v>
      </c>
      <c r="B402" s="178"/>
      <c r="C402" s="178"/>
      <c r="D402" s="193"/>
      <c r="E402" s="193"/>
      <c r="F402" s="180"/>
      <c r="G402" s="180"/>
      <c r="H402" s="180"/>
      <c r="I402" s="180"/>
      <c r="J402" s="180"/>
      <c r="K402" s="180"/>
      <c r="L402" s="180"/>
      <c r="M402" s="181"/>
      <c r="N402" s="163" t="str">
        <f t="shared" si="29"/>
        <v/>
      </c>
      <c r="O402" s="126" t="str">
        <f t="shared" si="30"/>
        <v>-</v>
      </c>
      <c r="P402" s="164"/>
      <c r="Q402" s="164"/>
      <c r="R402" s="164"/>
      <c r="S402" s="164"/>
      <c r="T402" s="164"/>
      <c r="U402" s="164"/>
      <c r="V402" s="165"/>
    </row>
    <row r="403" spans="1:25" ht="27" customHeight="1">
      <c r="A403" s="192" t="str">
        <f>IF(ISBLANK(C403)," ",398-COUNTBLANK($C$6:C403))</f>
        <v xml:space="preserve"> </v>
      </c>
      <c r="B403" s="178"/>
      <c r="C403" s="178"/>
      <c r="D403" s="193"/>
      <c r="E403" s="193"/>
      <c r="F403" s="180"/>
      <c r="G403" s="180"/>
      <c r="H403" s="180"/>
      <c r="I403" s="180"/>
      <c r="J403" s="180"/>
      <c r="K403" s="180"/>
      <c r="L403" s="180"/>
      <c r="M403" s="181"/>
      <c r="N403" s="163" t="str">
        <f t="shared" si="29"/>
        <v/>
      </c>
      <c r="O403" s="126" t="str">
        <f t="shared" si="30"/>
        <v>-</v>
      </c>
      <c r="P403" s="164"/>
      <c r="Q403" s="164"/>
      <c r="R403" s="164"/>
      <c r="S403" s="164"/>
      <c r="T403" s="164"/>
      <c r="U403" s="164"/>
      <c r="V403" s="166"/>
      <c r="W403" s="164"/>
      <c r="X403" s="164"/>
      <c r="Y403" s="164"/>
    </row>
    <row r="404" spans="1:25" ht="27" customHeight="1">
      <c r="A404" s="172" t="s">
        <v>44</v>
      </c>
      <c r="B404" s="173"/>
      <c r="C404" s="174"/>
      <c r="D404" s="194"/>
      <c r="E404" s="194">
        <f>SUM(E384:E403)</f>
        <v>0</v>
      </c>
      <c r="F404" s="176"/>
      <c r="G404" s="176"/>
      <c r="H404" s="176"/>
      <c r="I404" s="176"/>
      <c r="J404" s="176"/>
      <c r="K404" s="176"/>
      <c r="L404" s="176"/>
      <c r="M404" s="177"/>
      <c r="N404" s="163" t="str">
        <f t="shared" si="29"/>
        <v/>
      </c>
      <c r="O404" s="126"/>
      <c r="P404" s="164"/>
      <c r="Q404" s="164"/>
      <c r="R404" s="164"/>
      <c r="S404" s="164"/>
      <c r="T404" s="164"/>
      <c r="U404" s="164"/>
      <c r="V404" s="166"/>
      <c r="W404" s="164"/>
      <c r="X404" s="164"/>
      <c r="Y404" s="164"/>
    </row>
    <row r="405" spans="1:25" ht="27" customHeight="1">
      <c r="A405" s="187" t="str">
        <f>IF(ISBLANK(C405)," ",400-COUNTBLANK($C$6:C405))</f>
        <v xml:space="preserve"> </v>
      </c>
      <c r="B405" s="188"/>
      <c r="C405" s="188"/>
      <c r="D405" s="189"/>
      <c r="E405" s="189"/>
      <c r="F405" s="190"/>
      <c r="G405" s="190"/>
      <c r="H405" s="190"/>
      <c r="I405" s="190"/>
      <c r="J405" s="190"/>
      <c r="K405" s="190"/>
      <c r="L405" s="190"/>
      <c r="M405" s="191"/>
      <c r="N405" s="163" t="str">
        <f>CONCATENATE(C405,H405)</f>
        <v/>
      </c>
      <c r="O405" s="126" t="str">
        <f>IF(D405&gt;=E405,"-","ERR")</f>
        <v>-</v>
      </c>
      <c r="P405" s="164"/>
      <c r="Q405" s="164"/>
      <c r="R405" s="164"/>
      <c r="S405" s="164"/>
      <c r="T405" s="164"/>
      <c r="U405" s="164"/>
      <c r="V405" s="164"/>
    </row>
    <row r="406" spans="1:25" ht="27" customHeight="1">
      <c r="A406" s="192" t="str">
        <f>IF(ISBLANK(C406)," ",401-COUNTBLANK($C$6:C406))</f>
        <v xml:space="preserve"> </v>
      </c>
      <c r="B406" s="178"/>
      <c r="C406" s="178"/>
      <c r="D406" s="193"/>
      <c r="E406" s="193"/>
      <c r="F406" s="180"/>
      <c r="G406" s="180"/>
      <c r="H406" s="180"/>
      <c r="I406" s="180"/>
      <c r="J406" s="180"/>
      <c r="K406" s="180"/>
      <c r="L406" s="180"/>
      <c r="M406" s="181"/>
      <c r="N406" s="163" t="str">
        <f t="shared" ref="N406:N425" si="31">CONCATENATE(C406,H406)</f>
        <v/>
      </c>
      <c r="O406" s="126" t="str">
        <f t="shared" ref="O406:O424" si="32">IF(D406&gt;=E406,"-","ERR")</f>
        <v>-</v>
      </c>
      <c r="P406" s="164"/>
      <c r="Q406" s="164"/>
      <c r="R406" s="164"/>
      <c r="S406" s="164"/>
      <c r="T406" s="164"/>
      <c r="U406" s="164"/>
      <c r="V406" s="164"/>
    </row>
    <row r="407" spans="1:25" ht="27" customHeight="1">
      <c r="A407" s="192" t="str">
        <f>IF(ISBLANK(C407)," ",402-COUNTBLANK($C$6:C407))</f>
        <v xml:space="preserve"> </v>
      </c>
      <c r="B407" s="178"/>
      <c r="C407" s="178"/>
      <c r="D407" s="193"/>
      <c r="E407" s="193"/>
      <c r="F407" s="180"/>
      <c r="G407" s="180"/>
      <c r="H407" s="180"/>
      <c r="I407" s="180"/>
      <c r="J407" s="180"/>
      <c r="K407" s="180"/>
      <c r="L407" s="180"/>
      <c r="M407" s="181"/>
      <c r="N407" s="163" t="str">
        <f t="shared" si="31"/>
        <v/>
      </c>
      <c r="O407" s="126" t="str">
        <f t="shared" si="32"/>
        <v>-</v>
      </c>
      <c r="P407" s="164"/>
      <c r="Q407" s="164"/>
      <c r="R407" s="164"/>
      <c r="S407" s="164"/>
      <c r="T407" s="164"/>
      <c r="U407" s="164"/>
      <c r="V407" s="164"/>
    </row>
    <row r="408" spans="1:25" ht="27" customHeight="1">
      <c r="A408" s="192" t="str">
        <f>IF(ISBLANK(C408)," ",403-COUNTBLANK($C$6:C408))</f>
        <v xml:space="preserve"> </v>
      </c>
      <c r="B408" s="178"/>
      <c r="C408" s="178"/>
      <c r="D408" s="193"/>
      <c r="E408" s="193"/>
      <c r="F408" s="180"/>
      <c r="G408" s="180"/>
      <c r="H408" s="180"/>
      <c r="I408" s="180"/>
      <c r="J408" s="180"/>
      <c r="K408" s="180"/>
      <c r="L408" s="180"/>
      <c r="M408" s="181"/>
      <c r="N408" s="163" t="str">
        <f t="shared" si="31"/>
        <v/>
      </c>
      <c r="O408" s="126" t="str">
        <f t="shared" si="32"/>
        <v>-</v>
      </c>
      <c r="P408" s="164"/>
      <c r="Q408" s="164"/>
      <c r="R408" s="164"/>
      <c r="S408" s="164"/>
      <c r="T408" s="164"/>
      <c r="U408" s="164"/>
      <c r="V408" s="164"/>
    </row>
    <row r="409" spans="1:25" ht="27" customHeight="1">
      <c r="A409" s="192" t="str">
        <f>IF(ISBLANK(C409)," ",404-COUNTBLANK($C$6:C409))</f>
        <v xml:space="preserve"> </v>
      </c>
      <c r="B409" s="178"/>
      <c r="C409" s="178"/>
      <c r="D409" s="193"/>
      <c r="E409" s="193"/>
      <c r="F409" s="180"/>
      <c r="G409" s="180"/>
      <c r="H409" s="180"/>
      <c r="I409" s="180"/>
      <c r="J409" s="180"/>
      <c r="K409" s="180"/>
      <c r="L409" s="180"/>
      <c r="M409" s="181"/>
      <c r="N409" s="163" t="str">
        <f t="shared" si="31"/>
        <v/>
      </c>
      <c r="O409" s="126" t="str">
        <f t="shared" si="32"/>
        <v>-</v>
      </c>
      <c r="P409" s="164"/>
      <c r="Q409" s="164"/>
      <c r="R409" s="164"/>
      <c r="S409" s="164"/>
      <c r="T409" s="164"/>
      <c r="U409" s="164"/>
      <c r="V409" s="164"/>
    </row>
    <row r="410" spans="1:25" ht="27" customHeight="1">
      <c r="A410" s="192" t="str">
        <f>IF(ISBLANK(C410)," ",405-COUNTBLANK($C$6:C410))</f>
        <v xml:space="preserve"> </v>
      </c>
      <c r="B410" s="178"/>
      <c r="C410" s="178"/>
      <c r="D410" s="193"/>
      <c r="E410" s="193"/>
      <c r="F410" s="180"/>
      <c r="G410" s="180"/>
      <c r="H410" s="180"/>
      <c r="I410" s="180"/>
      <c r="J410" s="180"/>
      <c r="K410" s="180"/>
      <c r="L410" s="180"/>
      <c r="M410" s="181"/>
      <c r="N410" s="163" t="str">
        <f t="shared" si="31"/>
        <v/>
      </c>
      <c r="O410" s="126" t="str">
        <f t="shared" si="32"/>
        <v>-</v>
      </c>
      <c r="P410" s="164"/>
      <c r="Q410" s="164"/>
      <c r="R410" s="164"/>
      <c r="S410" s="164"/>
      <c r="T410" s="164"/>
      <c r="U410" s="164"/>
      <c r="V410" s="164"/>
    </row>
    <row r="411" spans="1:25" ht="27" customHeight="1">
      <c r="A411" s="192" t="str">
        <f>IF(ISBLANK(C411)," ",406-COUNTBLANK($C$6:C411))</f>
        <v xml:space="preserve"> </v>
      </c>
      <c r="B411" s="178"/>
      <c r="C411" s="178"/>
      <c r="D411" s="193"/>
      <c r="E411" s="193"/>
      <c r="F411" s="180"/>
      <c r="G411" s="180"/>
      <c r="H411" s="180"/>
      <c r="I411" s="180"/>
      <c r="J411" s="180"/>
      <c r="K411" s="180"/>
      <c r="L411" s="180"/>
      <c r="M411" s="181"/>
      <c r="N411" s="163" t="str">
        <f t="shared" si="31"/>
        <v/>
      </c>
      <c r="O411" s="126" t="str">
        <f t="shared" si="32"/>
        <v>-</v>
      </c>
      <c r="P411" s="164"/>
      <c r="Q411" s="164"/>
      <c r="R411" s="164"/>
      <c r="S411" s="164"/>
      <c r="T411" s="164"/>
      <c r="U411" s="164"/>
      <c r="V411" s="164"/>
    </row>
    <row r="412" spans="1:25" ht="27" customHeight="1">
      <c r="A412" s="192" t="str">
        <f>IF(ISBLANK(C412)," ",407-COUNTBLANK($C$6:C412))</f>
        <v xml:space="preserve"> </v>
      </c>
      <c r="B412" s="178"/>
      <c r="C412" s="178"/>
      <c r="D412" s="193"/>
      <c r="E412" s="193"/>
      <c r="F412" s="180"/>
      <c r="G412" s="180"/>
      <c r="H412" s="180"/>
      <c r="I412" s="180"/>
      <c r="J412" s="180"/>
      <c r="K412" s="180"/>
      <c r="L412" s="180"/>
      <c r="M412" s="181"/>
      <c r="N412" s="163" t="str">
        <f t="shared" si="31"/>
        <v/>
      </c>
      <c r="O412" s="126" t="str">
        <f t="shared" si="32"/>
        <v>-</v>
      </c>
      <c r="P412" s="164"/>
      <c r="Q412" s="164"/>
      <c r="R412" s="164"/>
      <c r="S412" s="164"/>
      <c r="T412" s="164"/>
      <c r="U412" s="164"/>
      <c r="V412" s="164"/>
    </row>
    <row r="413" spans="1:25" ht="27" customHeight="1">
      <c r="A413" s="192" t="str">
        <f>IF(ISBLANK(C413)," ",408-COUNTBLANK($C$6:C413))</f>
        <v xml:space="preserve"> </v>
      </c>
      <c r="B413" s="178"/>
      <c r="C413" s="178"/>
      <c r="D413" s="193"/>
      <c r="E413" s="193"/>
      <c r="F413" s="180"/>
      <c r="G413" s="180"/>
      <c r="H413" s="180"/>
      <c r="I413" s="180"/>
      <c r="J413" s="180"/>
      <c r="K413" s="180"/>
      <c r="L413" s="180"/>
      <c r="M413" s="181"/>
      <c r="N413" s="163" t="str">
        <f t="shared" si="31"/>
        <v/>
      </c>
      <c r="O413" s="126" t="str">
        <f t="shared" si="32"/>
        <v>-</v>
      </c>
      <c r="P413" s="164"/>
      <c r="Q413" s="164"/>
      <c r="R413" s="164"/>
      <c r="S413" s="164"/>
      <c r="T413" s="164"/>
      <c r="U413" s="164"/>
      <c r="V413" s="164"/>
    </row>
    <row r="414" spans="1:25" ht="27" customHeight="1">
      <c r="A414" s="192" t="str">
        <f>IF(ISBLANK(C414)," ",409-COUNTBLANK($C$6:C414))</f>
        <v xml:space="preserve"> </v>
      </c>
      <c r="B414" s="178"/>
      <c r="C414" s="178"/>
      <c r="D414" s="193"/>
      <c r="E414" s="193"/>
      <c r="F414" s="180"/>
      <c r="G414" s="180"/>
      <c r="H414" s="180"/>
      <c r="I414" s="180"/>
      <c r="J414" s="180"/>
      <c r="K414" s="180"/>
      <c r="L414" s="180"/>
      <c r="M414" s="181"/>
      <c r="N414" s="163" t="str">
        <f t="shared" si="31"/>
        <v/>
      </c>
      <c r="O414" s="126" t="str">
        <f t="shared" si="32"/>
        <v>-</v>
      </c>
      <c r="P414" s="164"/>
      <c r="Q414" s="164"/>
      <c r="R414" s="164"/>
      <c r="S414" s="164"/>
      <c r="T414" s="164"/>
      <c r="U414" s="164"/>
      <c r="V414" s="164"/>
    </row>
    <row r="415" spans="1:25" ht="27" customHeight="1">
      <c r="A415" s="192" t="str">
        <f>IF(ISBLANK(C415)," ",410-COUNTBLANK($C$6:C415))</f>
        <v xml:space="preserve"> </v>
      </c>
      <c r="B415" s="178"/>
      <c r="C415" s="178"/>
      <c r="D415" s="193"/>
      <c r="E415" s="193"/>
      <c r="F415" s="180"/>
      <c r="G415" s="180"/>
      <c r="H415" s="180"/>
      <c r="I415" s="180"/>
      <c r="J415" s="180"/>
      <c r="K415" s="180"/>
      <c r="L415" s="180"/>
      <c r="M415" s="181"/>
      <c r="N415" s="163" t="str">
        <f t="shared" si="31"/>
        <v/>
      </c>
      <c r="O415" s="126" t="str">
        <f t="shared" si="32"/>
        <v>-</v>
      </c>
      <c r="P415" s="164"/>
      <c r="Q415" s="164"/>
      <c r="R415" s="164"/>
      <c r="S415" s="164"/>
      <c r="T415" s="164"/>
      <c r="U415" s="164"/>
      <c r="V415" s="164"/>
    </row>
    <row r="416" spans="1:25" ht="27" customHeight="1">
      <c r="A416" s="192" t="str">
        <f>IF(ISBLANK(C416)," ",411-COUNTBLANK($C$6:C416))</f>
        <v xml:space="preserve"> </v>
      </c>
      <c r="B416" s="178"/>
      <c r="C416" s="178"/>
      <c r="D416" s="193"/>
      <c r="E416" s="193"/>
      <c r="F416" s="180"/>
      <c r="G416" s="180"/>
      <c r="H416" s="180"/>
      <c r="I416" s="180"/>
      <c r="J416" s="180"/>
      <c r="K416" s="180"/>
      <c r="L416" s="180"/>
      <c r="M416" s="181"/>
      <c r="N416" s="163" t="str">
        <f t="shared" si="31"/>
        <v/>
      </c>
      <c r="O416" s="126" t="str">
        <f t="shared" si="32"/>
        <v>-</v>
      </c>
      <c r="P416" s="164"/>
      <c r="Q416" s="164"/>
      <c r="R416" s="164"/>
      <c r="S416" s="164"/>
      <c r="T416" s="164"/>
      <c r="U416" s="164"/>
      <c r="V416" s="164"/>
    </row>
    <row r="417" spans="1:25" ht="27" customHeight="1">
      <c r="A417" s="192" t="str">
        <f>IF(ISBLANK(C417)," ",412-COUNTBLANK($C$6:C417))</f>
        <v xml:space="preserve"> </v>
      </c>
      <c r="B417" s="178"/>
      <c r="C417" s="178"/>
      <c r="D417" s="193"/>
      <c r="E417" s="193"/>
      <c r="F417" s="180"/>
      <c r="G417" s="180"/>
      <c r="H417" s="180"/>
      <c r="I417" s="180"/>
      <c r="J417" s="180"/>
      <c r="K417" s="180"/>
      <c r="L417" s="180"/>
      <c r="M417" s="181"/>
      <c r="N417" s="163" t="str">
        <f t="shared" si="31"/>
        <v/>
      </c>
      <c r="O417" s="126" t="str">
        <f t="shared" si="32"/>
        <v>-</v>
      </c>
      <c r="P417" s="164"/>
      <c r="Q417" s="164"/>
      <c r="R417" s="164"/>
      <c r="S417" s="164"/>
      <c r="T417" s="164"/>
      <c r="U417" s="164"/>
      <c r="V417" s="164"/>
    </row>
    <row r="418" spans="1:25" ht="27" customHeight="1">
      <c r="A418" s="192" t="str">
        <f>IF(ISBLANK(C418)," ",413-COUNTBLANK($C$6:C418))</f>
        <v xml:space="preserve"> </v>
      </c>
      <c r="B418" s="178"/>
      <c r="C418" s="178"/>
      <c r="D418" s="193"/>
      <c r="E418" s="193"/>
      <c r="F418" s="180"/>
      <c r="G418" s="180"/>
      <c r="H418" s="180"/>
      <c r="I418" s="180"/>
      <c r="J418" s="180"/>
      <c r="K418" s="180"/>
      <c r="L418" s="180"/>
      <c r="M418" s="181"/>
      <c r="N418" s="163" t="str">
        <f t="shared" si="31"/>
        <v/>
      </c>
      <c r="O418" s="126" t="str">
        <f t="shared" si="32"/>
        <v>-</v>
      </c>
      <c r="P418" s="164"/>
      <c r="Q418" s="164"/>
      <c r="R418" s="164"/>
      <c r="S418" s="164"/>
      <c r="T418" s="164"/>
      <c r="U418" s="164"/>
      <c r="V418" s="164"/>
    </row>
    <row r="419" spans="1:25" ht="27" customHeight="1">
      <c r="A419" s="192" t="str">
        <f>IF(ISBLANK(C419)," ",414-COUNTBLANK($C$6:C419))</f>
        <v xml:space="preserve"> </v>
      </c>
      <c r="B419" s="178"/>
      <c r="C419" s="178"/>
      <c r="D419" s="193"/>
      <c r="E419" s="193"/>
      <c r="F419" s="180"/>
      <c r="G419" s="180"/>
      <c r="H419" s="180"/>
      <c r="I419" s="180"/>
      <c r="J419" s="180"/>
      <c r="K419" s="180"/>
      <c r="L419" s="180"/>
      <c r="M419" s="181"/>
      <c r="N419" s="163" t="str">
        <f t="shared" si="31"/>
        <v/>
      </c>
      <c r="O419" s="126" t="str">
        <f t="shared" si="32"/>
        <v>-</v>
      </c>
      <c r="P419" s="164"/>
      <c r="Q419" s="164"/>
      <c r="R419" s="164"/>
      <c r="S419" s="164"/>
      <c r="T419" s="164"/>
      <c r="U419" s="164"/>
      <c r="V419" s="164"/>
    </row>
    <row r="420" spans="1:25" ht="27" customHeight="1">
      <c r="A420" s="192" t="str">
        <f>IF(ISBLANK(C420)," ",415-COUNTBLANK($C$6:C420))</f>
        <v xml:space="preserve"> </v>
      </c>
      <c r="B420" s="178"/>
      <c r="C420" s="178"/>
      <c r="D420" s="193"/>
      <c r="E420" s="193"/>
      <c r="F420" s="180"/>
      <c r="G420" s="180"/>
      <c r="H420" s="180"/>
      <c r="I420" s="180"/>
      <c r="J420" s="180"/>
      <c r="K420" s="180"/>
      <c r="L420" s="180"/>
      <c r="M420" s="181"/>
      <c r="N420" s="163" t="str">
        <f t="shared" si="31"/>
        <v/>
      </c>
      <c r="O420" s="126" t="str">
        <f t="shared" si="32"/>
        <v>-</v>
      </c>
      <c r="P420" s="164"/>
      <c r="Q420" s="164"/>
      <c r="R420" s="164"/>
      <c r="S420" s="164"/>
      <c r="T420" s="164"/>
      <c r="U420" s="164"/>
      <c r="V420" s="165"/>
    </row>
    <row r="421" spans="1:25" ht="27" customHeight="1">
      <c r="A421" s="192" t="str">
        <f>IF(ISBLANK(C421)," ",416-COUNTBLANK($C$6:C421))</f>
        <v xml:space="preserve"> </v>
      </c>
      <c r="B421" s="178"/>
      <c r="C421" s="178"/>
      <c r="D421" s="193"/>
      <c r="E421" s="193"/>
      <c r="F421" s="180"/>
      <c r="G421" s="180"/>
      <c r="H421" s="180"/>
      <c r="I421" s="180"/>
      <c r="J421" s="180"/>
      <c r="K421" s="180"/>
      <c r="L421" s="180"/>
      <c r="M421" s="181"/>
      <c r="N421" s="163" t="str">
        <f t="shared" si="31"/>
        <v/>
      </c>
      <c r="O421" s="126" t="str">
        <f t="shared" si="32"/>
        <v>-</v>
      </c>
      <c r="P421" s="164"/>
      <c r="Q421" s="164"/>
      <c r="R421" s="164"/>
      <c r="S421" s="164"/>
      <c r="T421" s="164"/>
      <c r="U421" s="164"/>
      <c r="V421" s="165"/>
    </row>
    <row r="422" spans="1:25" ht="27" customHeight="1">
      <c r="A422" s="192" t="str">
        <f>IF(ISBLANK(C422)," ",417-COUNTBLANK($C$6:C422))</f>
        <v xml:space="preserve"> </v>
      </c>
      <c r="B422" s="178"/>
      <c r="C422" s="178"/>
      <c r="D422" s="193"/>
      <c r="E422" s="193"/>
      <c r="F422" s="180"/>
      <c r="G422" s="180"/>
      <c r="H422" s="180"/>
      <c r="I422" s="180"/>
      <c r="J422" s="180"/>
      <c r="K422" s="180"/>
      <c r="L422" s="180"/>
      <c r="M422" s="181"/>
      <c r="N422" s="163" t="str">
        <f t="shared" si="31"/>
        <v/>
      </c>
      <c r="O422" s="126" t="str">
        <f t="shared" si="32"/>
        <v>-</v>
      </c>
      <c r="P422" s="164"/>
      <c r="Q422" s="164"/>
      <c r="R422" s="164"/>
      <c r="S422" s="164"/>
      <c r="T422" s="164"/>
      <c r="U422" s="164"/>
      <c r="V422" s="165"/>
    </row>
    <row r="423" spans="1:25" ht="27" customHeight="1">
      <c r="A423" s="192" t="str">
        <f>IF(ISBLANK(C423)," ",418-COUNTBLANK($C$6:C423))</f>
        <v xml:space="preserve"> </v>
      </c>
      <c r="B423" s="178"/>
      <c r="C423" s="178"/>
      <c r="D423" s="193"/>
      <c r="E423" s="193"/>
      <c r="F423" s="180"/>
      <c r="G423" s="180"/>
      <c r="H423" s="180"/>
      <c r="I423" s="180"/>
      <c r="J423" s="180"/>
      <c r="K423" s="180"/>
      <c r="L423" s="180"/>
      <c r="M423" s="181"/>
      <c r="N423" s="163" t="str">
        <f t="shared" si="31"/>
        <v/>
      </c>
      <c r="O423" s="126" t="str">
        <f t="shared" si="32"/>
        <v>-</v>
      </c>
      <c r="P423" s="164"/>
      <c r="Q423" s="164"/>
      <c r="R423" s="164"/>
      <c r="S423" s="164"/>
      <c r="T423" s="164"/>
      <c r="U423" s="164"/>
      <c r="V423" s="165"/>
    </row>
    <row r="424" spans="1:25" ht="27" customHeight="1">
      <c r="A424" s="192" t="str">
        <f>IF(ISBLANK(C424)," ",419-COUNTBLANK($C$6:C424))</f>
        <v xml:space="preserve"> </v>
      </c>
      <c r="B424" s="178"/>
      <c r="C424" s="178"/>
      <c r="D424" s="193"/>
      <c r="E424" s="193"/>
      <c r="F424" s="180"/>
      <c r="G424" s="180"/>
      <c r="H424" s="180"/>
      <c r="I424" s="180"/>
      <c r="J424" s="180"/>
      <c r="K424" s="180"/>
      <c r="L424" s="180"/>
      <c r="M424" s="181"/>
      <c r="N424" s="163" t="str">
        <f t="shared" si="31"/>
        <v/>
      </c>
      <c r="O424" s="126" t="str">
        <f t="shared" si="32"/>
        <v>-</v>
      </c>
      <c r="P424" s="164"/>
      <c r="Q424" s="164"/>
      <c r="R424" s="164"/>
      <c r="S424" s="164"/>
      <c r="T424" s="164"/>
      <c r="U424" s="164"/>
      <c r="V424" s="166"/>
      <c r="W424" s="164"/>
      <c r="X424" s="164"/>
      <c r="Y424" s="164"/>
    </row>
    <row r="425" spans="1:25" ht="27" customHeight="1">
      <c r="A425" s="172" t="s">
        <v>44</v>
      </c>
      <c r="B425" s="173"/>
      <c r="C425" s="174"/>
      <c r="D425" s="194"/>
      <c r="E425" s="194">
        <f>SUM(E405:E424)</f>
        <v>0</v>
      </c>
      <c r="F425" s="176"/>
      <c r="G425" s="176"/>
      <c r="H425" s="176"/>
      <c r="I425" s="176"/>
      <c r="J425" s="176"/>
      <c r="K425" s="176"/>
      <c r="L425" s="176"/>
      <c r="M425" s="177"/>
      <c r="N425" s="163" t="str">
        <f t="shared" si="31"/>
        <v/>
      </c>
      <c r="O425" s="126"/>
      <c r="P425" s="164"/>
      <c r="Q425" s="164"/>
      <c r="R425" s="164"/>
      <c r="S425" s="164"/>
      <c r="T425" s="164"/>
      <c r="U425" s="164"/>
      <c r="V425" s="166"/>
      <c r="W425" s="164"/>
      <c r="X425" s="164"/>
      <c r="Y425" s="164"/>
    </row>
    <row r="426" spans="1:25" ht="27" customHeight="1">
      <c r="A426" s="187" t="str">
        <f>IF(ISBLANK(C426)," ",421-COUNTBLANK($C$6:C426))</f>
        <v xml:space="preserve"> </v>
      </c>
      <c r="B426" s="188"/>
      <c r="C426" s="188"/>
      <c r="D426" s="189"/>
      <c r="E426" s="189"/>
      <c r="F426" s="190"/>
      <c r="G426" s="190"/>
      <c r="H426" s="190"/>
      <c r="I426" s="190"/>
      <c r="J426" s="190"/>
      <c r="K426" s="190"/>
      <c r="L426" s="190"/>
      <c r="M426" s="191"/>
      <c r="N426" s="163" t="str">
        <f>CONCATENATE(C426,H426)</f>
        <v/>
      </c>
      <c r="O426" s="126" t="str">
        <f>IF(D426&gt;=E426,"-","ERR")</f>
        <v>-</v>
      </c>
      <c r="P426" s="164"/>
      <c r="Q426" s="164"/>
      <c r="R426" s="164"/>
      <c r="S426" s="164"/>
      <c r="T426" s="164"/>
      <c r="U426" s="164"/>
      <c r="V426" s="164"/>
    </row>
    <row r="427" spans="1:25" ht="27" customHeight="1">
      <c r="A427" s="192" t="str">
        <f>IF(ISBLANK(C427)," ",422-COUNTBLANK($C$6:C427))</f>
        <v xml:space="preserve"> </v>
      </c>
      <c r="B427" s="178"/>
      <c r="C427" s="178"/>
      <c r="D427" s="193"/>
      <c r="E427" s="193"/>
      <c r="F427" s="180"/>
      <c r="G427" s="180"/>
      <c r="H427" s="180"/>
      <c r="I427" s="180"/>
      <c r="J427" s="180"/>
      <c r="K427" s="180"/>
      <c r="L427" s="180"/>
      <c r="M427" s="181"/>
      <c r="N427" s="163" t="str">
        <f t="shared" ref="N427:N446" si="33">CONCATENATE(C427,H427)</f>
        <v/>
      </c>
      <c r="O427" s="126" t="str">
        <f t="shared" ref="O427:O445" si="34">IF(D427&gt;=E427,"-","ERR")</f>
        <v>-</v>
      </c>
      <c r="P427" s="164"/>
      <c r="Q427" s="164"/>
      <c r="R427" s="164"/>
      <c r="S427" s="164"/>
      <c r="T427" s="164"/>
      <c r="U427" s="164"/>
      <c r="V427" s="164"/>
    </row>
    <row r="428" spans="1:25" ht="27" customHeight="1">
      <c r="A428" s="192" t="str">
        <f>IF(ISBLANK(C428)," ",423-COUNTBLANK($C$6:C428))</f>
        <v xml:space="preserve"> </v>
      </c>
      <c r="B428" s="178"/>
      <c r="C428" s="178"/>
      <c r="D428" s="193"/>
      <c r="E428" s="193"/>
      <c r="F428" s="180"/>
      <c r="G428" s="180"/>
      <c r="H428" s="180"/>
      <c r="I428" s="180"/>
      <c r="J428" s="180"/>
      <c r="K428" s="180"/>
      <c r="L428" s="180"/>
      <c r="M428" s="181"/>
      <c r="N428" s="163" t="str">
        <f t="shared" si="33"/>
        <v/>
      </c>
      <c r="O428" s="126" t="str">
        <f t="shared" si="34"/>
        <v>-</v>
      </c>
      <c r="P428" s="164"/>
      <c r="Q428" s="164"/>
      <c r="R428" s="164"/>
      <c r="S428" s="164"/>
      <c r="T428" s="164"/>
      <c r="U428" s="164"/>
      <c r="V428" s="164"/>
    </row>
    <row r="429" spans="1:25" ht="27" customHeight="1">
      <c r="A429" s="192" t="str">
        <f>IF(ISBLANK(C429)," ",424-COUNTBLANK($C$6:C429))</f>
        <v xml:space="preserve"> </v>
      </c>
      <c r="B429" s="178"/>
      <c r="C429" s="178"/>
      <c r="D429" s="193"/>
      <c r="E429" s="193"/>
      <c r="F429" s="180"/>
      <c r="G429" s="180"/>
      <c r="H429" s="180"/>
      <c r="I429" s="180"/>
      <c r="J429" s="180"/>
      <c r="K429" s="180"/>
      <c r="L429" s="180"/>
      <c r="M429" s="181"/>
      <c r="N429" s="163" t="str">
        <f t="shared" si="33"/>
        <v/>
      </c>
      <c r="O429" s="126" t="str">
        <f t="shared" si="34"/>
        <v>-</v>
      </c>
      <c r="P429" s="164"/>
      <c r="Q429" s="164"/>
      <c r="R429" s="164"/>
      <c r="S429" s="164"/>
      <c r="T429" s="164"/>
      <c r="U429" s="164"/>
      <c r="V429" s="164"/>
    </row>
    <row r="430" spans="1:25" ht="27" customHeight="1">
      <c r="A430" s="192" t="str">
        <f>IF(ISBLANK(C430)," ",425-COUNTBLANK($C$6:C430))</f>
        <v xml:space="preserve"> </v>
      </c>
      <c r="B430" s="178"/>
      <c r="C430" s="178"/>
      <c r="D430" s="193"/>
      <c r="E430" s="193"/>
      <c r="F430" s="180"/>
      <c r="G430" s="180"/>
      <c r="H430" s="180"/>
      <c r="I430" s="180"/>
      <c r="J430" s="180"/>
      <c r="K430" s="180"/>
      <c r="L430" s="180"/>
      <c r="M430" s="181"/>
      <c r="N430" s="163" t="str">
        <f t="shared" si="33"/>
        <v/>
      </c>
      <c r="O430" s="126" t="str">
        <f t="shared" si="34"/>
        <v>-</v>
      </c>
      <c r="P430" s="164"/>
      <c r="Q430" s="164"/>
      <c r="R430" s="164"/>
      <c r="S430" s="164"/>
      <c r="T430" s="164"/>
      <c r="U430" s="164"/>
      <c r="V430" s="164"/>
    </row>
    <row r="431" spans="1:25" ht="27" customHeight="1">
      <c r="A431" s="192" t="str">
        <f>IF(ISBLANK(C431)," ",426-COUNTBLANK($C$6:C431))</f>
        <v xml:space="preserve"> </v>
      </c>
      <c r="B431" s="178"/>
      <c r="C431" s="178"/>
      <c r="D431" s="193"/>
      <c r="E431" s="193"/>
      <c r="F431" s="180"/>
      <c r="G431" s="180"/>
      <c r="H431" s="180"/>
      <c r="I431" s="180"/>
      <c r="J431" s="180"/>
      <c r="K431" s="180"/>
      <c r="L431" s="180"/>
      <c r="M431" s="181"/>
      <c r="N431" s="163" t="str">
        <f t="shared" si="33"/>
        <v/>
      </c>
      <c r="O431" s="126" t="str">
        <f t="shared" si="34"/>
        <v>-</v>
      </c>
      <c r="P431" s="164"/>
      <c r="Q431" s="164"/>
      <c r="R431" s="164"/>
      <c r="S431" s="164"/>
      <c r="T431" s="164"/>
      <c r="U431" s="164"/>
      <c r="V431" s="164"/>
    </row>
    <row r="432" spans="1:25" ht="27" customHeight="1">
      <c r="A432" s="192" t="str">
        <f>IF(ISBLANK(C432)," ",427-COUNTBLANK($C$6:C432))</f>
        <v xml:space="preserve"> </v>
      </c>
      <c r="B432" s="178"/>
      <c r="C432" s="178"/>
      <c r="D432" s="193"/>
      <c r="E432" s="193"/>
      <c r="F432" s="180"/>
      <c r="G432" s="180"/>
      <c r="H432" s="180"/>
      <c r="I432" s="180"/>
      <c r="J432" s="180"/>
      <c r="K432" s="180"/>
      <c r="L432" s="180"/>
      <c r="M432" s="181"/>
      <c r="N432" s="163" t="str">
        <f t="shared" si="33"/>
        <v/>
      </c>
      <c r="O432" s="126" t="str">
        <f t="shared" si="34"/>
        <v>-</v>
      </c>
      <c r="P432" s="164"/>
      <c r="Q432" s="164"/>
      <c r="R432" s="164"/>
      <c r="S432" s="164"/>
      <c r="T432" s="164"/>
      <c r="U432" s="164"/>
      <c r="V432" s="164"/>
    </row>
    <row r="433" spans="1:25" ht="27" customHeight="1">
      <c r="A433" s="192" t="str">
        <f>IF(ISBLANK(C433)," ",428-COUNTBLANK($C$6:C433))</f>
        <v xml:space="preserve"> </v>
      </c>
      <c r="B433" s="178"/>
      <c r="C433" s="178"/>
      <c r="D433" s="193"/>
      <c r="E433" s="193"/>
      <c r="F433" s="180"/>
      <c r="G433" s="180"/>
      <c r="H433" s="180"/>
      <c r="I433" s="180"/>
      <c r="J433" s="180"/>
      <c r="K433" s="180"/>
      <c r="L433" s="180"/>
      <c r="M433" s="181"/>
      <c r="N433" s="163" t="str">
        <f t="shared" si="33"/>
        <v/>
      </c>
      <c r="O433" s="126" t="str">
        <f t="shared" si="34"/>
        <v>-</v>
      </c>
      <c r="P433" s="164"/>
      <c r="Q433" s="164"/>
      <c r="R433" s="164"/>
      <c r="S433" s="164"/>
      <c r="T433" s="164"/>
      <c r="U433" s="164"/>
      <c r="V433" s="164"/>
    </row>
    <row r="434" spans="1:25" ht="27" customHeight="1">
      <c r="A434" s="192" t="str">
        <f>IF(ISBLANK(C434)," ",429-COUNTBLANK($C$6:C434))</f>
        <v xml:space="preserve"> </v>
      </c>
      <c r="B434" s="178"/>
      <c r="C434" s="178"/>
      <c r="D434" s="193"/>
      <c r="E434" s="193"/>
      <c r="F434" s="180"/>
      <c r="G434" s="180"/>
      <c r="H434" s="180"/>
      <c r="I434" s="180"/>
      <c r="J434" s="180"/>
      <c r="K434" s="180"/>
      <c r="L434" s="180"/>
      <c r="M434" s="181"/>
      <c r="N434" s="163" t="str">
        <f t="shared" si="33"/>
        <v/>
      </c>
      <c r="O434" s="126" t="str">
        <f t="shared" si="34"/>
        <v>-</v>
      </c>
      <c r="P434" s="164"/>
      <c r="Q434" s="164"/>
      <c r="R434" s="164"/>
      <c r="S434" s="164"/>
      <c r="T434" s="164"/>
      <c r="U434" s="164"/>
      <c r="V434" s="164"/>
    </row>
    <row r="435" spans="1:25" ht="27" customHeight="1">
      <c r="A435" s="192" t="str">
        <f>IF(ISBLANK(C435)," ",430-COUNTBLANK($C$6:C435))</f>
        <v xml:space="preserve"> </v>
      </c>
      <c r="B435" s="178"/>
      <c r="C435" s="178"/>
      <c r="D435" s="193"/>
      <c r="E435" s="193"/>
      <c r="F435" s="180"/>
      <c r="G435" s="180"/>
      <c r="H435" s="180"/>
      <c r="I435" s="180"/>
      <c r="J435" s="180"/>
      <c r="K435" s="180"/>
      <c r="L435" s="180"/>
      <c r="M435" s="181"/>
      <c r="N435" s="163" t="str">
        <f t="shared" si="33"/>
        <v/>
      </c>
      <c r="O435" s="126" t="str">
        <f t="shared" si="34"/>
        <v>-</v>
      </c>
      <c r="P435" s="164"/>
      <c r="Q435" s="164"/>
      <c r="R435" s="164"/>
      <c r="S435" s="164"/>
      <c r="T435" s="164"/>
      <c r="U435" s="164"/>
      <c r="V435" s="164"/>
    </row>
    <row r="436" spans="1:25" ht="27" customHeight="1">
      <c r="A436" s="192" t="str">
        <f>IF(ISBLANK(C436)," ",431-COUNTBLANK($C$6:C436))</f>
        <v xml:space="preserve"> </v>
      </c>
      <c r="B436" s="178"/>
      <c r="C436" s="178"/>
      <c r="D436" s="193"/>
      <c r="E436" s="193"/>
      <c r="F436" s="180"/>
      <c r="G436" s="180"/>
      <c r="H436" s="180"/>
      <c r="I436" s="180"/>
      <c r="J436" s="180"/>
      <c r="K436" s="180"/>
      <c r="L436" s="180"/>
      <c r="M436" s="181"/>
      <c r="N436" s="163" t="str">
        <f t="shared" si="33"/>
        <v/>
      </c>
      <c r="O436" s="126" t="str">
        <f t="shared" si="34"/>
        <v>-</v>
      </c>
      <c r="P436" s="164"/>
      <c r="Q436" s="164"/>
      <c r="R436" s="164"/>
      <c r="S436" s="164"/>
      <c r="T436" s="164"/>
      <c r="U436" s="164"/>
      <c r="V436" s="164"/>
    </row>
    <row r="437" spans="1:25" ht="27" customHeight="1">
      <c r="A437" s="192" t="str">
        <f>IF(ISBLANK(C437)," ",432-COUNTBLANK($C$6:C437))</f>
        <v xml:space="preserve"> </v>
      </c>
      <c r="B437" s="178"/>
      <c r="C437" s="178"/>
      <c r="D437" s="193"/>
      <c r="E437" s="193"/>
      <c r="F437" s="180"/>
      <c r="G437" s="180"/>
      <c r="H437" s="180"/>
      <c r="I437" s="180"/>
      <c r="J437" s="180"/>
      <c r="K437" s="180"/>
      <c r="L437" s="180"/>
      <c r="M437" s="181"/>
      <c r="N437" s="163" t="str">
        <f t="shared" si="33"/>
        <v/>
      </c>
      <c r="O437" s="126" t="str">
        <f t="shared" si="34"/>
        <v>-</v>
      </c>
      <c r="P437" s="164"/>
      <c r="Q437" s="164"/>
      <c r="R437" s="164"/>
      <c r="S437" s="164"/>
      <c r="T437" s="164"/>
      <c r="U437" s="164"/>
      <c r="V437" s="164"/>
    </row>
    <row r="438" spans="1:25" ht="27" customHeight="1">
      <c r="A438" s="192" t="str">
        <f>IF(ISBLANK(C438)," ",433-COUNTBLANK($C$6:C438))</f>
        <v xml:space="preserve"> </v>
      </c>
      <c r="B438" s="178"/>
      <c r="C438" s="178"/>
      <c r="D438" s="193"/>
      <c r="E438" s="193"/>
      <c r="F438" s="180"/>
      <c r="G438" s="180"/>
      <c r="H438" s="180"/>
      <c r="I438" s="180"/>
      <c r="J438" s="180"/>
      <c r="K438" s="180"/>
      <c r="L438" s="180"/>
      <c r="M438" s="181"/>
      <c r="N438" s="163" t="str">
        <f t="shared" si="33"/>
        <v/>
      </c>
      <c r="O438" s="126" t="str">
        <f t="shared" si="34"/>
        <v>-</v>
      </c>
      <c r="P438" s="164"/>
      <c r="Q438" s="164"/>
      <c r="R438" s="164"/>
      <c r="S438" s="164"/>
      <c r="T438" s="164"/>
      <c r="U438" s="164"/>
      <c r="V438" s="164"/>
    </row>
    <row r="439" spans="1:25" ht="27" customHeight="1">
      <c r="A439" s="192" t="str">
        <f>IF(ISBLANK(C439)," ",434-COUNTBLANK($C$6:C439))</f>
        <v xml:space="preserve"> </v>
      </c>
      <c r="B439" s="178"/>
      <c r="C439" s="178"/>
      <c r="D439" s="193"/>
      <c r="E439" s="193"/>
      <c r="F439" s="180"/>
      <c r="G439" s="180"/>
      <c r="H439" s="180"/>
      <c r="I439" s="180"/>
      <c r="J439" s="180"/>
      <c r="K439" s="180"/>
      <c r="L439" s="180"/>
      <c r="M439" s="181"/>
      <c r="N439" s="163" t="str">
        <f t="shared" si="33"/>
        <v/>
      </c>
      <c r="O439" s="126" t="str">
        <f t="shared" si="34"/>
        <v>-</v>
      </c>
      <c r="P439" s="164"/>
      <c r="Q439" s="164"/>
      <c r="R439" s="164"/>
      <c r="S439" s="164"/>
      <c r="T439" s="164"/>
      <c r="U439" s="164"/>
      <c r="V439" s="164"/>
    </row>
    <row r="440" spans="1:25" ht="27" customHeight="1">
      <c r="A440" s="192" t="str">
        <f>IF(ISBLANK(C440)," ",435-COUNTBLANK($C$6:C440))</f>
        <v xml:space="preserve"> </v>
      </c>
      <c r="B440" s="178"/>
      <c r="C440" s="178"/>
      <c r="D440" s="193"/>
      <c r="E440" s="193"/>
      <c r="F440" s="180"/>
      <c r="G440" s="180"/>
      <c r="H440" s="180"/>
      <c r="I440" s="180"/>
      <c r="J440" s="180"/>
      <c r="K440" s="180"/>
      <c r="L440" s="180"/>
      <c r="M440" s="181"/>
      <c r="N440" s="163" t="str">
        <f t="shared" si="33"/>
        <v/>
      </c>
      <c r="O440" s="126" t="str">
        <f t="shared" si="34"/>
        <v>-</v>
      </c>
      <c r="P440" s="164"/>
      <c r="Q440" s="164"/>
      <c r="R440" s="164"/>
      <c r="S440" s="164"/>
      <c r="T440" s="164"/>
      <c r="U440" s="164"/>
      <c r="V440" s="164"/>
    </row>
    <row r="441" spans="1:25" ht="27" customHeight="1">
      <c r="A441" s="192" t="str">
        <f>IF(ISBLANK(C441)," ",436-COUNTBLANK($C$6:C441))</f>
        <v xml:space="preserve"> </v>
      </c>
      <c r="B441" s="178"/>
      <c r="C441" s="178"/>
      <c r="D441" s="193"/>
      <c r="E441" s="193"/>
      <c r="F441" s="180"/>
      <c r="G441" s="180"/>
      <c r="H441" s="180"/>
      <c r="I441" s="180"/>
      <c r="J441" s="180"/>
      <c r="K441" s="180"/>
      <c r="L441" s="180"/>
      <c r="M441" s="181"/>
      <c r="N441" s="163" t="str">
        <f t="shared" si="33"/>
        <v/>
      </c>
      <c r="O441" s="126" t="str">
        <f t="shared" si="34"/>
        <v>-</v>
      </c>
      <c r="P441" s="164"/>
      <c r="Q441" s="164"/>
      <c r="R441" s="164"/>
      <c r="S441" s="164"/>
      <c r="T441" s="164"/>
      <c r="U441" s="164"/>
      <c r="V441" s="165"/>
    </row>
    <row r="442" spans="1:25" ht="27" customHeight="1">
      <c r="A442" s="192" t="str">
        <f>IF(ISBLANK(C442)," ",437-COUNTBLANK($C$6:C442))</f>
        <v xml:space="preserve"> </v>
      </c>
      <c r="B442" s="178"/>
      <c r="C442" s="178"/>
      <c r="D442" s="193"/>
      <c r="E442" s="193"/>
      <c r="F442" s="180"/>
      <c r="G442" s="180"/>
      <c r="H442" s="180"/>
      <c r="I442" s="180"/>
      <c r="J442" s="180"/>
      <c r="K442" s="180"/>
      <c r="L442" s="180"/>
      <c r="M442" s="181"/>
      <c r="N442" s="163" t="str">
        <f t="shared" si="33"/>
        <v/>
      </c>
      <c r="O442" s="126" t="str">
        <f t="shared" si="34"/>
        <v>-</v>
      </c>
      <c r="P442" s="164"/>
      <c r="Q442" s="164"/>
      <c r="R442" s="164"/>
      <c r="S442" s="164"/>
      <c r="T442" s="164"/>
      <c r="U442" s="164"/>
      <c r="V442" s="165"/>
    </row>
    <row r="443" spans="1:25" ht="27" customHeight="1">
      <c r="A443" s="192" t="str">
        <f>IF(ISBLANK(C443)," ",438-COUNTBLANK($C$6:C443))</f>
        <v xml:space="preserve"> </v>
      </c>
      <c r="B443" s="178"/>
      <c r="C443" s="178"/>
      <c r="D443" s="193"/>
      <c r="E443" s="193"/>
      <c r="F443" s="180"/>
      <c r="G443" s="180"/>
      <c r="H443" s="180"/>
      <c r="I443" s="180"/>
      <c r="J443" s="180"/>
      <c r="K443" s="180"/>
      <c r="L443" s="180"/>
      <c r="M443" s="181"/>
      <c r="N443" s="163" t="str">
        <f t="shared" si="33"/>
        <v/>
      </c>
      <c r="O443" s="126" t="str">
        <f t="shared" si="34"/>
        <v>-</v>
      </c>
      <c r="P443" s="164"/>
      <c r="Q443" s="164"/>
      <c r="R443" s="164"/>
      <c r="S443" s="164"/>
      <c r="T443" s="164"/>
      <c r="U443" s="164"/>
      <c r="V443" s="165"/>
    </row>
    <row r="444" spans="1:25" ht="27" customHeight="1">
      <c r="A444" s="192" t="str">
        <f>IF(ISBLANK(C444)," ",439-COUNTBLANK($C$6:C444))</f>
        <v xml:space="preserve"> </v>
      </c>
      <c r="B444" s="178"/>
      <c r="C444" s="178"/>
      <c r="D444" s="193"/>
      <c r="E444" s="193"/>
      <c r="F444" s="180"/>
      <c r="G444" s="180"/>
      <c r="H444" s="180"/>
      <c r="I444" s="180"/>
      <c r="J444" s="180"/>
      <c r="K444" s="180"/>
      <c r="L444" s="180"/>
      <c r="M444" s="181"/>
      <c r="N444" s="163" t="str">
        <f t="shared" si="33"/>
        <v/>
      </c>
      <c r="O444" s="126" t="str">
        <f t="shared" si="34"/>
        <v>-</v>
      </c>
      <c r="P444" s="164"/>
      <c r="Q444" s="164"/>
      <c r="R444" s="164"/>
      <c r="S444" s="164"/>
      <c r="T444" s="164"/>
      <c r="U444" s="164"/>
      <c r="V444" s="165"/>
    </row>
    <row r="445" spans="1:25" ht="27" customHeight="1">
      <c r="A445" s="192" t="str">
        <f>IF(ISBLANK(C445)," ",440-COUNTBLANK($C$6:C445))</f>
        <v xml:space="preserve"> </v>
      </c>
      <c r="B445" s="178"/>
      <c r="C445" s="178"/>
      <c r="D445" s="193"/>
      <c r="E445" s="193"/>
      <c r="F445" s="180"/>
      <c r="G445" s="180"/>
      <c r="H445" s="180"/>
      <c r="I445" s="180"/>
      <c r="J445" s="180"/>
      <c r="K445" s="180"/>
      <c r="L445" s="180"/>
      <c r="M445" s="181"/>
      <c r="N445" s="163" t="str">
        <f t="shared" si="33"/>
        <v/>
      </c>
      <c r="O445" s="126" t="str">
        <f t="shared" si="34"/>
        <v>-</v>
      </c>
      <c r="P445" s="164"/>
      <c r="Q445" s="164"/>
      <c r="R445" s="164"/>
      <c r="S445" s="164"/>
      <c r="T445" s="164"/>
      <c r="U445" s="164"/>
      <c r="V445" s="166"/>
      <c r="W445" s="164"/>
      <c r="X445" s="164"/>
      <c r="Y445" s="164"/>
    </row>
    <row r="446" spans="1:25" ht="27" customHeight="1">
      <c r="A446" s="172" t="s">
        <v>44</v>
      </c>
      <c r="B446" s="173"/>
      <c r="C446" s="174"/>
      <c r="D446" s="194"/>
      <c r="E446" s="194">
        <f>SUM(E426:E445)</f>
        <v>0</v>
      </c>
      <c r="F446" s="176"/>
      <c r="G446" s="176"/>
      <c r="H446" s="176"/>
      <c r="I446" s="176"/>
      <c r="J446" s="176"/>
      <c r="K446" s="176"/>
      <c r="L446" s="176"/>
      <c r="M446" s="177"/>
      <c r="N446" s="163" t="str">
        <f t="shared" si="33"/>
        <v/>
      </c>
      <c r="O446" s="126"/>
      <c r="P446" s="164"/>
      <c r="Q446" s="164"/>
      <c r="R446" s="164"/>
      <c r="S446" s="164"/>
      <c r="T446" s="164"/>
      <c r="U446" s="164"/>
      <c r="V446" s="166"/>
      <c r="W446" s="164"/>
      <c r="X446" s="164"/>
      <c r="Y446" s="164"/>
    </row>
    <row r="447" spans="1:25" ht="27" customHeight="1">
      <c r="A447" s="187" t="str">
        <f>IF(ISBLANK(C447)," ",442-COUNTBLANK($C$6:C447))</f>
        <v xml:space="preserve"> </v>
      </c>
      <c r="B447" s="188"/>
      <c r="C447" s="188"/>
      <c r="D447" s="189"/>
      <c r="E447" s="189"/>
      <c r="F447" s="190"/>
      <c r="G447" s="190"/>
      <c r="H447" s="190"/>
      <c r="I447" s="190"/>
      <c r="J447" s="190"/>
      <c r="K447" s="190"/>
      <c r="L447" s="190"/>
      <c r="M447" s="191"/>
      <c r="N447" s="163" t="str">
        <f>CONCATENATE(C447,H447)</f>
        <v/>
      </c>
      <c r="O447" s="126" t="str">
        <f>IF(D447&gt;=E447,"-","ERR")</f>
        <v>-</v>
      </c>
      <c r="P447" s="164"/>
      <c r="Q447" s="164"/>
      <c r="R447" s="164"/>
      <c r="S447" s="164"/>
      <c r="T447" s="164"/>
      <c r="U447" s="164"/>
      <c r="V447" s="164"/>
    </row>
    <row r="448" spans="1:25" ht="27" customHeight="1">
      <c r="A448" s="192" t="str">
        <f>IF(ISBLANK(C448)," ",443-COUNTBLANK($C$6:C448))</f>
        <v xml:space="preserve"> </v>
      </c>
      <c r="B448" s="178"/>
      <c r="C448" s="178"/>
      <c r="D448" s="193"/>
      <c r="E448" s="193"/>
      <c r="F448" s="180"/>
      <c r="G448" s="180"/>
      <c r="H448" s="180"/>
      <c r="I448" s="180"/>
      <c r="J448" s="180"/>
      <c r="K448" s="180"/>
      <c r="L448" s="180"/>
      <c r="M448" s="181"/>
      <c r="N448" s="163" t="str">
        <f t="shared" ref="N448:N467" si="35">CONCATENATE(C448,H448)</f>
        <v/>
      </c>
      <c r="O448" s="126" t="str">
        <f t="shared" ref="O448:O466" si="36">IF(D448&gt;=E448,"-","ERR")</f>
        <v>-</v>
      </c>
      <c r="P448" s="164"/>
      <c r="Q448" s="164"/>
      <c r="R448" s="164"/>
      <c r="S448" s="164"/>
      <c r="T448" s="164"/>
      <c r="U448" s="164"/>
      <c r="V448" s="164"/>
    </row>
    <row r="449" spans="1:22" ht="27" customHeight="1">
      <c r="A449" s="192" t="str">
        <f>IF(ISBLANK(C449)," ",444-COUNTBLANK($C$6:C449))</f>
        <v xml:space="preserve"> </v>
      </c>
      <c r="B449" s="178"/>
      <c r="C449" s="178"/>
      <c r="D449" s="193"/>
      <c r="E449" s="193"/>
      <c r="F449" s="180"/>
      <c r="G449" s="180"/>
      <c r="H449" s="180"/>
      <c r="I449" s="180"/>
      <c r="J449" s="180"/>
      <c r="K449" s="180"/>
      <c r="L449" s="180"/>
      <c r="M449" s="181"/>
      <c r="N449" s="163" t="str">
        <f t="shared" si="35"/>
        <v/>
      </c>
      <c r="O449" s="126" t="str">
        <f t="shared" si="36"/>
        <v>-</v>
      </c>
      <c r="P449" s="164"/>
      <c r="Q449" s="164"/>
      <c r="R449" s="164"/>
      <c r="S449" s="164"/>
      <c r="T449" s="164"/>
      <c r="U449" s="164"/>
      <c r="V449" s="164"/>
    </row>
    <row r="450" spans="1:22" ht="27" customHeight="1">
      <c r="A450" s="192" t="str">
        <f>IF(ISBLANK(C450)," ",445-COUNTBLANK($C$6:C450))</f>
        <v xml:space="preserve"> </v>
      </c>
      <c r="B450" s="178"/>
      <c r="C450" s="178"/>
      <c r="D450" s="193"/>
      <c r="E450" s="193"/>
      <c r="F450" s="180"/>
      <c r="G450" s="180"/>
      <c r="H450" s="180"/>
      <c r="I450" s="180"/>
      <c r="J450" s="180"/>
      <c r="K450" s="180"/>
      <c r="L450" s="180"/>
      <c r="M450" s="181"/>
      <c r="N450" s="163" t="str">
        <f t="shared" si="35"/>
        <v/>
      </c>
      <c r="O450" s="126" t="str">
        <f t="shared" si="36"/>
        <v>-</v>
      </c>
      <c r="P450" s="164"/>
      <c r="Q450" s="164"/>
      <c r="R450" s="164"/>
      <c r="S450" s="164"/>
      <c r="T450" s="164"/>
      <c r="U450" s="164"/>
      <c r="V450" s="164"/>
    </row>
    <row r="451" spans="1:22" ht="27" customHeight="1">
      <c r="A451" s="192" t="str">
        <f>IF(ISBLANK(C451)," ",446-COUNTBLANK($C$6:C451))</f>
        <v xml:space="preserve"> </v>
      </c>
      <c r="B451" s="178"/>
      <c r="C451" s="178"/>
      <c r="D451" s="193"/>
      <c r="E451" s="193"/>
      <c r="F451" s="180"/>
      <c r="G451" s="180"/>
      <c r="H451" s="180"/>
      <c r="I451" s="180"/>
      <c r="J451" s="180"/>
      <c r="K451" s="180"/>
      <c r="L451" s="180"/>
      <c r="M451" s="181"/>
      <c r="N451" s="163" t="str">
        <f t="shared" si="35"/>
        <v/>
      </c>
      <c r="O451" s="126" t="str">
        <f t="shared" si="36"/>
        <v>-</v>
      </c>
      <c r="P451" s="164"/>
      <c r="Q451" s="164"/>
      <c r="R451" s="164"/>
      <c r="S451" s="164"/>
      <c r="T451" s="164"/>
      <c r="U451" s="164"/>
      <c r="V451" s="164"/>
    </row>
    <row r="452" spans="1:22" ht="27" customHeight="1">
      <c r="A452" s="192" t="str">
        <f>IF(ISBLANK(C452)," ",447-COUNTBLANK($C$6:C452))</f>
        <v xml:space="preserve"> </v>
      </c>
      <c r="B452" s="178"/>
      <c r="C452" s="178"/>
      <c r="D452" s="193"/>
      <c r="E452" s="193"/>
      <c r="F452" s="180"/>
      <c r="G452" s="180"/>
      <c r="H452" s="180"/>
      <c r="I452" s="180"/>
      <c r="J452" s="180"/>
      <c r="K452" s="180"/>
      <c r="L452" s="180"/>
      <c r="M452" s="181"/>
      <c r="N452" s="163" t="str">
        <f t="shared" si="35"/>
        <v/>
      </c>
      <c r="O452" s="126" t="str">
        <f t="shared" si="36"/>
        <v>-</v>
      </c>
      <c r="P452" s="164"/>
      <c r="Q452" s="164"/>
      <c r="R452" s="164"/>
      <c r="S452" s="164"/>
      <c r="T452" s="164"/>
      <c r="U452" s="164"/>
      <c r="V452" s="164"/>
    </row>
    <row r="453" spans="1:22" ht="27" customHeight="1">
      <c r="A453" s="192" t="str">
        <f>IF(ISBLANK(C453)," ",448-COUNTBLANK($C$6:C453))</f>
        <v xml:space="preserve"> </v>
      </c>
      <c r="B453" s="178"/>
      <c r="C453" s="178"/>
      <c r="D453" s="193"/>
      <c r="E453" s="193"/>
      <c r="F453" s="180"/>
      <c r="G453" s="180"/>
      <c r="H453" s="180"/>
      <c r="I453" s="180"/>
      <c r="J453" s="180"/>
      <c r="K453" s="180"/>
      <c r="L453" s="180"/>
      <c r="M453" s="181"/>
      <c r="N453" s="163" t="str">
        <f t="shared" si="35"/>
        <v/>
      </c>
      <c r="O453" s="126" t="str">
        <f t="shared" si="36"/>
        <v>-</v>
      </c>
      <c r="P453" s="164"/>
      <c r="Q453" s="164"/>
      <c r="R453" s="164"/>
      <c r="S453" s="164"/>
      <c r="T453" s="164"/>
      <c r="U453" s="164"/>
      <c r="V453" s="164"/>
    </row>
    <row r="454" spans="1:22" ht="27" customHeight="1">
      <c r="A454" s="192" t="str">
        <f>IF(ISBLANK(C454)," ",449-COUNTBLANK($C$6:C454))</f>
        <v xml:space="preserve"> </v>
      </c>
      <c r="B454" s="178"/>
      <c r="C454" s="178"/>
      <c r="D454" s="193"/>
      <c r="E454" s="193"/>
      <c r="F454" s="180"/>
      <c r="G454" s="180"/>
      <c r="H454" s="180"/>
      <c r="I454" s="180"/>
      <c r="J454" s="180"/>
      <c r="K454" s="180"/>
      <c r="L454" s="180"/>
      <c r="M454" s="181"/>
      <c r="N454" s="163" t="str">
        <f t="shared" si="35"/>
        <v/>
      </c>
      <c r="O454" s="126" t="str">
        <f t="shared" si="36"/>
        <v>-</v>
      </c>
      <c r="P454" s="164"/>
      <c r="Q454" s="164"/>
      <c r="R454" s="164"/>
      <c r="S454" s="164"/>
      <c r="T454" s="164"/>
      <c r="U454" s="164"/>
      <c r="V454" s="164"/>
    </row>
    <row r="455" spans="1:22" ht="27" customHeight="1">
      <c r="A455" s="192" t="str">
        <f>IF(ISBLANK(C455)," ",450-COUNTBLANK($C$6:C455))</f>
        <v xml:space="preserve"> </v>
      </c>
      <c r="B455" s="178"/>
      <c r="C455" s="178"/>
      <c r="D455" s="193"/>
      <c r="E455" s="193"/>
      <c r="F455" s="180"/>
      <c r="G455" s="180"/>
      <c r="H455" s="180"/>
      <c r="I455" s="180"/>
      <c r="J455" s="180"/>
      <c r="K455" s="180"/>
      <c r="L455" s="180"/>
      <c r="M455" s="181"/>
      <c r="N455" s="163" t="str">
        <f t="shared" si="35"/>
        <v/>
      </c>
      <c r="O455" s="126" t="str">
        <f t="shared" si="36"/>
        <v>-</v>
      </c>
      <c r="P455" s="164"/>
      <c r="Q455" s="164"/>
      <c r="R455" s="164"/>
      <c r="S455" s="164"/>
      <c r="T455" s="164"/>
      <c r="U455" s="164"/>
      <c r="V455" s="164"/>
    </row>
    <row r="456" spans="1:22" ht="27" customHeight="1">
      <c r="A456" s="192" t="str">
        <f>IF(ISBLANK(C456)," ",451-COUNTBLANK($C$6:C456))</f>
        <v xml:space="preserve"> </v>
      </c>
      <c r="B456" s="178"/>
      <c r="C456" s="178"/>
      <c r="D456" s="193"/>
      <c r="E456" s="193"/>
      <c r="F456" s="180"/>
      <c r="G456" s="180"/>
      <c r="H456" s="180"/>
      <c r="I456" s="180"/>
      <c r="J456" s="180"/>
      <c r="K456" s="180"/>
      <c r="L456" s="180"/>
      <c r="M456" s="181"/>
      <c r="N456" s="163" t="str">
        <f t="shared" si="35"/>
        <v/>
      </c>
      <c r="O456" s="126" t="str">
        <f t="shared" si="36"/>
        <v>-</v>
      </c>
      <c r="P456" s="164"/>
      <c r="Q456" s="164"/>
      <c r="R456" s="164"/>
      <c r="S456" s="164"/>
      <c r="T456" s="164"/>
      <c r="U456" s="164"/>
      <c r="V456" s="164"/>
    </row>
    <row r="457" spans="1:22" ht="27" customHeight="1">
      <c r="A457" s="192" t="str">
        <f>IF(ISBLANK(C457)," ",452-COUNTBLANK($C$6:C457))</f>
        <v xml:space="preserve"> </v>
      </c>
      <c r="B457" s="178"/>
      <c r="C457" s="178"/>
      <c r="D457" s="193"/>
      <c r="E457" s="193"/>
      <c r="F457" s="180"/>
      <c r="G457" s="180"/>
      <c r="H457" s="180"/>
      <c r="I457" s="180"/>
      <c r="J457" s="180"/>
      <c r="K457" s="180"/>
      <c r="L457" s="180"/>
      <c r="M457" s="181"/>
      <c r="N457" s="163" t="str">
        <f t="shared" si="35"/>
        <v/>
      </c>
      <c r="O457" s="126" t="str">
        <f t="shared" si="36"/>
        <v>-</v>
      </c>
      <c r="P457" s="164"/>
      <c r="Q457" s="164"/>
      <c r="R457" s="164"/>
      <c r="S457" s="164"/>
      <c r="T457" s="164"/>
      <c r="U457" s="164"/>
      <c r="V457" s="164"/>
    </row>
    <row r="458" spans="1:22" ht="27" customHeight="1">
      <c r="A458" s="192" t="str">
        <f>IF(ISBLANK(C458)," ",453-COUNTBLANK($C$6:C458))</f>
        <v xml:space="preserve"> </v>
      </c>
      <c r="B458" s="178"/>
      <c r="C458" s="178"/>
      <c r="D458" s="193"/>
      <c r="E458" s="193"/>
      <c r="F458" s="180"/>
      <c r="G458" s="180"/>
      <c r="H458" s="180"/>
      <c r="I458" s="180"/>
      <c r="J458" s="180"/>
      <c r="K458" s="180"/>
      <c r="L458" s="180"/>
      <c r="M458" s="181"/>
      <c r="N458" s="163" t="str">
        <f t="shared" si="35"/>
        <v/>
      </c>
      <c r="O458" s="126" t="str">
        <f t="shared" si="36"/>
        <v>-</v>
      </c>
      <c r="P458" s="164"/>
      <c r="Q458" s="164"/>
      <c r="R458" s="164"/>
      <c r="S458" s="164"/>
      <c r="T458" s="164"/>
      <c r="U458" s="164"/>
      <c r="V458" s="164"/>
    </row>
    <row r="459" spans="1:22" ht="27" customHeight="1">
      <c r="A459" s="192" t="str">
        <f>IF(ISBLANK(C459)," ",454-COUNTBLANK($C$6:C459))</f>
        <v xml:space="preserve"> </v>
      </c>
      <c r="B459" s="178"/>
      <c r="C459" s="178"/>
      <c r="D459" s="193"/>
      <c r="E459" s="193"/>
      <c r="F459" s="180"/>
      <c r="G459" s="180"/>
      <c r="H459" s="180"/>
      <c r="I459" s="180"/>
      <c r="J459" s="180"/>
      <c r="K459" s="180"/>
      <c r="L459" s="180"/>
      <c r="M459" s="181"/>
      <c r="N459" s="163" t="str">
        <f t="shared" si="35"/>
        <v/>
      </c>
      <c r="O459" s="126" t="str">
        <f t="shared" si="36"/>
        <v>-</v>
      </c>
      <c r="P459" s="164"/>
      <c r="Q459" s="164"/>
      <c r="R459" s="164"/>
      <c r="S459" s="164"/>
      <c r="T459" s="164"/>
      <c r="U459" s="164"/>
      <c r="V459" s="164"/>
    </row>
    <row r="460" spans="1:22" ht="27" customHeight="1">
      <c r="A460" s="192" t="str">
        <f>IF(ISBLANK(C460)," ",455-COUNTBLANK($C$6:C460))</f>
        <v xml:space="preserve"> </v>
      </c>
      <c r="B460" s="178"/>
      <c r="C460" s="178"/>
      <c r="D460" s="193"/>
      <c r="E460" s="193"/>
      <c r="F460" s="180"/>
      <c r="G460" s="180"/>
      <c r="H460" s="180"/>
      <c r="I460" s="180"/>
      <c r="J460" s="180"/>
      <c r="K460" s="180"/>
      <c r="L460" s="180"/>
      <c r="M460" s="181"/>
      <c r="N460" s="163" t="str">
        <f t="shared" si="35"/>
        <v/>
      </c>
      <c r="O460" s="126" t="str">
        <f t="shared" si="36"/>
        <v>-</v>
      </c>
      <c r="P460" s="164"/>
      <c r="Q460" s="164"/>
      <c r="R460" s="164"/>
      <c r="S460" s="164"/>
      <c r="T460" s="164"/>
      <c r="U460" s="164"/>
      <c r="V460" s="164"/>
    </row>
    <row r="461" spans="1:22" ht="27" customHeight="1">
      <c r="A461" s="192" t="str">
        <f>IF(ISBLANK(C461)," ",456-COUNTBLANK($C$6:C461))</f>
        <v xml:space="preserve"> </v>
      </c>
      <c r="B461" s="178"/>
      <c r="C461" s="178"/>
      <c r="D461" s="193"/>
      <c r="E461" s="193"/>
      <c r="F461" s="180"/>
      <c r="G461" s="180"/>
      <c r="H461" s="180"/>
      <c r="I461" s="180"/>
      <c r="J461" s="180"/>
      <c r="K461" s="180"/>
      <c r="L461" s="180"/>
      <c r="M461" s="181"/>
      <c r="N461" s="163" t="str">
        <f t="shared" si="35"/>
        <v/>
      </c>
      <c r="O461" s="126" t="str">
        <f t="shared" si="36"/>
        <v>-</v>
      </c>
      <c r="P461" s="164"/>
      <c r="Q461" s="164"/>
      <c r="R461" s="164"/>
      <c r="S461" s="164"/>
      <c r="T461" s="164"/>
      <c r="U461" s="164"/>
      <c r="V461" s="164"/>
    </row>
    <row r="462" spans="1:22" ht="27" customHeight="1">
      <c r="A462" s="192" t="str">
        <f>IF(ISBLANK(C462)," ",457-COUNTBLANK($C$6:C462))</f>
        <v xml:space="preserve"> </v>
      </c>
      <c r="B462" s="178"/>
      <c r="C462" s="178"/>
      <c r="D462" s="193"/>
      <c r="E462" s="193"/>
      <c r="F462" s="180"/>
      <c r="G462" s="180"/>
      <c r="H462" s="180"/>
      <c r="I462" s="180"/>
      <c r="J462" s="180"/>
      <c r="K462" s="180"/>
      <c r="L462" s="180"/>
      <c r="M462" s="181"/>
      <c r="N462" s="163" t="str">
        <f t="shared" si="35"/>
        <v/>
      </c>
      <c r="O462" s="126" t="str">
        <f t="shared" si="36"/>
        <v>-</v>
      </c>
      <c r="P462" s="164"/>
      <c r="Q462" s="164"/>
      <c r="R462" s="164"/>
      <c r="S462" s="164"/>
      <c r="T462" s="164"/>
      <c r="U462" s="164"/>
      <c r="V462" s="165"/>
    </row>
    <row r="463" spans="1:22" ht="27" customHeight="1">
      <c r="A463" s="192" t="str">
        <f>IF(ISBLANK(C463)," ",458-COUNTBLANK($C$6:C463))</f>
        <v xml:space="preserve"> </v>
      </c>
      <c r="B463" s="178"/>
      <c r="C463" s="178"/>
      <c r="D463" s="193"/>
      <c r="E463" s="193"/>
      <c r="F463" s="180"/>
      <c r="G463" s="180"/>
      <c r="H463" s="180"/>
      <c r="I463" s="180"/>
      <c r="J463" s="180"/>
      <c r="K463" s="180"/>
      <c r="L463" s="180"/>
      <c r="M463" s="181"/>
      <c r="N463" s="163" t="str">
        <f t="shared" si="35"/>
        <v/>
      </c>
      <c r="O463" s="126" t="str">
        <f t="shared" si="36"/>
        <v>-</v>
      </c>
      <c r="P463" s="164"/>
      <c r="Q463" s="164"/>
      <c r="R463" s="164"/>
      <c r="S463" s="164"/>
      <c r="T463" s="164"/>
      <c r="U463" s="164"/>
      <c r="V463" s="165"/>
    </row>
    <row r="464" spans="1:22" ht="27" customHeight="1">
      <c r="A464" s="192" t="str">
        <f>IF(ISBLANK(C464)," ",459-COUNTBLANK($C$6:C464))</f>
        <v xml:space="preserve"> </v>
      </c>
      <c r="B464" s="178"/>
      <c r="C464" s="178"/>
      <c r="D464" s="193"/>
      <c r="E464" s="193"/>
      <c r="F464" s="180"/>
      <c r="G464" s="180"/>
      <c r="H464" s="180"/>
      <c r="I464" s="180"/>
      <c r="J464" s="180"/>
      <c r="K464" s="180"/>
      <c r="L464" s="180"/>
      <c r="M464" s="181"/>
      <c r="N464" s="163" t="str">
        <f t="shared" si="35"/>
        <v/>
      </c>
      <c r="O464" s="126" t="str">
        <f t="shared" si="36"/>
        <v>-</v>
      </c>
      <c r="P464" s="164"/>
      <c r="Q464" s="164"/>
      <c r="R464" s="164"/>
      <c r="S464" s="164"/>
      <c r="T464" s="164"/>
      <c r="U464" s="164"/>
      <c r="V464" s="165"/>
    </row>
    <row r="465" spans="1:25" ht="27" customHeight="1">
      <c r="A465" s="192" t="str">
        <f>IF(ISBLANK(C465)," ",460-COUNTBLANK($C$6:C465))</f>
        <v xml:space="preserve"> </v>
      </c>
      <c r="B465" s="178"/>
      <c r="C465" s="178"/>
      <c r="D465" s="193"/>
      <c r="E465" s="193"/>
      <c r="F465" s="180"/>
      <c r="G465" s="180"/>
      <c r="H465" s="180"/>
      <c r="I465" s="180"/>
      <c r="J465" s="180"/>
      <c r="K465" s="180"/>
      <c r="L465" s="180"/>
      <c r="M465" s="181"/>
      <c r="N465" s="163" t="str">
        <f t="shared" si="35"/>
        <v/>
      </c>
      <c r="O465" s="126" t="str">
        <f t="shared" si="36"/>
        <v>-</v>
      </c>
      <c r="P465" s="164"/>
      <c r="Q465" s="164"/>
      <c r="R465" s="164"/>
      <c r="S465" s="164"/>
      <c r="T465" s="164"/>
      <c r="U465" s="164"/>
      <c r="V465" s="165"/>
    </row>
    <row r="466" spans="1:25" ht="27" customHeight="1">
      <c r="A466" s="192" t="str">
        <f>IF(ISBLANK(C466)," ",461-COUNTBLANK($C$6:C466))</f>
        <v xml:space="preserve"> </v>
      </c>
      <c r="B466" s="178"/>
      <c r="C466" s="178"/>
      <c r="D466" s="193"/>
      <c r="E466" s="193"/>
      <c r="F466" s="180"/>
      <c r="G466" s="180"/>
      <c r="H466" s="180"/>
      <c r="I466" s="180"/>
      <c r="J466" s="180"/>
      <c r="K466" s="180"/>
      <c r="L466" s="180"/>
      <c r="M466" s="181"/>
      <c r="N466" s="163" t="str">
        <f t="shared" si="35"/>
        <v/>
      </c>
      <c r="O466" s="126" t="str">
        <f t="shared" si="36"/>
        <v>-</v>
      </c>
      <c r="P466" s="164"/>
      <c r="Q466" s="164"/>
      <c r="R466" s="164"/>
      <c r="S466" s="164"/>
      <c r="T466" s="164"/>
      <c r="U466" s="164"/>
      <c r="V466" s="166"/>
      <c r="W466" s="164"/>
      <c r="X466" s="164"/>
      <c r="Y466" s="164"/>
    </row>
    <row r="467" spans="1:25" ht="27" customHeight="1">
      <c r="A467" s="172" t="s">
        <v>44</v>
      </c>
      <c r="B467" s="173"/>
      <c r="C467" s="174"/>
      <c r="D467" s="194"/>
      <c r="E467" s="194">
        <f>SUM(E447:E466)</f>
        <v>0</v>
      </c>
      <c r="F467" s="176"/>
      <c r="G467" s="176"/>
      <c r="H467" s="176"/>
      <c r="I467" s="176"/>
      <c r="J467" s="176"/>
      <c r="K467" s="176"/>
      <c r="L467" s="176"/>
      <c r="M467" s="177"/>
      <c r="N467" s="163" t="str">
        <f t="shared" si="35"/>
        <v/>
      </c>
      <c r="O467" s="126"/>
      <c r="P467" s="164"/>
      <c r="Q467" s="164"/>
      <c r="R467" s="164"/>
      <c r="S467" s="164"/>
      <c r="T467" s="164"/>
      <c r="U467" s="164"/>
      <c r="V467" s="166"/>
      <c r="W467" s="164"/>
      <c r="X467" s="164"/>
      <c r="Y467" s="164"/>
    </row>
    <row r="468" spans="1:25" ht="27" customHeight="1">
      <c r="A468" s="187" t="str">
        <f>IF(ISBLANK(C468)," ",463-COUNTBLANK($C$6:C468))</f>
        <v xml:space="preserve"> </v>
      </c>
      <c r="B468" s="188"/>
      <c r="C468" s="188"/>
      <c r="D468" s="189"/>
      <c r="E468" s="189"/>
      <c r="F468" s="190"/>
      <c r="G468" s="190"/>
      <c r="H468" s="190"/>
      <c r="I468" s="190"/>
      <c r="J468" s="190"/>
      <c r="K468" s="190"/>
      <c r="L468" s="190"/>
      <c r="M468" s="191"/>
      <c r="N468" s="163" t="str">
        <f>CONCATENATE(C468,H468)</f>
        <v/>
      </c>
      <c r="O468" s="126" t="str">
        <f>IF(D468&gt;=E468,"-","ERR")</f>
        <v>-</v>
      </c>
      <c r="P468" s="164"/>
      <c r="Q468" s="164"/>
      <c r="R468" s="164"/>
      <c r="S468" s="164"/>
      <c r="T468" s="164"/>
      <c r="U468" s="164"/>
      <c r="V468" s="164"/>
    </row>
    <row r="469" spans="1:25" ht="27" customHeight="1">
      <c r="A469" s="192" t="str">
        <f>IF(ISBLANK(C469)," ",464-COUNTBLANK($C$6:C469))</f>
        <v xml:space="preserve"> </v>
      </c>
      <c r="B469" s="178"/>
      <c r="C469" s="178"/>
      <c r="D469" s="193"/>
      <c r="E469" s="193"/>
      <c r="F469" s="180"/>
      <c r="G469" s="180"/>
      <c r="H469" s="180"/>
      <c r="I469" s="180"/>
      <c r="J469" s="180"/>
      <c r="K469" s="180"/>
      <c r="L469" s="180"/>
      <c r="M469" s="181"/>
      <c r="N469" s="163" t="str">
        <f t="shared" ref="N469:N488" si="37">CONCATENATE(C469,H469)</f>
        <v/>
      </c>
      <c r="O469" s="126" t="str">
        <f t="shared" ref="O469:O487" si="38">IF(D469&gt;=E469,"-","ERR")</f>
        <v>-</v>
      </c>
      <c r="P469" s="164"/>
      <c r="Q469" s="164"/>
      <c r="R469" s="164"/>
      <c r="S469" s="164"/>
      <c r="T469" s="164"/>
      <c r="U469" s="164"/>
      <c r="V469" s="164"/>
    </row>
    <row r="470" spans="1:25" ht="27" customHeight="1">
      <c r="A470" s="192" t="str">
        <f>IF(ISBLANK(C470)," ",465-COUNTBLANK($C$6:C470))</f>
        <v xml:space="preserve"> </v>
      </c>
      <c r="B470" s="178"/>
      <c r="C470" s="178"/>
      <c r="D470" s="193"/>
      <c r="E470" s="193"/>
      <c r="F470" s="180"/>
      <c r="G470" s="180"/>
      <c r="H470" s="180"/>
      <c r="I470" s="180"/>
      <c r="J470" s="180"/>
      <c r="K470" s="180"/>
      <c r="L470" s="180"/>
      <c r="M470" s="181"/>
      <c r="N470" s="163" t="str">
        <f t="shared" si="37"/>
        <v/>
      </c>
      <c r="O470" s="126" t="str">
        <f t="shared" si="38"/>
        <v>-</v>
      </c>
      <c r="P470" s="164"/>
      <c r="Q470" s="164"/>
      <c r="R470" s="164"/>
      <c r="S470" s="164"/>
      <c r="T470" s="164"/>
      <c r="U470" s="164"/>
      <c r="V470" s="164"/>
    </row>
    <row r="471" spans="1:25" ht="27" customHeight="1">
      <c r="A471" s="192" t="str">
        <f>IF(ISBLANK(C471)," ",466-COUNTBLANK($C$6:C471))</f>
        <v xml:space="preserve"> </v>
      </c>
      <c r="B471" s="178"/>
      <c r="C471" s="178"/>
      <c r="D471" s="193"/>
      <c r="E471" s="193"/>
      <c r="F471" s="180"/>
      <c r="G471" s="180"/>
      <c r="H471" s="180"/>
      <c r="I471" s="180"/>
      <c r="J471" s="180"/>
      <c r="K471" s="180"/>
      <c r="L471" s="180"/>
      <c r="M471" s="181"/>
      <c r="N471" s="163" t="str">
        <f t="shared" si="37"/>
        <v/>
      </c>
      <c r="O471" s="126" t="str">
        <f t="shared" si="38"/>
        <v>-</v>
      </c>
      <c r="P471" s="164"/>
      <c r="Q471" s="164"/>
      <c r="R471" s="164"/>
      <c r="S471" s="164"/>
      <c r="T471" s="164"/>
      <c r="U471" s="164"/>
      <c r="V471" s="164"/>
    </row>
    <row r="472" spans="1:25" ht="27" customHeight="1">
      <c r="A472" s="192" t="str">
        <f>IF(ISBLANK(C472)," ",467-COUNTBLANK($C$6:C472))</f>
        <v xml:space="preserve"> </v>
      </c>
      <c r="B472" s="178"/>
      <c r="C472" s="178"/>
      <c r="D472" s="193"/>
      <c r="E472" s="193"/>
      <c r="F472" s="180"/>
      <c r="G472" s="180"/>
      <c r="H472" s="180"/>
      <c r="I472" s="180"/>
      <c r="J472" s="180"/>
      <c r="K472" s="180"/>
      <c r="L472" s="180"/>
      <c r="M472" s="181"/>
      <c r="N472" s="163" t="str">
        <f t="shared" si="37"/>
        <v/>
      </c>
      <c r="O472" s="126" t="str">
        <f t="shared" si="38"/>
        <v>-</v>
      </c>
      <c r="P472" s="164"/>
      <c r="Q472" s="164"/>
      <c r="R472" s="164"/>
      <c r="S472" s="164"/>
      <c r="T472" s="164"/>
      <c r="U472" s="164"/>
      <c r="V472" s="164"/>
    </row>
    <row r="473" spans="1:25" ht="27" customHeight="1">
      <c r="A473" s="192" t="str">
        <f>IF(ISBLANK(C473)," ",468-COUNTBLANK($C$6:C473))</f>
        <v xml:space="preserve"> </v>
      </c>
      <c r="B473" s="178"/>
      <c r="C473" s="178"/>
      <c r="D473" s="193"/>
      <c r="E473" s="193"/>
      <c r="F473" s="180"/>
      <c r="G473" s="180"/>
      <c r="H473" s="180"/>
      <c r="I473" s="180"/>
      <c r="J473" s="180"/>
      <c r="K473" s="180"/>
      <c r="L473" s="180"/>
      <c r="M473" s="181"/>
      <c r="N473" s="163" t="str">
        <f t="shared" si="37"/>
        <v/>
      </c>
      <c r="O473" s="126" t="str">
        <f t="shared" si="38"/>
        <v>-</v>
      </c>
      <c r="P473" s="164"/>
      <c r="Q473" s="164"/>
      <c r="R473" s="164"/>
      <c r="S473" s="164"/>
      <c r="T473" s="164"/>
      <c r="U473" s="164"/>
      <c r="V473" s="164"/>
    </row>
    <row r="474" spans="1:25" ht="27" customHeight="1">
      <c r="A474" s="192" t="str">
        <f>IF(ISBLANK(C474)," ",469-COUNTBLANK($C$6:C474))</f>
        <v xml:space="preserve"> </v>
      </c>
      <c r="B474" s="178"/>
      <c r="C474" s="178"/>
      <c r="D474" s="193"/>
      <c r="E474" s="193"/>
      <c r="F474" s="180"/>
      <c r="G474" s="180"/>
      <c r="H474" s="180"/>
      <c r="I474" s="180"/>
      <c r="J474" s="180"/>
      <c r="K474" s="180"/>
      <c r="L474" s="180"/>
      <c r="M474" s="181"/>
      <c r="N474" s="163" t="str">
        <f t="shared" si="37"/>
        <v/>
      </c>
      <c r="O474" s="126" t="str">
        <f t="shared" si="38"/>
        <v>-</v>
      </c>
      <c r="P474" s="164"/>
      <c r="Q474" s="164"/>
      <c r="R474" s="164"/>
      <c r="S474" s="164"/>
      <c r="T474" s="164"/>
      <c r="U474" s="164"/>
      <c r="V474" s="164"/>
    </row>
    <row r="475" spans="1:25" ht="27" customHeight="1">
      <c r="A475" s="192" t="str">
        <f>IF(ISBLANK(C475)," ",470-COUNTBLANK($C$6:C475))</f>
        <v xml:space="preserve"> </v>
      </c>
      <c r="B475" s="178"/>
      <c r="C475" s="178"/>
      <c r="D475" s="193"/>
      <c r="E475" s="193"/>
      <c r="F475" s="180"/>
      <c r="G475" s="180"/>
      <c r="H475" s="180"/>
      <c r="I475" s="180"/>
      <c r="J475" s="180"/>
      <c r="K475" s="180"/>
      <c r="L475" s="180"/>
      <c r="M475" s="181"/>
      <c r="N475" s="163" t="str">
        <f t="shared" si="37"/>
        <v/>
      </c>
      <c r="O475" s="126" t="str">
        <f t="shared" si="38"/>
        <v>-</v>
      </c>
      <c r="P475" s="164"/>
      <c r="Q475" s="164"/>
      <c r="R475" s="164"/>
      <c r="S475" s="164"/>
      <c r="T475" s="164"/>
      <c r="U475" s="164"/>
      <c r="V475" s="164"/>
    </row>
    <row r="476" spans="1:25" ht="27" customHeight="1">
      <c r="A476" s="192" t="str">
        <f>IF(ISBLANK(C476)," ",471-COUNTBLANK($C$6:C476))</f>
        <v xml:space="preserve"> </v>
      </c>
      <c r="B476" s="178"/>
      <c r="C476" s="178"/>
      <c r="D476" s="193"/>
      <c r="E476" s="193"/>
      <c r="F476" s="180"/>
      <c r="G476" s="180"/>
      <c r="H476" s="180"/>
      <c r="I476" s="180"/>
      <c r="J476" s="180"/>
      <c r="K476" s="180"/>
      <c r="L476" s="180"/>
      <c r="M476" s="181"/>
      <c r="N476" s="163" t="str">
        <f t="shared" si="37"/>
        <v/>
      </c>
      <c r="O476" s="126" t="str">
        <f t="shared" si="38"/>
        <v>-</v>
      </c>
      <c r="P476" s="164"/>
      <c r="Q476" s="164"/>
      <c r="R476" s="164"/>
      <c r="S476" s="164"/>
      <c r="T476" s="164"/>
      <c r="U476" s="164"/>
      <c r="V476" s="164"/>
    </row>
    <row r="477" spans="1:25" ht="27" customHeight="1">
      <c r="A477" s="192" t="str">
        <f>IF(ISBLANK(C477)," ",472-COUNTBLANK($C$6:C477))</f>
        <v xml:space="preserve"> </v>
      </c>
      <c r="B477" s="178"/>
      <c r="C477" s="178"/>
      <c r="D477" s="193"/>
      <c r="E477" s="193"/>
      <c r="F477" s="180"/>
      <c r="G477" s="180"/>
      <c r="H477" s="180"/>
      <c r="I477" s="180"/>
      <c r="J477" s="180"/>
      <c r="K477" s="180"/>
      <c r="L477" s="180"/>
      <c r="M477" s="181"/>
      <c r="N477" s="163" t="str">
        <f t="shared" si="37"/>
        <v/>
      </c>
      <c r="O477" s="126" t="str">
        <f t="shared" si="38"/>
        <v>-</v>
      </c>
      <c r="P477" s="164"/>
      <c r="Q477" s="164"/>
      <c r="R477" s="164"/>
      <c r="S477" s="164"/>
      <c r="T477" s="164"/>
      <c r="U477" s="164"/>
      <c r="V477" s="164"/>
    </row>
    <row r="478" spans="1:25" ht="27" customHeight="1">
      <c r="A478" s="192" t="str">
        <f>IF(ISBLANK(C478)," ",473-COUNTBLANK($C$6:C478))</f>
        <v xml:space="preserve"> </v>
      </c>
      <c r="B478" s="178"/>
      <c r="C478" s="178"/>
      <c r="D478" s="193"/>
      <c r="E478" s="193"/>
      <c r="F478" s="180"/>
      <c r="G478" s="180"/>
      <c r="H478" s="180"/>
      <c r="I478" s="180"/>
      <c r="J478" s="180"/>
      <c r="K478" s="180"/>
      <c r="L478" s="180"/>
      <c r="M478" s="181"/>
      <c r="N478" s="163" t="str">
        <f t="shared" si="37"/>
        <v/>
      </c>
      <c r="O478" s="126" t="str">
        <f t="shared" si="38"/>
        <v>-</v>
      </c>
      <c r="P478" s="164"/>
      <c r="Q478" s="164"/>
      <c r="R478" s="164"/>
      <c r="S478" s="164"/>
      <c r="T478" s="164"/>
      <c r="U478" s="164"/>
      <c r="V478" s="164"/>
    </row>
    <row r="479" spans="1:25" ht="27" customHeight="1">
      <c r="A479" s="192" t="str">
        <f>IF(ISBLANK(C479)," ",474-COUNTBLANK($C$6:C479))</f>
        <v xml:space="preserve"> </v>
      </c>
      <c r="B479" s="178"/>
      <c r="C479" s="178"/>
      <c r="D479" s="193"/>
      <c r="E479" s="193"/>
      <c r="F479" s="180"/>
      <c r="G479" s="180"/>
      <c r="H479" s="180"/>
      <c r="I479" s="180"/>
      <c r="J479" s="180"/>
      <c r="K479" s="180"/>
      <c r="L479" s="180"/>
      <c r="M479" s="181"/>
      <c r="N479" s="163" t="str">
        <f t="shared" si="37"/>
        <v/>
      </c>
      <c r="O479" s="126" t="str">
        <f t="shared" si="38"/>
        <v>-</v>
      </c>
      <c r="P479" s="164"/>
      <c r="Q479" s="164"/>
      <c r="R479" s="164"/>
      <c r="S479" s="164"/>
      <c r="T479" s="164"/>
      <c r="U479" s="164"/>
      <c r="V479" s="164"/>
    </row>
    <row r="480" spans="1:25" ht="27" customHeight="1">
      <c r="A480" s="192" t="str">
        <f>IF(ISBLANK(C480)," ",475-COUNTBLANK($C$6:C480))</f>
        <v xml:space="preserve"> </v>
      </c>
      <c r="B480" s="178"/>
      <c r="C480" s="178"/>
      <c r="D480" s="193"/>
      <c r="E480" s="193"/>
      <c r="F480" s="180"/>
      <c r="G480" s="180"/>
      <c r="H480" s="180"/>
      <c r="I480" s="180"/>
      <c r="J480" s="180"/>
      <c r="K480" s="180"/>
      <c r="L480" s="180"/>
      <c r="M480" s="181"/>
      <c r="N480" s="163" t="str">
        <f t="shared" si="37"/>
        <v/>
      </c>
      <c r="O480" s="126" t="str">
        <f t="shared" si="38"/>
        <v>-</v>
      </c>
      <c r="P480" s="164"/>
      <c r="Q480" s="164"/>
      <c r="R480" s="164"/>
      <c r="S480" s="164"/>
      <c r="T480" s="164"/>
      <c r="U480" s="164"/>
      <c r="V480" s="164"/>
    </row>
    <row r="481" spans="1:25" ht="27" customHeight="1">
      <c r="A481" s="192" t="str">
        <f>IF(ISBLANK(C481)," ",476-COUNTBLANK($C$6:C481))</f>
        <v xml:space="preserve"> </v>
      </c>
      <c r="B481" s="178"/>
      <c r="C481" s="178"/>
      <c r="D481" s="193"/>
      <c r="E481" s="193"/>
      <c r="F481" s="180"/>
      <c r="G481" s="180"/>
      <c r="H481" s="180"/>
      <c r="I481" s="180"/>
      <c r="J481" s="180"/>
      <c r="K481" s="180"/>
      <c r="L481" s="180"/>
      <c r="M481" s="181"/>
      <c r="N481" s="163" t="str">
        <f t="shared" si="37"/>
        <v/>
      </c>
      <c r="O481" s="126" t="str">
        <f t="shared" si="38"/>
        <v>-</v>
      </c>
      <c r="P481" s="164"/>
      <c r="Q481" s="164"/>
      <c r="R481" s="164"/>
      <c r="S481" s="164"/>
      <c r="T481" s="164"/>
      <c r="U481" s="164"/>
      <c r="V481" s="164"/>
    </row>
    <row r="482" spans="1:25" ht="27" customHeight="1">
      <c r="A482" s="192" t="str">
        <f>IF(ISBLANK(C482)," ",477-COUNTBLANK($C$6:C482))</f>
        <v xml:space="preserve"> </v>
      </c>
      <c r="B482" s="178"/>
      <c r="C482" s="178"/>
      <c r="D482" s="193"/>
      <c r="E482" s="193"/>
      <c r="F482" s="180"/>
      <c r="G482" s="180"/>
      <c r="H482" s="180"/>
      <c r="I482" s="180"/>
      <c r="J482" s="180"/>
      <c r="K482" s="180"/>
      <c r="L482" s="180"/>
      <c r="M482" s="181"/>
      <c r="N482" s="163" t="str">
        <f t="shared" si="37"/>
        <v/>
      </c>
      <c r="O482" s="126" t="str">
        <f t="shared" si="38"/>
        <v>-</v>
      </c>
      <c r="P482" s="164"/>
      <c r="Q482" s="164"/>
      <c r="R482" s="164"/>
      <c r="S482" s="164"/>
      <c r="T482" s="164"/>
      <c r="U482" s="164"/>
      <c r="V482" s="164"/>
    </row>
    <row r="483" spans="1:25" ht="27" customHeight="1">
      <c r="A483" s="192" t="str">
        <f>IF(ISBLANK(C483)," ",478-COUNTBLANK($C$6:C483))</f>
        <v xml:space="preserve"> </v>
      </c>
      <c r="B483" s="178"/>
      <c r="C483" s="178"/>
      <c r="D483" s="193"/>
      <c r="E483" s="193"/>
      <c r="F483" s="180"/>
      <c r="G483" s="180"/>
      <c r="H483" s="180"/>
      <c r="I483" s="180"/>
      <c r="J483" s="180"/>
      <c r="K483" s="180"/>
      <c r="L483" s="180"/>
      <c r="M483" s="181"/>
      <c r="N483" s="163" t="str">
        <f t="shared" si="37"/>
        <v/>
      </c>
      <c r="O483" s="126" t="str">
        <f t="shared" si="38"/>
        <v>-</v>
      </c>
      <c r="P483" s="164"/>
      <c r="Q483" s="164"/>
      <c r="R483" s="164"/>
      <c r="S483" s="164"/>
      <c r="T483" s="164"/>
      <c r="U483" s="164"/>
      <c r="V483" s="165"/>
    </row>
    <row r="484" spans="1:25" ht="27" customHeight="1">
      <c r="A484" s="192" t="str">
        <f>IF(ISBLANK(C484)," ",479-COUNTBLANK($C$6:C484))</f>
        <v xml:space="preserve"> </v>
      </c>
      <c r="B484" s="178"/>
      <c r="C484" s="178"/>
      <c r="D484" s="193"/>
      <c r="E484" s="193"/>
      <c r="F484" s="180"/>
      <c r="G484" s="180"/>
      <c r="H484" s="180"/>
      <c r="I484" s="180"/>
      <c r="J484" s="180"/>
      <c r="K484" s="180"/>
      <c r="L484" s="180"/>
      <c r="M484" s="181"/>
      <c r="N484" s="163" t="str">
        <f t="shared" si="37"/>
        <v/>
      </c>
      <c r="O484" s="126" t="str">
        <f t="shared" si="38"/>
        <v>-</v>
      </c>
      <c r="P484" s="164"/>
      <c r="Q484" s="164"/>
      <c r="R484" s="164"/>
      <c r="S484" s="164"/>
      <c r="T484" s="164"/>
      <c r="U484" s="164"/>
      <c r="V484" s="165"/>
    </row>
    <row r="485" spans="1:25" ht="27" customHeight="1">
      <c r="A485" s="192" t="str">
        <f>IF(ISBLANK(C485)," ",480-COUNTBLANK($C$6:C485))</f>
        <v xml:space="preserve"> </v>
      </c>
      <c r="B485" s="178"/>
      <c r="C485" s="178"/>
      <c r="D485" s="193"/>
      <c r="E485" s="193"/>
      <c r="F485" s="180"/>
      <c r="G485" s="180"/>
      <c r="H485" s="180"/>
      <c r="I485" s="180"/>
      <c r="J485" s="180"/>
      <c r="K485" s="180"/>
      <c r="L485" s="180"/>
      <c r="M485" s="181"/>
      <c r="N485" s="163" t="str">
        <f t="shared" si="37"/>
        <v/>
      </c>
      <c r="O485" s="126" t="str">
        <f t="shared" si="38"/>
        <v>-</v>
      </c>
      <c r="P485" s="164"/>
      <c r="Q485" s="164"/>
      <c r="R485" s="164"/>
      <c r="S485" s="164"/>
      <c r="T485" s="164"/>
      <c r="U485" s="164"/>
      <c r="V485" s="165"/>
    </row>
    <row r="486" spans="1:25" ht="27" customHeight="1">
      <c r="A486" s="192" t="str">
        <f>IF(ISBLANK(C486)," ",481-COUNTBLANK($C$6:C486))</f>
        <v xml:space="preserve"> </v>
      </c>
      <c r="B486" s="178"/>
      <c r="C486" s="178"/>
      <c r="D486" s="193"/>
      <c r="E486" s="193"/>
      <c r="F486" s="180"/>
      <c r="G486" s="180"/>
      <c r="H486" s="180"/>
      <c r="I486" s="180"/>
      <c r="J486" s="180"/>
      <c r="K486" s="180"/>
      <c r="L486" s="180"/>
      <c r="M486" s="181"/>
      <c r="N486" s="163" t="str">
        <f t="shared" si="37"/>
        <v/>
      </c>
      <c r="O486" s="126" t="str">
        <f t="shared" si="38"/>
        <v>-</v>
      </c>
      <c r="P486" s="164"/>
      <c r="Q486" s="164"/>
      <c r="R486" s="164"/>
      <c r="S486" s="164"/>
      <c r="T486" s="164"/>
      <c r="U486" s="164"/>
      <c r="V486" s="165"/>
    </row>
    <row r="487" spans="1:25" ht="27" customHeight="1">
      <c r="A487" s="192" t="str">
        <f>IF(ISBLANK(C487)," ",482-COUNTBLANK($C$6:C487))</f>
        <v xml:space="preserve"> </v>
      </c>
      <c r="B487" s="178"/>
      <c r="C487" s="178"/>
      <c r="D487" s="193"/>
      <c r="E487" s="193"/>
      <c r="F487" s="180"/>
      <c r="G487" s="180"/>
      <c r="H487" s="180"/>
      <c r="I487" s="180"/>
      <c r="J487" s="180"/>
      <c r="K487" s="180"/>
      <c r="L487" s="180"/>
      <c r="M487" s="181"/>
      <c r="N487" s="163" t="str">
        <f t="shared" si="37"/>
        <v/>
      </c>
      <c r="O487" s="126" t="str">
        <f t="shared" si="38"/>
        <v>-</v>
      </c>
      <c r="P487" s="164"/>
      <c r="Q487" s="164"/>
      <c r="R487" s="164"/>
      <c r="S487" s="164"/>
      <c r="T487" s="164"/>
      <c r="U487" s="164"/>
      <c r="V487" s="166"/>
      <c r="W487" s="164"/>
      <c r="X487" s="164"/>
      <c r="Y487" s="164"/>
    </row>
    <row r="488" spans="1:25" ht="27" customHeight="1">
      <c r="A488" s="172" t="s">
        <v>44</v>
      </c>
      <c r="B488" s="173"/>
      <c r="C488" s="174"/>
      <c r="D488" s="194"/>
      <c r="E488" s="194">
        <f>SUM(E468:E487)</f>
        <v>0</v>
      </c>
      <c r="F488" s="176"/>
      <c r="G488" s="176"/>
      <c r="H488" s="176"/>
      <c r="I488" s="176"/>
      <c r="J488" s="176"/>
      <c r="K488" s="176"/>
      <c r="L488" s="176"/>
      <c r="M488" s="177"/>
      <c r="N488" s="163" t="str">
        <f t="shared" si="37"/>
        <v/>
      </c>
      <c r="O488" s="126"/>
      <c r="P488" s="164"/>
      <c r="Q488" s="164"/>
      <c r="R488" s="164"/>
      <c r="S488" s="164"/>
      <c r="T488" s="164"/>
      <c r="U488" s="164"/>
      <c r="V488" s="166"/>
      <c r="W488" s="164"/>
      <c r="X488" s="164"/>
      <c r="Y488" s="164"/>
    </row>
    <row r="489" spans="1:25" ht="27" customHeight="1">
      <c r="A489" s="187" t="str">
        <f>IF(ISBLANK(C489)," ",484-COUNTBLANK($C$6:C489))</f>
        <v xml:space="preserve"> </v>
      </c>
      <c r="B489" s="188"/>
      <c r="C489" s="188"/>
      <c r="D489" s="189"/>
      <c r="E489" s="189"/>
      <c r="F489" s="190"/>
      <c r="G489" s="190"/>
      <c r="H489" s="190"/>
      <c r="I489" s="190"/>
      <c r="J489" s="190"/>
      <c r="K489" s="190"/>
      <c r="L489" s="190"/>
      <c r="M489" s="191"/>
      <c r="N489" s="163" t="str">
        <f>CONCATENATE(C489,H489)</f>
        <v/>
      </c>
      <c r="O489" s="126" t="str">
        <f>IF(D489&gt;=E489,"-","ERR")</f>
        <v>-</v>
      </c>
      <c r="P489" s="164"/>
      <c r="Q489" s="164"/>
      <c r="R489" s="164"/>
      <c r="S489" s="164"/>
      <c r="T489" s="164"/>
      <c r="U489" s="164"/>
      <c r="V489" s="164"/>
    </row>
    <row r="490" spans="1:25" ht="27" customHeight="1">
      <c r="A490" s="192" t="str">
        <f>IF(ISBLANK(C490)," ",485-COUNTBLANK($C$6:C490))</f>
        <v xml:space="preserve"> </v>
      </c>
      <c r="B490" s="178"/>
      <c r="C490" s="178"/>
      <c r="D490" s="193"/>
      <c r="E490" s="193"/>
      <c r="F490" s="180"/>
      <c r="G490" s="180"/>
      <c r="H490" s="180"/>
      <c r="I490" s="180"/>
      <c r="J490" s="180"/>
      <c r="K490" s="180"/>
      <c r="L490" s="180"/>
      <c r="M490" s="181"/>
      <c r="N490" s="163" t="str">
        <f t="shared" ref="N490:N509" si="39">CONCATENATE(C490,H490)</f>
        <v/>
      </c>
      <c r="O490" s="126" t="str">
        <f t="shared" ref="O490:O508" si="40">IF(D490&gt;=E490,"-","ERR")</f>
        <v>-</v>
      </c>
      <c r="P490" s="164"/>
      <c r="Q490" s="164"/>
      <c r="R490" s="164"/>
      <c r="S490" s="164"/>
      <c r="T490" s="164"/>
      <c r="U490" s="164"/>
      <c r="V490" s="164"/>
    </row>
    <row r="491" spans="1:25" ht="27" customHeight="1">
      <c r="A491" s="192" t="str">
        <f>IF(ISBLANK(C491)," ",486-COUNTBLANK($C$6:C491))</f>
        <v xml:space="preserve"> </v>
      </c>
      <c r="B491" s="178"/>
      <c r="C491" s="178"/>
      <c r="D491" s="193"/>
      <c r="E491" s="193"/>
      <c r="F491" s="180"/>
      <c r="G491" s="180"/>
      <c r="H491" s="180"/>
      <c r="I491" s="180"/>
      <c r="J491" s="180"/>
      <c r="K491" s="180"/>
      <c r="L491" s="180"/>
      <c r="M491" s="181"/>
      <c r="N491" s="163" t="str">
        <f t="shared" si="39"/>
        <v/>
      </c>
      <c r="O491" s="126" t="str">
        <f t="shared" si="40"/>
        <v>-</v>
      </c>
      <c r="P491" s="164"/>
      <c r="Q491" s="164"/>
      <c r="R491" s="164"/>
      <c r="S491" s="164"/>
      <c r="T491" s="164"/>
      <c r="U491" s="164"/>
      <c r="V491" s="164"/>
    </row>
    <row r="492" spans="1:25" ht="27" customHeight="1">
      <c r="A492" s="192" t="str">
        <f>IF(ISBLANK(C492)," ",487-COUNTBLANK($C$6:C492))</f>
        <v xml:space="preserve"> </v>
      </c>
      <c r="B492" s="178"/>
      <c r="C492" s="178"/>
      <c r="D492" s="193"/>
      <c r="E492" s="193"/>
      <c r="F492" s="180"/>
      <c r="G492" s="180"/>
      <c r="H492" s="180"/>
      <c r="I492" s="180"/>
      <c r="J492" s="180"/>
      <c r="K492" s="180"/>
      <c r="L492" s="180"/>
      <c r="M492" s="181"/>
      <c r="N492" s="163" t="str">
        <f t="shared" si="39"/>
        <v/>
      </c>
      <c r="O492" s="126" t="str">
        <f t="shared" si="40"/>
        <v>-</v>
      </c>
      <c r="P492" s="164"/>
      <c r="Q492" s="164"/>
      <c r="R492" s="164"/>
      <c r="S492" s="164"/>
      <c r="T492" s="164"/>
      <c r="U492" s="164"/>
      <c r="V492" s="164"/>
    </row>
    <row r="493" spans="1:25" ht="27" customHeight="1">
      <c r="A493" s="192" t="str">
        <f>IF(ISBLANK(C493)," ",488-COUNTBLANK($C$6:C493))</f>
        <v xml:space="preserve"> </v>
      </c>
      <c r="B493" s="178"/>
      <c r="C493" s="178"/>
      <c r="D493" s="193"/>
      <c r="E493" s="193"/>
      <c r="F493" s="180"/>
      <c r="G493" s="180"/>
      <c r="H493" s="180"/>
      <c r="I493" s="180"/>
      <c r="J493" s="180"/>
      <c r="K493" s="180"/>
      <c r="L493" s="180"/>
      <c r="M493" s="181"/>
      <c r="N493" s="163" t="str">
        <f t="shared" si="39"/>
        <v/>
      </c>
      <c r="O493" s="126" t="str">
        <f t="shared" si="40"/>
        <v>-</v>
      </c>
      <c r="P493" s="164"/>
      <c r="Q493" s="164"/>
      <c r="R493" s="164"/>
      <c r="S493" s="164"/>
      <c r="T493" s="164"/>
      <c r="U493" s="164"/>
      <c r="V493" s="164"/>
    </row>
    <row r="494" spans="1:25" ht="27" customHeight="1">
      <c r="A494" s="192" t="str">
        <f>IF(ISBLANK(C494)," ",489-COUNTBLANK($C$6:C494))</f>
        <v xml:space="preserve"> </v>
      </c>
      <c r="B494" s="178"/>
      <c r="C494" s="178"/>
      <c r="D494" s="193"/>
      <c r="E494" s="193"/>
      <c r="F494" s="180"/>
      <c r="G494" s="180"/>
      <c r="H494" s="180"/>
      <c r="I494" s="180"/>
      <c r="J494" s="180"/>
      <c r="K494" s="180"/>
      <c r="L494" s="180"/>
      <c r="M494" s="181"/>
      <c r="N494" s="163" t="str">
        <f t="shared" si="39"/>
        <v/>
      </c>
      <c r="O494" s="126" t="str">
        <f t="shared" si="40"/>
        <v>-</v>
      </c>
      <c r="P494" s="164"/>
      <c r="Q494" s="164"/>
      <c r="R494" s="164"/>
      <c r="S494" s="164"/>
      <c r="T494" s="164"/>
      <c r="U494" s="164"/>
      <c r="V494" s="164"/>
    </row>
    <row r="495" spans="1:25" ht="27" customHeight="1">
      <c r="A495" s="192" t="str">
        <f>IF(ISBLANK(C495)," ",490-COUNTBLANK($C$6:C495))</f>
        <v xml:space="preserve"> </v>
      </c>
      <c r="B495" s="178"/>
      <c r="C495" s="178"/>
      <c r="D495" s="193"/>
      <c r="E495" s="193"/>
      <c r="F495" s="180"/>
      <c r="G495" s="180"/>
      <c r="H495" s="180"/>
      <c r="I495" s="180"/>
      <c r="J495" s="180"/>
      <c r="K495" s="180"/>
      <c r="L495" s="180"/>
      <c r="M495" s="181"/>
      <c r="N495" s="163" t="str">
        <f t="shared" si="39"/>
        <v/>
      </c>
      <c r="O495" s="126" t="str">
        <f t="shared" si="40"/>
        <v>-</v>
      </c>
      <c r="P495" s="164"/>
      <c r="Q495" s="164"/>
      <c r="R495" s="164"/>
      <c r="S495" s="164"/>
      <c r="T495" s="164"/>
      <c r="U495" s="164"/>
      <c r="V495" s="164"/>
    </row>
    <row r="496" spans="1:25" ht="27" customHeight="1">
      <c r="A496" s="192" t="str">
        <f>IF(ISBLANK(C496)," ",491-COUNTBLANK($C$6:C496))</f>
        <v xml:space="preserve"> </v>
      </c>
      <c r="B496" s="178"/>
      <c r="C496" s="178"/>
      <c r="D496" s="193"/>
      <c r="E496" s="193"/>
      <c r="F496" s="180"/>
      <c r="G496" s="180"/>
      <c r="H496" s="180"/>
      <c r="I496" s="180"/>
      <c r="J496" s="180"/>
      <c r="K496" s="180"/>
      <c r="L496" s="180"/>
      <c r="M496" s="181"/>
      <c r="N496" s="163" t="str">
        <f t="shared" si="39"/>
        <v/>
      </c>
      <c r="O496" s="126" t="str">
        <f t="shared" si="40"/>
        <v>-</v>
      </c>
      <c r="P496" s="164"/>
      <c r="Q496" s="164"/>
      <c r="R496" s="164"/>
      <c r="S496" s="164"/>
      <c r="T496" s="164"/>
      <c r="U496" s="164"/>
      <c r="V496" s="164"/>
    </row>
    <row r="497" spans="1:25" ht="27" customHeight="1">
      <c r="A497" s="192" t="str">
        <f>IF(ISBLANK(C497)," ",492-COUNTBLANK($C$6:C497))</f>
        <v xml:space="preserve"> </v>
      </c>
      <c r="B497" s="178"/>
      <c r="C497" s="178"/>
      <c r="D497" s="193"/>
      <c r="E497" s="193"/>
      <c r="F497" s="180"/>
      <c r="G497" s="180"/>
      <c r="H497" s="180"/>
      <c r="I497" s="180"/>
      <c r="J497" s="180"/>
      <c r="K497" s="180"/>
      <c r="L497" s="180"/>
      <c r="M497" s="181"/>
      <c r="N497" s="163" t="str">
        <f t="shared" si="39"/>
        <v/>
      </c>
      <c r="O497" s="126" t="str">
        <f t="shared" si="40"/>
        <v>-</v>
      </c>
      <c r="P497" s="164"/>
      <c r="Q497" s="164"/>
      <c r="R497" s="164"/>
      <c r="S497" s="164"/>
      <c r="T497" s="164"/>
      <c r="U497" s="164"/>
      <c r="V497" s="164"/>
    </row>
    <row r="498" spans="1:25" ht="27" customHeight="1">
      <c r="A498" s="192" t="str">
        <f>IF(ISBLANK(C498)," ",493-COUNTBLANK($C$6:C498))</f>
        <v xml:space="preserve"> </v>
      </c>
      <c r="B498" s="178"/>
      <c r="C498" s="178"/>
      <c r="D498" s="193"/>
      <c r="E498" s="193"/>
      <c r="F498" s="180"/>
      <c r="G498" s="180"/>
      <c r="H498" s="180"/>
      <c r="I498" s="180"/>
      <c r="J498" s="180"/>
      <c r="K498" s="180"/>
      <c r="L498" s="180"/>
      <c r="M498" s="181"/>
      <c r="N498" s="163" t="str">
        <f t="shared" si="39"/>
        <v/>
      </c>
      <c r="O498" s="126" t="str">
        <f t="shared" si="40"/>
        <v>-</v>
      </c>
      <c r="P498" s="164"/>
      <c r="Q498" s="164"/>
      <c r="R498" s="164"/>
      <c r="S498" s="164"/>
      <c r="T498" s="164"/>
      <c r="U498" s="164"/>
      <c r="V498" s="164"/>
    </row>
    <row r="499" spans="1:25" ht="27" customHeight="1">
      <c r="A499" s="192" t="str">
        <f>IF(ISBLANK(C499)," ",494-COUNTBLANK($C$6:C499))</f>
        <v xml:space="preserve"> </v>
      </c>
      <c r="B499" s="178"/>
      <c r="C499" s="178"/>
      <c r="D499" s="193"/>
      <c r="E499" s="193"/>
      <c r="F499" s="180"/>
      <c r="G499" s="180"/>
      <c r="H499" s="180"/>
      <c r="I499" s="180"/>
      <c r="J499" s="180"/>
      <c r="K499" s="180"/>
      <c r="L499" s="180"/>
      <c r="M499" s="181"/>
      <c r="N499" s="163" t="str">
        <f t="shared" si="39"/>
        <v/>
      </c>
      <c r="O499" s="126" t="str">
        <f t="shared" si="40"/>
        <v>-</v>
      </c>
      <c r="P499" s="164"/>
      <c r="Q499" s="164"/>
      <c r="R499" s="164"/>
      <c r="S499" s="164"/>
      <c r="T499" s="164"/>
      <c r="U499" s="164"/>
      <c r="V499" s="164"/>
    </row>
    <row r="500" spans="1:25" ht="27" customHeight="1">
      <c r="A500" s="192" t="str">
        <f>IF(ISBLANK(C500)," ",495-COUNTBLANK($C$6:C500))</f>
        <v xml:space="preserve"> </v>
      </c>
      <c r="B500" s="178"/>
      <c r="C500" s="178"/>
      <c r="D500" s="193"/>
      <c r="E500" s="193"/>
      <c r="F500" s="180"/>
      <c r="G500" s="180"/>
      <c r="H500" s="180"/>
      <c r="I500" s="180"/>
      <c r="J500" s="180"/>
      <c r="K500" s="180"/>
      <c r="L500" s="180"/>
      <c r="M500" s="181"/>
      <c r="N500" s="163" t="str">
        <f t="shared" si="39"/>
        <v/>
      </c>
      <c r="O500" s="126" t="str">
        <f t="shared" si="40"/>
        <v>-</v>
      </c>
      <c r="P500" s="164"/>
      <c r="Q500" s="164"/>
      <c r="R500" s="164"/>
      <c r="S500" s="164"/>
      <c r="T500" s="164"/>
      <c r="U500" s="164"/>
      <c r="V500" s="164"/>
    </row>
    <row r="501" spans="1:25" ht="27" customHeight="1">
      <c r="A501" s="192" t="str">
        <f>IF(ISBLANK(C501)," ",496-COUNTBLANK($C$6:C501))</f>
        <v xml:space="preserve"> </v>
      </c>
      <c r="B501" s="178"/>
      <c r="C501" s="178"/>
      <c r="D501" s="193"/>
      <c r="E501" s="193"/>
      <c r="F501" s="180"/>
      <c r="G501" s="180"/>
      <c r="H501" s="180"/>
      <c r="I501" s="180"/>
      <c r="J501" s="180"/>
      <c r="K501" s="180"/>
      <c r="L501" s="180"/>
      <c r="M501" s="181"/>
      <c r="N501" s="163" t="str">
        <f t="shared" si="39"/>
        <v/>
      </c>
      <c r="O501" s="126" t="str">
        <f t="shared" si="40"/>
        <v>-</v>
      </c>
      <c r="P501" s="164"/>
      <c r="Q501" s="164"/>
      <c r="R501" s="164"/>
      <c r="S501" s="164"/>
      <c r="T501" s="164"/>
      <c r="U501" s="164"/>
      <c r="V501" s="164"/>
    </row>
    <row r="502" spans="1:25" ht="27" customHeight="1">
      <c r="A502" s="192" t="str">
        <f>IF(ISBLANK(C502)," ",497-COUNTBLANK($C$6:C502))</f>
        <v xml:space="preserve"> </v>
      </c>
      <c r="B502" s="178"/>
      <c r="C502" s="178"/>
      <c r="D502" s="193"/>
      <c r="E502" s="193"/>
      <c r="F502" s="180"/>
      <c r="G502" s="180"/>
      <c r="H502" s="180"/>
      <c r="I502" s="180"/>
      <c r="J502" s="180"/>
      <c r="K502" s="180"/>
      <c r="L502" s="180"/>
      <c r="M502" s="181"/>
      <c r="N502" s="163" t="str">
        <f t="shared" si="39"/>
        <v/>
      </c>
      <c r="O502" s="126" t="str">
        <f t="shared" si="40"/>
        <v>-</v>
      </c>
      <c r="P502" s="164"/>
      <c r="Q502" s="164"/>
      <c r="R502" s="164"/>
      <c r="S502" s="164"/>
      <c r="T502" s="164"/>
      <c r="U502" s="164"/>
      <c r="V502" s="164"/>
    </row>
    <row r="503" spans="1:25" ht="27" customHeight="1">
      <c r="A503" s="192" t="str">
        <f>IF(ISBLANK(C503)," ",498-COUNTBLANK($C$6:C503))</f>
        <v xml:space="preserve"> </v>
      </c>
      <c r="B503" s="178"/>
      <c r="C503" s="178"/>
      <c r="D503" s="193"/>
      <c r="E503" s="193"/>
      <c r="F503" s="180"/>
      <c r="G503" s="180"/>
      <c r="H503" s="180"/>
      <c r="I503" s="180"/>
      <c r="J503" s="180"/>
      <c r="K503" s="180"/>
      <c r="L503" s="180"/>
      <c r="M503" s="181"/>
      <c r="N503" s="163" t="str">
        <f t="shared" si="39"/>
        <v/>
      </c>
      <c r="O503" s="126" t="str">
        <f t="shared" si="40"/>
        <v>-</v>
      </c>
      <c r="P503" s="164"/>
      <c r="Q503" s="164"/>
      <c r="R503" s="164"/>
      <c r="S503" s="164"/>
      <c r="T503" s="164"/>
      <c r="U503" s="164"/>
      <c r="V503" s="164"/>
    </row>
    <row r="504" spans="1:25" ht="27" customHeight="1">
      <c r="A504" s="192" t="str">
        <f>IF(ISBLANK(C504)," ",499-COUNTBLANK($C$6:C504))</f>
        <v xml:space="preserve"> </v>
      </c>
      <c r="B504" s="178"/>
      <c r="C504" s="178"/>
      <c r="D504" s="193"/>
      <c r="E504" s="193"/>
      <c r="F504" s="180"/>
      <c r="G504" s="180"/>
      <c r="H504" s="180"/>
      <c r="I504" s="180"/>
      <c r="J504" s="180"/>
      <c r="K504" s="180"/>
      <c r="L504" s="180"/>
      <c r="M504" s="181"/>
      <c r="N504" s="163" t="str">
        <f t="shared" si="39"/>
        <v/>
      </c>
      <c r="O504" s="126" t="str">
        <f t="shared" si="40"/>
        <v>-</v>
      </c>
      <c r="P504" s="164"/>
      <c r="Q504" s="164"/>
      <c r="R504" s="164"/>
      <c r="S504" s="164"/>
      <c r="T504" s="164"/>
      <c r="U504" s="164"/>
      <c r="V504" s="165"/>
    </row>
    <row r="505" spans="1:25" ht="27" customHeight="1">
      <c r="A505" s="192" t="str">
        <f>IF(ISBLANK(C505)," ",500-COUNTBLANK($C$6:C505))</f>
        <v xml:space="preserve"> </v>
      </c>
      <c r="B505" s="178"/>
      <c r="C505" s="178"/>
      <c r="D505" s="193"/>
      <c r="E505" s="193"/>
      <c r="F505" s="180"/>
      <c r="G505" s="180"/>
      <c r="H505" s="180"/>
      <c r="I505" s="180"/>
      <c r="J505" s="180"/>
      <c r="K505" s="180"/>
      <c r="L505" s="180"/>
      <c r="M505" s="181"/>
      <c r="N505" s="163" t="str">
        <f t="shared" si="39"/>
        <v/>
      </c>
      <c r="O505" s="126" t="str">
        <f t="shared" si="40"/>
        <v>-</v>
      </c>
      <c r="P505" s="164"/>
      <c r="Q505" s="164"/>
      <c r="R505" s="164"/>
      <c r="S505" s="164"/>
      <c r="T505" s="164"/>
      <c r="U505" s="164"/>
      <c r="V505" s="165"/>
    </row>
    <row r="506" spans="1:25" ht="27" customHeight="1">
      <c r="A506" s="192" t="str">
        <f>IF(ISBLANK(C506)," ",501-COUNTBLANK($C$6:C506))</f>
        <v xml:space="preserve"> </v>
      </c>
      <c r="B506" s="178"/>
      <c r="C506" s="178"/>
      <c r="D506" s="193"/>
      <c r="E506" s="193"/>
      <c r="F506" s="180"/>
      <c r="G506" s="180"/>
      <c r="H506" s="180"/>
      <c r="I506" s="180"/>
      <c r="J506" s="180"/>
      <c r="K506" s="180"/>
      <c r="L506" s="180"/>
      <c r="M506" s="181"/>
      <c r="N506" s="163" t="str">
        <f t="shared" si="39"/>
        <v/>
      </c>
      <c r="O506" s="126" t="str">
        <f t="shared" si="40"/>
        <v>-</v>
      </c>
      <c r="P506" s="164"/>
      <c r="Q506" s="164"/>
      <c r="R506" s="164"/>
      <c r="S506" s="164"/>
      <c r="T506" s="164"/>
      <c r="U506" s="164"/>
      <c r="V506" s="165"/>
    </row>
    <row r="507" spans="1:25" ht="27" customHeight="1">
      <c r="A507" s="192" t="str">
        <f>IF(ISBLANK(C507)," ",502-COUNTBLANK($C$6:C507))</f>
        <v xml:space="preserve"> </v>
      </c>
      <c r="B507" s="178"/>
      <c r="C507" s="178"/>
      <c r="D507" s="193"/>
      <c r="E507" s="193"/>
      <c r="F507" s="180"/>
      <c r="G507" s="180"/>
      <c r="H507" s="180"/>
      <c r="I507" s="180"/>
      <c r="J507" s="180"/>
      <c r="K507" s="180"/>
      <c r="L507" s="180"/>
      <c r="M507" s="181"/>
      <c r="N507" s="163" t="str">
        <f t="shared" si="39"/>
        <v/>
      </c>
      <c r="O507" s="126" t="str">
        <f t="shared" si="40"/>
        <v>-</v>
      </c>
      <c r="P507" s="164"/>
      <c r="Q507" s="164"/>
      <c r="R507" s="164"/>
      <c r="S507" s="164"/>
      <c r="T507" s="164"/>
      <c r="U507" s="164"/>
      <c r="V507" s="165"/>
    </row>
    <row r="508" spans="1:25" ht="27" customHeight="1">
      <c r="A508" s="192" t="str">
        <f>IF(ISBLANK(C508)," ",503-COUNTBLANK($C$6:C508))</f>
        <v xml:space="preserve"> </v>
      </c>
      <c r="B508" s="178"/>
      <c r="C508" s="178"/>
      <c r="D508" s="193"/>
      <c r="E508" s="193"/>
      <c r="F508" s="180"/>
      <c r="G508" s="180"/>
      <c r="H508" s="180"/>
      <c r="I508" s="180"/>
      <c r="J508" s="180"/>
      <c r="K508" s="180"/>
      <c r="L508" s="180"/>
      <c r="M508" s="181"/>
      <c r="N508" s="163" t="str">
        <f t="shared" si="39"/>
        <v/>
      </c>
      <c r="O508" s="126" t="str">
        <f t="shared" si="40"/>
        <v>-</v>
      </c>
      <c r="P508" s="164"/>
      <c r="Q508" s="164"/>
      <c r="R508" s="164"/>
      <c r="S508" s="164"/>
      <c r="T508" s="164"/>
      <c r="U508" s="164"/>
      <c r="V508" s="166"/>
      <c r="W508" s="164"/>
      <c r="X508" s="164"/>
      <c r="Y508" s="164"/>
    </row>
    <row r="509" spans="1:25" ht="27" customHeight="1">
      <c r="A509" s="172" t="s">
        <v>44</v>
      </c>
      <c r="B509" s="173"/>
      <c r="C509" s="174"/>
      <c r="D509" s="194"/>
      <c r="E509" s="194">
        <f>SUM(E489:E508)</f>
        <v>0</v>
      </c>
      <c r="F509" s="176"/>
      <c r="G509" s="176"/>
      <c r="H509" s="176"/>
      <c r="I509" s="176"/>
      <c r="J509" s="176"/>
      <c r="K509" s="176"/>
      <c r="L509" s="176"/>
      <c r="M509" s="177"/>
      <c r="N509" s="163" t="str">
        <f t="shared" si="39"/>
        <v/>
      </c>
      <c r="O509" s="126"/>
      <c r="P509" s="164"/>
      <c r="Q509" s="164"/>
      <c r="R509" s="164"/>
      <c r="S509" s="164"/>
      <c r="T509" s="164"/>
      <c r="U509" s="164"/>
      <c r="V509" s="166"/>
      <c r="W509" s="164"/>
      <c r="X509" s="164"/>
      <c r="Y509" s="164"/>
    </row>
    <row r="510" spans="1:25" ht="27" customHeight="1">
      <c r="A510" s="187" t="str">
        <f>IF(ISBLANK(C510)," ",505-COUNTBLANK($C$6:C510))</f>
        <v xml:space="preserve"> </v>
      </c>
      <c r="B510" s="188"/>
      <c r="C510" s="188"/>
      <c r="D510" s="189"/>
      <c r="E510" s="189"/>
      <c r="F510" s="190"/>
      <c r="G510" s="190"/>
      <c r="H510" s="190"/>
      <c r="I510" s="190"/>
      <c r="J510" s="190"/>
      <c r="K510" s="190"/>
      <c r="L510" s="190"/>
      <c r="M510" s="191"/>
      <c r="N510" s="163" t="str">
        <f>CONCATENATE(C510,H510)</f>
        <v/>
      </c>
      <c r="O510" s="126" t="str">
        <f>IF(D510&gt;=E510,"-","ERR")</f>
        <v>-</v>
      </c>
      <c r="P510" s="164"/>
      <c r="Q510" s="164"/>
      <c r="R510" s="164"/>
      <c r="S510" s="164"/>
      <c r="T510" s="164"/>
      <c r="U510" s="164"/>
      <c r="V510" s="164"/>
    </row>
    <row r="511" spans="1:25" ht="27" customHeight="1">
      <c r="A511" s="192" t="str">
        <f>IF(ISBLANK(C511)," ",506-COUNTBLANK($C$6:C511))</f>
        <v xml:space="preserve"> </v>
      </c>
      <c r="B511" s="178"/>
      <c r="C511" s="178"/>
      <c r="D511" s="193"/>
      <c r="E511" s="193"/>
      <c r="F511" s="180"/>
      <c r="G511" s="180"/>
      <c r="H511" s="180"/>
      <c r="I511" s="180"/>
      <c r="J511" s="180"/>
      <c r="K511" s="180"/>
      <c r="L511" s="180"/>
      <c r="M511" s="181"/>
      <c r="N511" s="163" t="str">
        <f t="shared" ref="N511:N530" si="41">CONCATENATE(C511,H511)</f>
        <v/>
      </c>
      <c r="O511" s="126" t="str">
        <f t="shared" ref="O511:O529" si="42">IF(D511&gt;=E511,"-","ERR")</f>
        <v>-</v>
      </c>
      <c r="P511" s="164"/>
      <c r="Q511" s="164"/>
      <c r="R511" s="164"/>
      <c r="S511" s="164"/>
      <c r="T511" s="164"/>
      <c r="U511" s="164"/>
      <c r="V511" s="164"/>
    </row>
    <row r="512" spans="1:25" ht="27" customHeight="1">
      <c r="A512" s="192" t="str">
        <f>IF(ISBLANK(C512)," ",507-COUNTBLANK($C$6:C512))</f>
        <v xml:space="preserve"> </v>
      </c>
      <c r="B512" s="178"/>
      <c r="C512" s="178"/>
      <c r="D512" s="193"/>
      <c r="E512" s="193"/>
      <c r="F512" s="180"/>
      <c r="G512" s="180"/>
      <c r="H512" s="180"/>
      <c r="I512" s="180"/>
      <c r="J512" s="180"/>
      <c r="K512" s="180"/>
      <c r="L512" s="180"/>
      <c r="M512" s="181"/>
      <c r="N512" s="163" t="str">
        <f t="shared" si="41"/>
        <v/>
      </c>
      <c r="O512" s="126" t="str">
        <f t="shared" si="42"/>
        <v>-</v>
      </c>
      <c r="P512" s="164"/>
      <c r="Q512" s="164"/>
      <c r="R512" s="164"/>
      <c r="S512" s="164"/>
      <c r="T512" s="164"/>
      <c r="U512" s="164"/>
      <c r="V512" s="164"/>
    </row>
    <row r="513" spans="1:22" ht="27" customHeight="1">
      <c r="A513" s="192" t="str">
        <f>IF(ISBLANK(C513)," ",508-COUNTBLANK($C$6:C513))</f>
        <v xml:space="preserve"> </v>
      </c>
      <c r="B513" s="178"/>
      <c r="C513" s="178"/>
      <c r="D513" s="193"/>
      <c r="E513" s="193"/>
      <c r="F513" s="180"/>
      <c r="G513" s="180"/>
      <c r="H513" s="180"/>
      <c r="I513" s="180"/>
      <c r="J513" s="180"/>
      <c r="K513" s="180"/>
      <c r="L513" s="180"/>
      <c r="M513" s="181"/>
      <c r="N513" s="163" t="str">
        <f t="shared" si="41"/>
        <v/>
      </c>
      <c r="O513" s="126" t="str">
        <f t="shared" si="42"/>
        <v>-</v>
      </c>
      <c r="P513" s="164"/>
      <c r="Q513" s="164"/>
      <c r="R513" s="164"/>
      <c r="S513" s="164"/>
      <c r="T513" s="164"/>
      <c r="U513" s="164"/>
      <c r="V513" s="164"/>
    </row>
    <row r="514" spans="1:22" ht="27" customHeight="1">
      <c r="A514" s="192" t="str">
        <f>IF(ISBLANK(C514)," ",509-COUNTBLANK($C$6:C514))</f>
        <v xml:space="preserve"> </v>
      </c>
      <c r="B514" s="178"/>
      <c r="C514" s="178"/>
      <c r="D514" s="193"/>
      <c r="E514" s="193"/>
      <c r="F514" s="180"/>
      <c r="G514" s="180"/>
      <c r="H514" s="180"/>
      <c r="I514" s="180"/>
      <c r="J514" s="180"/>
      <c r="K514" s="180"/>
      <c r="L514" s="180"/>
      <c r="M514" s="181"/>
      <c r="N514" s="163" t="str">
        <f t="shared" si="41"/>
        <v/>
      </c>
      <c r="O514" s="126" t="str">
        <f t="shared" si="42"/>
        <v>-</v>
      </c>
      <c r="P514" s="164"/>
      <c r="Q514" s="164"/>
      <c r="R514" s="164"/>
      <c r="S514" s="164"/>
      <c r="T514" s="164"/>
      <c r="U514" s="164"/>
      <c r="V514" s="164"/>
    </row>
    <row r="515" spans="1:22" ht="27" customHeight="1">
      <c r="A515" s="192" t="str">
        <f>IF(ISBLANK(C515)," ",510-COUNTBLANK($C$6:C515))</f>
        <v xml:space="preserve"> </v>
      </c>
      <c r="B515" s="178"/>
      <c r="C515" s="178"/>
      <c r="D515" s="193"/>
      <c r="E515" s="193"/>
      <c r="F515" s="180"/>
      <c r="G515" s="180"/>
      <c r="H515" s="180"/>
      <c r="I515" s="180"/>
      <c r="J515" s="180"/>
      <c r="K515" s="180"/>
      <c r="L515" s="180"/>
      <c r="M515" s="181"/>
      <c r="N515" s="163" t="str">
        <f t="shared" si="41"/>
        <v/>
      </c>
      <c r="O515" s="126" t="str">
        <f t="shared" si="42"/>
        <v>-</v>
      </c>
      <c r="P515" s="164"/>
      <c r="Q515" s="164"/>
      <c r="R515" s="164"/>
      <c r="S515" s="164"/>
      <c r="T515" s="164"/>
      <c r="U515" s="164"/>
      <c r="V515" s="164"/>
    </row>
    <row r="516" spans="1:22" ht="27" customHeight="1">
      <c r="A516" s="192" t="str">
        <f>IF(ISBLANK(C516)," ",511-COUNTBLANK($C$6:C516))</f>
        <v xml:space="preserve"> </v>
      </c>
      <c r="B516" s="178"/>
      <c r="C516" s="178"/>
      <c r="D516" s="193"/>
      <c r="E516" s="193"/>
      <c r="F516" s="180"/>
      <c r="G516" s="180"/>
      <c r="H516" s="180"/>
      <c r="I516" s="180"/>
      <c r="J516" s="180"/>
      <c r="K516" s="180"/>
      <c r="L516" s="180"/>
      <c r="M516" s="181"/>
      <c r="N516" s="163" t="str">
        <f t="shared" si="41"/>
        <v/>
      </c>
      <c r="O516" s="126" t="str">
        <f t="shared" si="42"/>
        <v>-</v>
      </c>
      <c r="P516" s="164"/>
      <c r="Q516" s="164"/>
      <c r="R516" s="164"/>
      <c r="S516" s="164"/>
      <c r="T516" s="164"/>
      <c r="U516" s="164"/>
      <c r="V516" s="164"/>
    </row>
    <row r="517" spans="1:22" ht="27" customHeight="1">
      <c r="A517" s="192" t="str">
        <f>IF(ISBLANK(C517)," ",512-COUNTBLANK($C$6:C517))</f>
        <v xml:space="preserve"> </v>
      </c>
      <c r="B517" s="178"/>
      <c r="C517" s="178"/>
      <c r="D517" s="193"/>
      <c r="E517" s="193"/>
      <c r="F517" s="180"/>
      <c r="G517" s="180"/>
      <c r="H517" s="180"/>
      <c r="I517" s="180"/>
      <c r="J517" s="180"/>
      <c r="K517" s="180"/>
      <c r="L517" s="180"/>
      <c r="M517" s="181"/>
      <c r="N517" s="163" t="str">
        <f t="shared" si="41"/>
        <v/>
      </c>
      <c r="O517" s="126" t="str">
        <f t="shared" si="42"/>
        <v>-</v>
      </c>
      <c r="P517" s="164"/>
      <c r="Q517" s="164"/>
      <c r="R517" s="164"/>
      <c r="S517" s="164"/>
      <c r="T517" s="164"/>
      <c r="U517" s="164"/>
      <c r="V517" s="164"/>
    </row>
    <row r="518" spans="1:22" ht="27" customHeight="1">
      <c r="A518" s="192" t="str">
        <f>IF(ISBLANK(C518)," ",513-COUNTBLANK($C$6:C518))</f>
        <v xml:space="preserve"> </v>
      </c>
      <c r="B518" s="178"/>
      <c r="C518" s="178"/>
      <c r="D518" s="193"/>
      <c r="E518" s="193"/>
      <c r="F518" s="180"/>
      <c r="G518" s="180"/>
      <c r="H518" s="180"/>
      <c r="I518" s="180"/>
      <c r="J518" s="180"/>
      <c r="K518" s="180"/>
      <c r="L518" s="180"/>
      <c r="M518" s="181"/>
      <c r="N518" s="163" t="str">
        <f t="shared" si="41"/>
        <v/>
      </c>
      <c r="O518" s="126" t="str">
        <f t="shared" si="42"/>
        <v>-</v>
      </c>
      <c r="P518" s="164"/>
      <c r="Q518" s="164"/>
      <c r="R518" s="164"/>
      <c r="S518" s="164"/>
      <c r="T518" s="164"/>
      <c r="U518" s="164"/>
      <c r="V518" s="164"/>
    </row>
    <row r="519" spans="1:22" ht="27" customHeight="1">
      <c r="A519" s="192" t="str">
        <f>IF(ISBLANK(C519)," ",514-COUNTBLANK($C$6:C519))</f>
        <v xml:space="preserve"> </v>
      </c>
      <c r="B519" s="178"/>
      <c r="C519" s="178"/>
      <c r="D519" s="193"/>
      <c r="E519" s="193"/>
      <c r="F519" s="180"/>
      <c r="G519" s="180"/>
      <c r="H519" s="180"/>
      <c r="I519" s="180"/>
      <c r="J519" s="180"/>
      <c r="K519" s="180"/>
      <c r="L519" s="180"/>
      <c r="M519" s="181"/>
      <c r="N519" s="163" t="str">
        <f t="shared" si="41"/>
        <v/>
      </c>
      <c r="O519" s="126" t="str">
        <f t="shared" si="42"/>
        <v>-</v>
      </c>
      <c r="P519" s="164"/>
      <c r="Q519" s="164"/>
      <c r="R519" s="164"/>
      <c r="S519" s="164"/>
      <c r="T519" s="164"/>
      <c r="U519" s="164"/>
      <c r="V519" s="164"/>
    </row>
    <row r="520" spans="1:22" ht="27" customHeight="1">
      <c r="A520" s="192" t="str">
        <f>IF(ISBLANK(C520)," ",515-COUNTBLANK($C$6:C520))</f>
        <v xml:space="preserve"> </v>
      </c>
      <c r="B520" s="178"/>
      <c r="C520" s="178"/>
      <c r="D520" s="193"/>
      <c r="E520" s="193"/>
      <c r="F520" s="180"/>
      <c r="G520" s="180"/>
      <c r="H520" s="180"/>
      <c r="I520" s="180"/>
      <c r="J520" s="180"/>
      <c r="K520" s="180"/>
      <c r="L520" s="180"/>
      <c r="M520" s="181"/>
      <c r="N520" s="163" t="str">
        <f t="shared" si="41"/>
        <v/>
      </c>
      <c r="O520" s="126" t="str">
        <f t="shared" si="42"/>
        <v>-</v>
      </c>
      <c r="P520" s="164"/>
      <c r="Q520" s="164"/>
      <c r="R520" s="164"/>
      <c r="S520" s="164"/>
      <c r="T520" s="164"/>
      <c r="U520" s="164"/>
      <c r="V520" s="164"/>
    </row>
    <row r="521" spans="1:22" ht="27" customHeight="1">
      <c r="A521" s="192" t="str">
        <f>IF(ISBLANK(C521)," ",516-COUNTBLANK($C$6:C521))</f>
        <v xml:space="preserve"> </v>
      </c>
      <c r="B521" s="178"/>
      <c r="C521" s="178"/>
      <c r="D521" s="193"/>
      <c r="E521" s="193"/>
      <c r="F521" s="180"/>
      <c r="G521" s="180"/>
      <c r="H521" s="180"/>
      <c r="I521" s="180"/>
      <c r="J521" s="180"/>
      <c r="K521" s="180"/>
      <c r="L521" s="180"/>
      <c r="M521" s="181"/>
      <c r="N521" s="163" t="str">
        <f t="shared" si="41"/>
        <v/>
      </c>
      <c r="O521" s="126" t="str">
        <f t="shared" si="42"/>
        <v>-</v>
      </c>
      <c r="P521" s="164"/>
      <c r="Q521" s="164"/>
      <c r="R521" s="164"/>
      <c r="S521" s="164"/>
      <c r="T521" s="164"/>
      <c r="U521" s="164"/>
      <c r="V521" s="164"/>
    </row>
    <row r="522" spans="1:22" ht="27" customHeight="1">
      <c r="A522" s="192" t="str">
        <f>IF(ISBLANK(C522)," ",517-COUNTBLANK($C$6:C522))</f>
        <v xml:space="preserve"> </v>
      </c>
      <c r="B522" s="178"/>
      <c r="C522" s="178"/>
      <c r="D522" s="193"/>
      <c r="E522" s="193"/>
      <c r="F522" s="180"/>
      <c r="G522" s="180"/>
      <c r="H522" s="180"/>
      <c r="I522" s="180"/>
      <c r="J522" s="180"/>
      <c r="K522" s="180"/>
      <c r="L522" s="180"/>
      <c r="M522" s="181"/>
      <c r="N522" s="163" t="str">
        <f t="shared" si="41"/>
        <v/>
      </c>
      <c r="O522" s="126" t="str">
        <f t="shared" si="42"/>
        <v>-</v>
      </c>
      <c r="P522" s="164"/>
      <c r="Q522" s="164"/>
      <c r="R522" s="164"/>
      <c r="S522" s="164"/>
      <c r="T522" s="164"/>
      <c r="U522" s="164"/>
      <c r="V522" s="164"/>
    </row>
    <row r="523" spans="1:22" ht="27" customHeight="1">
      <c r="A523" s="192" t="str">
        <f>IF(ISBLANK(C523)," ",518-COUNTBLANK($C$6:C523))</f>
        <v xml:space="preserve"> </v>
      </c>
      <c r="B523" s="178"/>
      <c r="C523" s="178"/>
      <c r="D523" s="193"/>
      <c r="E523" s="193"/>
      <c r="F523" s="180"/>
      <c r="G523" s="180"/>
      <c r="H523" s="180"/>
      <c r="I523" s="180"/>
      <c r="J523" s="180"/>
      <c r="K523" s="180"/>
      <c r="L523" s="180"/>
      <c r="M523" s="181"/>
      <c r="N523" s="163" t="str">
        <f t="shared" si="41"/>
        <v/>
      </c>
      <c r="O523" s="126" t="str">
        <f t="shared" si="42"/>
        <v>-</v>
      </c>
      <c r="P523" s="164"/>
      <c r="Q523" s="164"/>
      <c r="R523" s="164"/>
      <c r="S523" s="164"/>
      <c r="T523" s="164"/>
      <c r="U523" s="164"/>
      <c r="V523" s="164"/>
    </row>
    <row r="524" spans="1:22" ht="27" customHeight="1">
      <c r="A524" s="192" t="str">
        <f>IF(ISBLANK(C524)," ",519-COUNTBLANK($C$6:C524))</f>
        <v xml:space="preserve"> </v>
      </c>
      <c r="B524" s="178"/>
      <c r="C524" s="178"/>
      <c r="D524" s="193"/>
      <c r="E524" s="193"/>
      <c r="F524" s="180"/>
      <c r="G524" s="180"/>
      <c r="H524" s="180"/>
      <c r="I524" s="180"/>
      <c r="J524" s="180"/>
      <c r="K524" s="180"/>
      <c r="L524" s="180"/>
      <c r="M524" s="181"/>
      <c r="N524" s="163" t="str">
        <f t="shared" si="41"/>
        <v/>
      </c>
      <c r="O524" s="126" t="str">
        <f t="shared" si="42"/>
        <v>-</v>
      </c>
      <c r="P524" s="164"/>
      <c r="Q524" s="164"/>
      <c r="R524" s="164"/>
      <c r="S524" s="164"/>
      <c r="T524" s="164"/>
      <c r="U524" s="164"/>
      <c r="V524" s="164"/>
    </row>
    <row r="525" spans="1:22" ht="27" customHeight="1">
      <c r="A525" s="192" t="str">
        <f>IF(ISBLANK(C525)," ",520-COUNTBLANK($C$6:C525))</f>
        <v xml:space="preserve"> </v>
      </c>
      <c r="B525" s="178"/>
      <c r="C525" s="178"/>
      <c r="D525" s="193"/>
      <c r="E525" s="193"/>
      <c r="F525" s="180"/>
      <c r="G525" s="180"/>
      <c r="H525" s="180"/>
      <c r="I525" s="180"/>
      <c r="J525" s="180"/>
      <c r="K525" s="180"/>
      <c r="L525" s="180"/>
      <c r="M525" s="181"/>
      <c r="N525" s="163" t="str">
        <f t="shared" si="41"/>
        <v/>
      </c>
      <c r="O525" s="126" t="str">
        <f t="shared" si="42"/>
        <v>-</v>
      </c>
      <c r="P525" s="164"/>
      <c r="Q525" s="164"/>
      <c r="R525" s="164"/>
      <c r="S525" s="164"/>
      <c r="T525" s="164"/>
      <c r="U525" s="164"/>
      <c r="V525" s="165"/>
    </row>
    <row r="526" spans="1:22" ht="27" customHeight="1">
      <c r="A526" s="192" t="str">
        <f>IF(ISBLANK(C526)," ",521-COUNTBLANK($C$6:C526))</f>
        <v xml:space="preserve"> </v>
      </c>
      <c r="B526" s="178"/>
      <c r="C526" s="178"/>
      <c r="D526" s="193"/>
      <c r="E526" s="193"/>
      <c r="F526" s="180"/>
      <c r="G526" s="180"/>
      <c r="H526" s="180"/>
      <c r="I526" s="180"/>
      <c r="J526" s="180"/>
      <c r="K526" s="180"/>
      <c r="L526" s="180"/>
      <c r="M526" s="181"/>
      <c r="N526" s="163" t="str">
        <f t="shared" si="41"/>
        <v/>
      </c>
      <c r="O526" s="126" t="str">
        <f t="shared" si="42"/>
        <v>-</v>
      </c>
      <c r="P526" s="164"/>
      <c r="Q526" s="164"/>
      <c r="R526" s="164"/>
      <c r="S526" s="164"/>
      <c r="T526" s="164"/>
      <c r="U526" s="164"/>
      <c r="V526" s="165"/>
    </row>
    <row r="527" spans="1:22" ht="27" customHeight="1">
      <c r="A527" s="192" t="str">
        <f>IF(ISBLANK(C527)," ",522-COUNTBLANK($C$6:C527))</f>
        <v xml:space="preserve"> </v>
      </c>
      <c r="B527" s="178"/>
      <c r="C527" s="178"/>
      <c r="D527" s="193"/>
      <c r="E527" s="193"/>
      <c r="F527" s="180"/>
      <c r="G527" s="180"/>
      <c r="H527" s="180"/>
      <c r="I527" s="180"/>
      <c r="J527" s="180"/>
      <c r="K527" s="180"/>
      <c r="L527" s="180"/>
      <c r="M527" s="181"/>
      <c r="N527" s="163" t="str">
        <f t="shared" si="41"/>
        <v/>
      </c>
      <c r="O527" s="126" t="str">
        <f t="shared" si="42"/>
        <v>-</v>
      </c>
      <c r="P527" s="164"/>
      <c r="Q527" s="164"/>
      <c r="R527" s="164"/>
      <c r="S527" s="164"/>
      <c r="T527" s="164"/>
      <c r="U527" s="164"/>
      <c r="V527" s="165"/>
    </row>
    <row r="528" spans="1:22" ht="27" customHeight="1">
      <c r="A528" s="192" t="str">
        <f>IF(ISBLANK(C528)," ",523-COUNTBLANK($C$6:C528))</f>
        <v xml:space="preserve"> </v>
      </c>
      <c r="B528" s="178"/>
      <c r="C528" s="178"/>
      <c r="D528" s="193"/>
      <c r="E528" s="193"/>
      <c r="F528" s="180"/>
      <c r="G528" s="180"/>
      <c r="H528" s="180"/>
      <c r="I528" s="180"/>
      <c r="J528" s="180"/>
      <c r="K528" s="180"/>
      <c r="L528" s="180"/>
      <c r="M528" s="181"/>
      <c r="N528" s="163" t="str">
        <f t="shared" si="41"/>
        <v/>
      </c>
      <c r="O528" s="126" t="str">
        <f t="shared" si="42"/>
        <v>-</v>
      </c>
      <c r="P528" s="164"/>
      <c r="Q528" s="164"/>
      <c r="R528" s="164"/>
      <c r="S528" s="164"/>
      <c r="T528" s="164"/>
      <c r="U528" s="164"/>
      <c r="V528" s="165"/>
    </row>
    <row r="529" spans="1:25" ht="27" customHeight="1">
      <c r="A529" s="192" t="str">
        <f>IF(ISBLANK(C529)," ",524-COUNTBLANK($C$6:C529))</f>
        <v xml:space="preserve"> </v>
      </c>
      <c r="B529" s="178"/>
      <c r="C529" s="178"/>
      <c r="D529" s="193"/>
      <c r="E529" s="193"/>
      <c r="F529" s="180"/>
      <c r="G529" s="180"/>
      <c r="H529" s="180"/>
      <c r="I529" s="180"/>
      <c r="J529" s="180"/>
      <c r="K529" s="180"/>
      <c r="L529" s="180"/>
      <c r="M529" s="181"/>
      <c r="N529" s="163" t="str">
        <f t="shared" si="41"/>
        <v/>
      </c>
      <c r="O529" s="126" t="str">
        <f t="shared" si="42"/>
        <v>-</v>
      </c>
      <c r="P529" s="164"/>
      <c r="Q529" s="164"/>
      <c r="R529" s="164"/>
      <c r="S529" s="164"/>
      <c r="T529" s="164"/>
      <c r="U529" s="164"/>
      <c r="V529" s="166"/>
      <c r="W529" s="164"/>
      <c r="X529" s="164"/>
      <c r="Y529" s="164"/>
    </row>
    <row r="530" spans="1:25" ht="27" customHeight="1">
      <c r="A530" s="172" t="s">
        <v>44</v>
      </c>
      <c r="B530" s="173"/>
      <c r="C530" s="174"/>
      <c r="D530" s="194"/>
      <c r="E530" s="194">
        <f>SUM(E510:E529)</f>
        <v>0</v>
      </c>
      <c r="F530" s="176"/>
      <c r="G530" s="176"/>
      <c r="H530" s="176"/>
      <c r="I530" s="176"/>
      <c r="J530" s="176"/>
      <c r="K530" s="176"/>
      <c r="L530" s="176"/>
      <c r="M530" s="177"/>
      <c r="N530" s="163" t="str">
        <f t="shared" si="41"/>
        <v/>
      </c>
      <c r="O530" s="126"/>
      <c r="P530" s="164"/>
      <c r="Q530" s="164"/>
      <c r="R530" s="164"/>
      <c r="S530" s="164"/>
      <c r="T530" s="164"/>
      <c r="U530" s="164"/>
      <c r="V530" s="166"/>
      <c r="W530" s="164"/>
      <c r="X530" s="164"/>
      <c r="Y530" s="164"/>
    </row>
    <row r="531" spans="1:25">
      <c r="O531" s="142"/>
      <c r="P531" s="197"/>
      <c r="Q531" s="197"/>
      <c r="R531" s="197"/>
      <c r="S531" s="197"/>
      <c r="T531" s="197"/>
      <c r="U531" s="197"/>
      <c r="V531" s="197"/>
    </row>
    <row r="532" spans="1:25">
      <c r="O532" s="142"/>
      <c r="P532" s="197"/>
      <c r="Q532" s="197"/>
      <c r="R532" s="197"/>
      <c r="S532" s="197"/>
      <c r="T532" s="197"/>
      <c r="U532" s="197"/>
      <c r="V532" s="197"/>
    </row>
  </sheetData>
  <autoFilter ref="A5:N530"/>
  <mergeCells count="4">
    <mergeCell ref="B4:B5"/>
    <mergeCell ref="C4:C5"/>
    <mergeCell ref="H4:I4"/>
    <mergeCell ref="M4:M5"/>
  </mergeCells>
  <phoneticPr fontId="6" type="noConversion"/>
  <printOptions horizontalCentered="1" verticalCentered="1"/>
  <pageMargins left="0.19685039370078741" right="0.19685039370078741" top="1.1811023622047245" bottom="0.82" header="0.59055118110236227" footer="0.19685039370078741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showZeros="0" view="pageBreakPreview" topLeftCell="A2" zoomScaleNormal="100" workbookViewId="0">
      <selection activeCell="G139" sqref="G139"/>
    </sheetView>
  </sheetViews>
  <sheetFormatPr defaultRowHeight="11.25"/>
  <cols>
    <col min="1" max="1" width="3.88671875" style="149" customWidth="1"/>
    <col min="2" max="2" width="5.77734375" style="195" customWidth="1"/>
    <col min="3" max="3" width="3.77734375" style="149" customWidth="1"/>
    <col min="4" max="4" width="8.44140625" style="149" customWidth="1"/>
    <col min="5" max="5" width="6.77734375" style="196" customWidth="1"/>
    <col min="6" max="6" width="4.21875" style="149" customWidth="1"/>
    <col min="7" max="7" width="6.77734375" style="149" customWidth="1"/>
    <col min="8" max="8" width="5.77734375" style="149" customWidth="1"/>
    <col min="9" max="9" width="11.6640625" style="149" customWidth="1"/>
    <col min="10" max="10" width="5.77734375" style="149" customWidth="1"/>
    <col min="11" max="11" width="11.77734375" style="149" customWidth="1"/>
    <col min="12" max="12" width="6.77734375" style="149" customWidth="1"/>
    <col min="13" max="13" width="4.77734375" style="149" customWidth="1"/>
    <col min="14" max="14" width="20.77734375" style="197" customWidth="1"/>
    <col min="15" max="15" width="9.77734375" style="56" customWidth="1"/>
    <col min="16" max="21" width="9.77734375" style="149" customWidth="1"/>
    <col min="22" max="22" width="10.77734375" style="149" customWidth="1"/>
    <col min="23" max="16384" width="8.88671875" style="149"/>
  </cols>
  <sheetData>
    <row r="1" spans="1:22" ht="30" customHeight="1">
      <c r="A1" s="143" t="s">
        <v>45</v>
      </c>
      <c r="B1" s="144"/>
      <c r="C1" s="145"/>
      <c r="D1" s="145"/>
      <c r="E1" s="146"/>
      <c r="F1" s="145"/>
      <c r="G1" s="145"/>
      <c r="H1" s="145"/>
      <c r="I1" s="145"/>
      <c r="J1" s="145"/>
      <c r="K1" s="145"/>
      <c r="L1" s="145"/>
      <c r="M1" s="145"/>
      <c r="N1" s="147"/>
      <c r="O1" s="80"/>
      <c r="P1" s="148"/>
      <c r="Q1" s="148"/>
      <c r="R1" s="148"/>
      <c r="S1" s="148"/>
      <c r="T1" s="148"/>
      <c r="U1" s="148"/>
      <c r="V1" s="148"/>
    </row>
    <row r="2" spans="1:22" ht="19.899999999999999" customHeight="1">
      <c r="A2" s="150"/>
      <c r="B2" s="151"/>
      <c r="C2" s="150"/>
      <c r="D2" s="150"/>
      <c r="E2" s="152"/>
      <c r="F2" s="150"/>
      <c r="G2" s="150"/>
      <c r="H2" s="150"/>
      <c r="I2" s="150"/>
      <c r="J2" s="153"/>
      <c r="K2" s="198"/>
      <c r="L2" s="155"/>
      <c r="M2" s="155"/>
      <c r="N2" s="156"/>
      <c r="O2" s="80"/>
      <c r="P2" s="148"/>
      <c r="Q2" s="148"/>
      <c r="R2" s="148"/>
      <c r="S2" s="148"/>
      <c r="T2" s="148"/>
      <c r="U2" s="148"/>
      <c r="V2" s="148"/>
    </row>
    <row r="3" spans="1:22" ht="10.15" customHeight="1">
      <c r="A3" s="150"/>
      <c r="B3" s="151"/>
      <c r="C3" s="150"/>
      <c r="D3" s="150"/>
      <c r="E3" s="152"/>
      <c r="F3" s="150"/>
      <c r="G3" s="150"/>
      <c r="H3" s="150"/>
      <c r="I3" s="150"/>
      <c r="J3" s="150"/>
      <c r="K3" s="150"/>
      <c r="L3" s="150"/>
      <c r="M3" s="150"/>
      <c r="N3" s="150"/>
      <c r="O3" s="80"/>
      <c r="P3" s="148"/>
      <c r="Q3" s="148"/>
      <c r="R3" s="148"/>
      <c r="S3" s="148"/>
      <c r="T3" s="148"/>
      <c r="U3" s="148"/>
      <c r="V3" s="148"/>
    </row>
    <row r="4" spans="1:22" s="159" customFormat="1" ht="27" customHeight="1">
      <c r="A4" s="19" t="s">
        <v>31</v>
      </c>
      <c r="B4" s="225" t="s">
        <v>32</v>
      </c>
      <c r="C4" s="227" t="s">
        <v>33</v>
      </c>
      <c r="D4" s="20" t="s">
        <v>34</v>
      </c>
      <c r="E4" s="21" t="s">
        <v>35</v>
      </c>
      <c r="F4" s="22" t="s">
        <v>36</v>
      </c>
      <c r="G4" s="22"/>
      <c r="H4" s="229" t="s">
        <v>37</v>
      </c>
      <c r="I4" s="230"/>
      <c r="J4" s="23" t="s">
        <v>38</v>
      </c>
      <c r="K4" s="22"/>
      <c r="L4" s="24"/>
      <c r="M4" s="231" t="s">
        <v>30</v>
      </c>
      <c r="N4" s="157"/>
      <c r="O4" s="134"/>
      <c r="P4" s="158"/>
      <c r="Q4" s="158"/>
      <c r="R4" s="158"/>
      <c r="S4" s="158"/>
      <c r="T4" s="158"/>
      <c r="U4" s="158"/>
      <c r="V4" s="158"/>
    </row>
    <row r="5" spans="1:22" s="159" customFormat="1" ht="27" customHeight="1">
      <c r="A5" s="25" t="s">
        <v>39</v>
      </c>
      <c r="B5" s="226"/>
      <c r="C5" s="228"/>
      <c r="D5" s="26" t="s">
        <v>46</v>
      </c>
      <c r="E5" s="26" t="s">
        <v>46</v>
      </c>
      <c r="F5" s="1" t="s">
        <v>33</v>
      </c>
      <c r="G5" s="27" t="s">
        <v>40</v>
      </c>
      <c r="H5" s="27" t="s">
        <v>41</v>
      </c>
      <c r="I5" s="1" t="s">
        <v>42</v>
      </c>
      <c r="J5" s="27" t="s">
        <v>41</v>
      </c>
      <c r="K5" s="27" t="s">
        <v>42</v>
      </c>
      <c r="L5" s="1" t="s">
        <v>43</v>
      </c>
      <c r="M5" s="232"/>
      <c r="N5" s="160"/>
      <c r="O5" s="137"/>
      <c r="P5" s="161"/>
      <c r="Q5" s="161"/>
      <c r="R5" s="161"/>
      <c r="S5" s="161"/>
      <c r="T5" s="161"/>
      <c r="U5" s="161"/>
      <c r="V5" s="162"/>
    </row>
    <row r="6" spans="1:22" ht="27" customHeight="1">
      <c r="A6" s="37"/>
      <c r="B6" s="9"/>
      <c r="C6" s="10"/>
      <c r="D6" s="33"/>
      <c r="E6" s="33"/>
      <c r="F6" s="11"/>
      <c r="G6" s="11"/>
      <c r="H6" s="12"/>
      <c r="I6" s="12"/>
      <c r="J6" s="32"/>
      <c r="K6" s="32"/>
      <c r="L6" s="32"/>
      <c r="M6" s="13"/>
      <c r="N6" s="163" t="str">
        <f>CONCATENATE(C6,H6)</f>
        <v/>
      </c>
      <c r="O6" s="126" t="str">
        <f>IF(D6&gt;=E6,"-","ERR")</f>
        <v>-</v>
      </c>
      <c r="P6" s="164"/>
      <c r="Q6" s="164"/>
      <c r="R6" s="164"/>
      <c r="S6" s="164"/>
      <c r="T6" s="164"/>
      <c r="U6" s="164"/>
      <c r="V6" s="164"/>
    </row>
    <row r="7" spans="1:22" ht="27" customHeight="1">
      <c r="A7" s="38"/>
      <c r="B7" s="4"/>
      <c r="C7" s="5"/>
      <c r="D7" s="34"/>
      <c r="E7" s="34"/>
      <c r="F7" s="6"/>
      <c r="G7" s="6"/>
      <c r="H7" s="7"/>
      <c r="I7" s="7"/>
      <c r="J7" s="2"/>
      <c r="K7" s="2"/>
      <c r="L7" s="2"/>
      <c r="M7" s="8"/>
      <c r="N7" s="163" t="str">
        <f t="shared" ref="N7:N70" si="0">CONCATENATE(C7,H7)</f>
        <v/>
      </c>
      <c r="O7" s="126" t="str">
        <f t="shared" ref="O7:O25" si="1">IF(D7&gt;=E7,"-","ERR")</f>
        <v>-</v>
      </c>
      <c r="P7" s="164"/>
      <c r="Q7" s="164"/>
      <c r="R7" s="164"/>
      <c r="S7" s="164"/>
      <c r="T7" s="164"/>
      <c r="U7" s="164"/>
      <c r="V7" s="164"/>
    </row>
    <row r="8" spans="1:22" ht="27" customHeight="1">
      <c r="A8" s="38"/>
      <c r="B8" s="4"/>
      <c r="C8" s="5"/>
      <c r="D8" s="34"/>
      <c r="E8" s="34"/>
      <c r="F8" s="6"/>
      <c r="G8" s="6"/>
      <c r="H8" s="7"/>
      <c r="I8" s="7"/>
      <c r="J8" s="2"/>
      <c r="K8" s="2"/>
      <c r="L8" s="2"/>
      <c r="M8" s="8"/>
      <c r="N8" s="163" t="str">
        <f t="shared" si="0"/>
        <v/>
      </c>
      <c r="O8" s="126" t="str">
        <f t="shared" si="1"/>
        <v>-</v>
      </c>
      <c r="P8" s="164"/>
      <c r="Q8" s="164"/>
      <c r="R8" s="164"/>
      <c r="S8" s="164"/>
      <c r="T8" s="164"/>
      <c r="U8" s="164"/>
      <c r="V8" s="164"/>
    </row>
    <row r="9" spans="1:22" ht="27" customHeight="1">
      <c r="A9" s="38"/>
      <c r="B9" s="4"/>
      <c r="C9" s="5"/>
      <c r="D9" s="34"/>
      <c r="E9" s="34"/>
      <c r="F9" s="6"/>
      <c r="G9" s="6"/>
      <c r="H9" s="7"/>
      <c r="I9" s="7"/>
      <c r="J9" s="2"/>
      <c r="K9" s="2"/>
      <c r="L9" s="2"/>
      <c r="M9" s="8"/>
      <c r="N9" s="163" t="str">
        <f t="shared" si="0"/>
        <v/>
      </c>
      <c r="O9" s="126" t="str">
        <f t="shared" si="1"/>
        <v>-</v>
      </c>
      <c r="P9" s="164"/>
      <c r="Q9" s="164"/>
      <c r="R9" s="164"/>
      <c r="S9" s="164"/>
      <c r="T9" s="164"/>
      <c r="U9" s="164"/>
      <c r="V9" s="164"/>
    </row>
    <row r="10" spans="1:22" ht="27" customHeight="1">
      <c r="A10" s="38"/>
      <c r="B10" s="4"/>
      <c r="C10" s="5"/>
      <c r="D10" s="34"/>
      <c r="E10" s="34"/>
      <c r="F10" s="6"/>
      <c r="G10" s="6"/>
      <c r="H10" s="7"/>
      <c r="I10" s="7"/>
      <c r="J10" s="2"/>
      <c r="K10" s="2"/>
      <c r="L10" s="2"/>
      <c r="M10" s="8"/>
      <c r="N10" s="163" t="str">
        <f t="shared" si="0"/>
        <v/>
      </c>
      <c r="O10" s="126" t="str">
        <f t="shared" si="1"/>
        <v>-</v>
      </c>
      <c r="P10" s="164"/>
      <c r="Q10" s="164"/>
      <c r="R10" s="164"/>
      <c r="S10" s="164"/>
      <c r="T10" s="164"/>
      <c r="U10" s="164"/>
      <c r="V10" s="164"/>
    </row>
    <row r="11" spans="1:22" ht="27" customHeight="1">
      <c r="A11" s="38"/>
      <c r="B11" s="4"/>
      <c r="C11" s="5"/>
      <c r="D11" s="34"/>
      <c r="E11" s="34"/>
      <c r="F11" s="6"/>
      <c r="G11" s="6"/>
      <c r="H11" s="7"/>
      <c r="I11" s="7"/>
      <c r="J11" s="2"/>
      <c r="K11" s="2"/>
      <c r="L11" s="2"/>
      <c r="M11" s="8"/>
      <c r="N11" s="163" t="str">
        <f t="shared" si="0"/>
        <v/>
      </c>
      <c r="O11" s="126" t="str">
        <f t="shared" si="1"/>
        <v>-</v>
      </c>
      <c r="P11" s="164"/>
      <c r="Q11" s="164"/>
      <c r="R11" s="164"/>
      <c r="S11" s="164"/>
      <c r="T11" s="164"/>
      <c r="U11" s="164"/>
      <c r="V11" s="164"/>
    </row>
    <row r="12" spans="1:22" ht="27" customHeight="1">
      <c r="A12" s="38"/>
      <c r="B12" s="4"/>
      <c r="C12" s="5"/>
      <c r="D12" s="34"/>
      <c r="E12" s="34"/>
      <c r="F12" s="6"/>
      <c r="G12" s="6"/>
      <c r="H12" s="7"/>
      <c r="I12" s="7"/>
      <c r="J12" s="2"/>
      <c r="K12" s="2"/>
      <c r="L12" s="2"/>
      <c r="M12" s="8"/>
      <c r="N12" s="163" t="str">
        <f t="shared" si="0"/>
        <v/>
      </c>
      <c r="O12" s="126" t="str">
        <f t="shared" si="1"/>
        <v>-</v>
      </c>
      <c r="P12" s="164"/>
      <c r="Q12" s="164"/>
      <c r="R12" s="164"/>
      <c r="S12" s="164"/>
      <c r="T12" s="164"/>
      <c r="U12" s="164"/>
      <c r="V12" s="164"/>
    </row>
    <row r="13" spans="1:22" ht="27" customHeight="1">
      <c r="A13" s="38"/>
      <c r="B13" s="4"/>
      <c r="C13" s="5"/>
      <c r="D13" s="34"/>
      <c r="E13" s="34"/>
      <c r="F13" s="6"/>
      <c r="G13" s="6"/>
      <c r="H13" s="7"/>
      <c r="I13" s="7"/>
      <c r="J13" s="2"/>
      <c r="K13" s="2"/>
      <c r="L13" s="2"/>
      <c r="M13" s="8"/>
      <c r="N13" s="163" t="str">
        <f t="shared" si="0"/>
        <v/>
      </c>
      <c r="O13" s="126" t="str">
        <f t="shared" si="1"/>
        <v>-</v>
      </c>
      <c r="P13" s="164"/>
      <c r="Q13" s="164"/>
      <c r="R13" s="164"/>
      <c r="S13" s="164"/>
      <c r="T13" s="164"/>
      <c r="U13" s="164"/>
      <c r="V13" s="164"/>
    </row>
    <row r="14" spans="1:22" ht="27" customHeight="1">
      <c r="A14" s="38"/>
      <c r="B14" s="4"/>
      <c r="C14" s="5"/>
      <c r="D14" s="34"/>
      <c r="E14" s="34"/>
      <c r="F14" s="6"/>
      <c r="G14" s="6"/>
      <c r="H14" s="7"/>
      <c r="I14" s="7"/>
      <c r="J14" s="2"/>
      <c r="K14" s="2"/>
      <c r="L14" s="2"/>
      <c r="M14" s="8"/>
      <c r="N14" s="163" t="str">
        <f t="shared" si="0"/>
        <v/>
      </c>
      <c r="O14" s="126" t="str">
        <f t="shared" si="1"/>
        <v>-</v>
      </c>
      <c r="P14" s="164"/>
      <c r="Q14" s="164"/>
      <c r="R14" s="164"/>
      <c r="S14" s="164"/>
      <c r="T14" s="164"/>
      <c r="U14" s="164"/>
      <c r="V14" s="164"/>
    </row>
    <row r="15" spans="1:22" ht="27" customHeight="1">
      <c r="A15" s="38"/>
      <c r="B15" s="4"/>
      <c r="C15" s="5"/>
      <c r="D15" s="34"/>
      <c r="E15" s="34"/>
      <c r="F15" s="6"/>
      <c r="G15" s="6"/>
      <c r="H15" s="7"/>
      <c r="I15" s="7"/>
      <c r="J15" s="2"/>
      <c r="K15" s="2"/>
      <c r="L15" s="2"/>
      <c r="M15" s="8"/>
      <c r="N15" s="163" t="str">
        <f t="shared" si="0"/>
        <v/>
      </c>
      <c r="O15" s="126" t="str">
        <f t="shared" si="1"/>
        <v>-</v>
      </c>
      <c r="P15" s="164"/>
      <c r="Q15" s="164"/>
      <c r="R15" s="164"/>
      <c r="S15" s="164"/>
      <c r="T15" s="164"/>
      <c r="U15" s="164"/>
      <c r="V15" s="164"/>
    </row>
    <row r="16" spans="1:22" ht="27" customHeight="1">
      <c r="A16" s="38"/>
      <c r="B16" s="4"/>
      <c r="C16" s="5"/>
      <c r="D16" s="34"/>
      <c r="E16" s="34"/>
      <c r="F16" s="6"/>
      <c r="G16" s="6"/>
      <c r="H16" s="7"/>
      <c r="I16" s="7"/>
      <c r="J16" s="2"/>
      <c r="K16" s="2"/>
      <c r="L16" s="2"/>
      <c r="M16" s="8"/>
      <c r="N16" s="163" t="str">
        <f t="shared" si="0"/>
        <v/>
      </c>
      <c r="O16" s="126" t="str">
        <f t="shared" si="1"/>
        <v>-</v>
      </c>
      <c r="P16" s="164"/>
      <c r="Q16" s="164"/>
      <c r="R16" s="164"/>
      <c r="S16" s="164"/>
      <c r="T16" s="164"/>
      <c r="U16" s="164"/>
      <c r="V16" s="164"/>
    </row>
    <row r="17" spans="1:25" ht="27" customHeight="1">
      <c r="A17" s="38"/>
      <c r="B17" s="4"/>
      <c r="C17" s="5"/>
      <c r="D17" s="34"/>
      <c r="E17" s="34"/>
      <c r="F17" s="6"/>
      <c r="G17" s="6"/>
      <c r="H17" s="7"/>
      <c r="I17" s="7"/>
      <c r="J17" s="2"/>
      <c r="K17" s="2"/>
      <c r="L17" s="2"/>
      <c r="M17" s="8"/>
      <c r="N17" s="163" t="str">
        <f t="shared" si="0"/>
        <v/>
      </c>
      <c r="O17" s="126" t="str">
        <f t="shared" si="1"/>
        <v>-</v>
      </c>
      <c r="P17" s="164"/>
      <c r="Q17" s="164"/>
      <c r="R17" s="164"/>
      <c r="S17" s="164"/>
      <c r="T17" s="164"/>
      <c r="U17" s="164"/>
      <c r="V17" s="164"/>
    </row>
    <row r="18" spans="1:25" ht="27" customHeight="1">
      <c r="A18" s="38"/>
      <c r="B18" s="4"/>
      <c r="C18" s="5"/>
      <c r="D18" s="34"/>
      <c r="E18" s="34"/>
      <c r="F18" s="6"/>
      <c r="G18" s="6"/>
      <c r="H18" s="7"/>
      <c r="I18" s="7"/>
      <c r="J18" s="2"/>
      <c r="K18" s="2"/>
      <c r="L18" s="2"/>
      <c r="M18" s="8"/>
      <c r="N18" s="163" t="str">
        <f t="shared" si="0"/>
        <v/>
      </c>
      <c r="O18" s="126" t="str">
        <f t="shared" si="1"/>
        <v>-</v>
      </c>
      <c r="P18" s="164"/>
      <c r="Q18" s="164"/>
      <c r="R18" s="164"/>
      <c r="S18" s="164"/>
      <c r="T18" s="164"/>
      <c r="U18" s="164"/>
      <c r="V18" s="164"/>
    </row>
    <row r="19" spans="1:25" ht="27" customHeight="1">
      <c r="A19" s="38"/>
      <c r="B19" s="4"/>
      <c r="C19" s="5"/>
      <c r="D19" s="34"/>
      <c r="E19" s="34"/>
      <c r="F19" s="6"/>
      <c r="G19" s="6"/>
      <c r="H19" s="7"/>
      <c r="I19" s="7"/>
      <c r="J19" s="2"/>
      <c r="K19" s="2"/>
      <c r="L19" s="2"/>
      <c r="M19" s="8"/>
      <c r="N19" s="163" t="str">
        <f t="shared" si="0"/>
        <v/>
      </c>
      <c r="O19" s="126" t="str">
        <f t="shared" si="1"/>
        <v>-</v>
      </c>
      <c r="P19" s="164"/>
      <c r="Q19" s="164"/>
      <c r="R19" s="164"/>
      <c r="S19" s="164"/>
      <c r="T19" s="164"/>
      <c r="U19" s="164"/>
      <c r="V19" s="164"/>
    </row>
    <row r="20" spans="1:25" ht="27" customHeight="1">
      <c r="A20" s="38"/>
      <c r="B20" s="4"/>
      <c r="C20" s="5"/>
      <c r="D20" s="34"/>
      <c r="E20" s="34"/>
      <c r="F20" s="6"/>
      <c r="G20" s="6"/>
      <c r="H20" s="7"/>
      <c r="I20" s="7"/>
      <c r="J20" s="2"/>
      <c r="K20" s="2"/>
      <c r="L20" s="2"/>
      <c r="M20" s="8"/>
      <c r="N20" s="163" t="str">
        <f t="shared" si="0"/>
        <v/>
      </c>
      <c r="O20" s="126" t="str">
        <f t="shared" si="1"/>
        <v>-</v>
      </c>
      <c r="P20" s="164"/>
      <c r="Q20" s="164"/>
      <c r="R20" s="164"/>
      <c r="S20" s="164"/>
      <c r="T20" s="164"/>
      <c r="U20" s="164"/>
      <c r="V20" s="164"/>
    </row>
    <row r="21" spans="1:25" ht="27" customHeight="1">
      <c r="A21" s="38"/>
      <c r="B21" s="4"/>
      <c r="C21" s="5"/>
      <c r="D21" s="34"/>
      <c r="E21" s="34"/>
      <c r="F21" s="6"/>
      <c r="G21" s="6"/>
      <c r="H21" s="7"/>
      <c r="I21" s="7"/>
      <c r="J21" s="2"/>
      <c r="K21" s="2"/>
      <c r="L21" s="2"/>
      <c r="M21" s="8"/>
      <c r="N21" s="163" t="str">
        <f t="shared" si="0"/>
        <v/>
      </c>
      <c r="O21" s="126" t="str">
        <f t="shared" si="1"/>
        <v>-</v>
      </c>
      <c r="P21" s="164"/>
      <c r="Q21" s="164"/>
      <c r="R21" s="164"/>
      <c r="S21" s="164"/>
      <c r="T21" s="164"/>
      <c r="U21" s="164"/>
      <c r="V21" s="165"/>
    </row>
    <row r="22" spans="1:25" ht="27" customHeight="1">
      <c r="A22" s="38"/>
      <c r="B22" s="4"/>
      <c r="C22" s="5"/>
      <c r="D22" s="34"/>
      <c r="E22" s="34"/>
      <c r="F22" s="6"/>
      <c r="G22" s="6"/>
      <c r="H22" s="7"/>
      <c r="I22" s="7"/>
      <c r="J22" s="2"/>
      <c r="K22" s="2"/>
      <c r="L22" s="2"/>
      <c r="M22" s="8"/>
      <c r="N22" s="163" t="str">
        <f t="shared" si="0"/>
        <v/>
      </c>
      <c r="O22" s="126" t="str">
        <f t="shared" si="1"/>
        <v>-</v>
      </c>
      <c r="P22" s="164"/>
      <c r="Q22" s="164"/>
      <c r="R22" s="164"/>
      <c r="S22" s="164"/>
      <c r="T22" s="164"/>
      <c r="U22" s="164"/>
      <c r="V22" s="165"/>
    </row>
    <row r="23" spans="1:25" ht="27" customHeight="1">
      <c r="A23" s="38"/>
      <c r="B23" s="4"/>
      <c r="C23" s="5"/>
      <c r="D23" s="34"/>
      <c r="E23" s="34"/>
      <c r="F23" s="6"/>
      <c r="G23" s="6"/>
      <c r="H23" s="7"/>
      <c r="I23" s="7"/>
      <c r="J23" s="2"/>
      <c r="K23" s="2"/>
      <c r="L23" s="2"/>
      <c r="M23" s="8"/>
      <c r="N23" s="163" t="str">
        <f t="shared" si="0"/>
        <v/>
      </c>
      <c r="O23" s="126" t="str">
        <f t="shared" si="1"/>
        <v>-</v>
      </c>
      <c r="P23" s="164"/>
      <c r="Q23" s="164"/>
      <c r="R23" s="164"/>
      <c r="S23" s="164"/>
      <c r="T23" s="164"/>
      <c r="U23" s="164"/>
      <c r="V23" s="165"/>
    </row>
    <row r="24" spans="1:25" ht="27" customHeight="1">
      <c r="A24" s="38"/>
      <c r="B24" s="4"/>
      <c r="C24" s="5"/>
      <c r="D24" s="34"/>
      <c r="E24" s="34"/>
      <c r="F24" s="6"/>
      <c r="G24" s="6"/>
      <c r="H24" s="7"/>
      <c r="I24" s="7"/>
      <c r="J24" s="2"/>
      <c r="K24" s="2"/>
      <c r="L24" s="2"/>
      <c r="M24" s="8"/>
      <c r="N24" s="163" t="str">
        <f t="shared" si="0"/>
        <v/>
      </c>
      <c r="O24" s="126" t="str">
        <f t="shared" si="1"/>
        <v>-</v>
      </c>
      <c r="P24" s="164"/>
      <c r="Q24" s="164"/>
      <c r="R24" s="164"/>
      <c r="S24" s="164"/>
      <c r="T24" s="164"/>
      <c r="U24" s="164"/>
      <c r="V24" s="165"/>
    </row>
    <row r="25" spans="1:25" ht="27" customHeight="1">
      <c r="A25" s="39"/>
      <c r="B25" s="14"/>
      <c r="C25" s="15"/>
      <c r="D25" s="35"/>
      <c r="E25" s="35"/>
      <c r="F25" s="16"/>
      <c r="G25" s="16"/>
      <c r="H25" s="17"/>
      <c r="I25" s="17"/>
      <c r="J25" s="3"/>
      <c r="K25" s="3"/>
      <c r="L25" s="3"/>
      <c r="M25" s="18"/>
      <c r="N25" s="163" t="str">
        <f t="shared" si="0"/>
        <v/>
      </c>
      <c r="O25" s="126" t="str">
        <f t="shared" si="1"/>
        <v>-</v>
      </c>
      <c r="P25" s="164"/>
      <c r="Q25" s="164"/>
      <c r="R25" s="164"/>
      <c r="S25" s="164"/>
      <c r="T25" s="164"/>
      <c r="U25" s="164"/>
      <c r="V25" s="166"/>
      <c r="W25" s="164"/>
      <c r="X25" s="164"/>
      <c r="Y25" s="164"/>
    </row>
    <row r="26" spans="1:25" ht="27" customHeight="1">
      <c r="A26" s="167" t="s">
        <v>44</v>
      </c>
      <c r="B26" s="168"/>
      <c r="C26" s="168"/>
      <c r="D26" s="169"/>
      <c r="E26" s="169">
        <f>SUM(E6:E25)</f>
        <v>0</v>
      </c>
      <c r="F26" s="170"/>
      <c r="G26" s="170"/>
      <c r="H26" s="170"/>
      <c r="I26" s="170"/>
      <c r="J26" s="170"/>
      <c r="K26" s="170"/>
      <c r="L26" s="170"/>
      <c r="M26" s="171"/>
      <c r="N26" s="163" t="str">
        <f t="shared" si="0"/>
        <v/>
      </c>
      <c r="O26" s="126"/>
      <c r="P26" s="164"/>
      <c r="Q26" s="164"/>
      <c r="R26" s="164"/>
      <c r="S26" s="164"/>
      <c r="T26" s="164"/>
      <c r="U26" s="164"/>
      <c r="V26" s="166"/>
      <c r="W26" s="164"/>
      <c r="X26" s="164"/>
      <c r="Y26" s="164"/>
    </row>
    <row r="27" spans="1:25" ht="27" customHeight="1">
      <c r="A27" s="37"/>
      <c r="B27" s="9"/>
      <c r="C27" s="10"/>
      <c r="D27" s="33"/>
      <c r="E27" s="33"/>
      <c r="F27" s="11"/>
      <c r="G27" s="11"/>
      <c r="H27" s="12"/>
      <c r="I27" s="12"/>
      <c r="J27" s="32"/>
      <c r="K27" s="32"/>
      <c r="L27" s="32"/>
      <c r="M27" s="13"/>
      <c r="N27" s="163" t="str">
        <f t="shared" si="0"/>
        <v/>
      </c>
      <c r="O27" s="126" t="str">
        <f>IF(D27&gt;=E27,"-","ERR")</f>
        <v>-</v>
      </c>
      <c r="P27" s="164"/>
      <c r="Q27" s="164"/>
      <c r="R27" s="164"/>
      <c r="S27" s="164"/>
      <c r="T27" s="164"/>
      <c r="U27" s="164"/>
      <c r="V27" s="164"/>
    </row>
    <row r="28" spans="1:25" ht="27" customHeight="1">
      <c r="A28" s="38"/>
      <c r="B28" s="4"/>
      <c r="C28" s="5"/>
      <c r="D28" s="34"/>
      <c r="E28" s="34"/>
      <c r="F28" s="6"/>
      <c r="G28" s="6"/>
      <c r="H28" s="7"/>
      <c r="I28" s="7"/>
      <c r="J28" s="2"/>
      <c r="K28" s="2"/>
      <c r="L28" s="2"/>
      <c r="M28" s="8"/>
      <c r="N28" s="163" t="str">
        <f t="shared" si="0"/>
        <v/>
      </c>
      <c r="O28" s="126" t="str">
        <f t="shared" ref="O28:O46" si="2">IF(D28&gt;=E28,"-","ERR")</f>
        <v>-</v>
      </c>
      <c r="P28" s="164"/>
      <c r="Q28" s="164"/>
      <c r="R28" s="164"/>
      <c r="S28" s="164"/>
      <c r="T28" s="164"/>
      <c r="U28" s="164"/>
      <c r="V28" s="164"/>
    </row>
    <row r="29" spans="1:25" ht="27" customHeight="1">
      <c r="A29" s="38"/>
      <c r="B29" s="4"/>
      <c r="C29" s="5"/>
      <c r="D29" s="34"/>
      <c r="E29" s="34"/>
      <c r="F29" s="6"/>
      <c r="G29" s="6"/>
      <c r="H29" s="7"/>
      <c r="I29" s="7"/>
      <c r="J29" s="2"/>
      <c r="K29" s="2"/>
      <c r="L29" s="2"/>
      <c r="M29" s="8"/>
      <c r="N29" s="163" t="str">
        <f t="shared" si="0"/>
        <v/>
      </c>
      <c r="O29" s="126" t="str">
        <f t="shared" si="2"/>
        <v>-</v>
      </c>
      <c r="P29" s="164"/>
      <c r="Q29" s="164"/>
      <c r="R29" s="164"/>
      <c r="S29" s="164"/>
      <c r="T29" s="164"/>
      <c r="U29" s="164"/>
      <c r="V29" s="164"/>
    </row>
    <row r="30" spans="1:25" ht="27" customHeight="1">
      <c r="A30" s="38"/>
      <c r="B30" s="4"/>
      <c r="C30" s="5"/>
      <c r="D30" s="34"/>
      <c r="E30" s="34"/>
      <c r="F30" s="6"/>
      <c r="G30" s="6"/>
      <c r="H30" s="7"/>
      <c r="I30" s="7"/>
      <c r="J30" s="2"/>
      <c r="K30" s="2"/>
      <c r="L30" s="2"/>
      <c r="M30" s="8"/>
      <c r="N30" s="163" t="str">
        <f t="shared" si="0"/>
        <v/>
      </c>
      <c r="O30" s="126" t="str">
        <f t="shared" si="2"/>
        <v>-</v>
      </c>
      <c r="P30" s="164"/>
      <c r="Q30" s="164"/>
      <c r="R30" s="164"/>
      <c r="S30" s="164"/>
      <c r="T30" s="164"/>
      <c r="U30" s="164"/>
      <c r="V30" s="164"/>
    </row>
    <row r="31" spans="1:25" ht="27" customHeight="1">
      <c r="A31" s="38"/>
      <c r="B31" s="4"/>
      <c r="C31" s="5"/>
      <c r="D31" s="34"/>
      <c r="E31" s="34"/>
      <c r="F31" s="6"/>
      <c r="G31" s="6"/>
      <c r="H31" s="7"/>
      <c r="I31" s="7"/>
      <c r="J31" s="2"/>
      <c r="K31" s="2"/>
      <c r="L31" s="2"/>
      <c r="M31" s="8"/>
      <c r="N31" s="163" t="str">
        <f t="shared" si="0"/>
        <v/>
      </c>
      <c r="O31" s="126" t="str">
        <f t="shared" si="2"/>
        <v>-</v>
      </c>
      <c r="P31" s="164"/>
      <c r="Q31" s="164"/>
      <c r="R31" s="164"/>
      <c r="S31" s="164"/>
      <c r="T31" s="164"/>
      <c r="U31" s="164"/>
      <c r="V31" s="164"/>
    </row>
    <row r="32" spans="1:25" ht="27" customHeight="1">
      <c r="A32" s="38"/>
      <c r="B32" s="4"/>
      <c r="C32" s="5"/>
      <c r="D32" s="34"/>
      <c r="E32" s="34"/>
      <c r="F32" s="6"/>
      <c r="G32" s="6"/>
      <c r="H32" s="7"/>
      <c r="I32" s="7"/>
      <c r="J32" s="2"/>
      <c r="K32" s="2"/>
      <c r="L32" s="2"/>
      <c r="M32" s="8"/>
      <c r="N32" s="163" t="str">
        <f t="shared" si="0"/>
        <v/>
      </c>
      <c r="O32" s="126" t="str">
        <f t="shared" si="2"/>
        <v>-</v>
      </c>
      <c r="P32" s="164"/>
      <c r="Q32" s="164"/>
      <c r="R32" s="164"/>
      <c r="S32" s="164"/>
      <c r="T32" s="164"/>
      <c r="U32" s="164"/>
      <c r="V32" s="164"/>
    </row>
    <row r="33" spans="1:25" ht="27" customHeight="1">
      <c r="A33" s="38"/>
      <c r="B33" s="4"/>
      <c r="C33" s="5"/>
      <c r="D33" s="34"/>
      <c r="E33" s="34"/>
      <c r="F33" s="6"/>
      <c r="G33" s="6"/>
      <c r="H33" s="7"/>
      <c r="I33" s="7"/>
      <c r="J33" s="2"/>
      <c r="K33" s="2"/>
      <c r="L33" s="2"/>
      <c r="M33" s="8"/>
      <c r="N33" s="163" t="str">
        <f t="shared" si="0"/>
        <v/>
      </c>
      <c r="O33" s="126" t="str">
        <f t="shared" si="2"/>
        <v>-</v>
      </c>
      <c r="P33" s="164"/>
      <c r="Q33" s="164"/>
      <c r="R33" s="164"/>
      <c r="S33" s="164"/>
      <c r="T33" s="164"/>
      <c r="U33" s="164"/>
      <c r="V33" s="164"/>
    </row>
    <row r="34" spans="1:25" ht="27" customHeight="1">
      <c r="A34" s="38"/>
      <c r="B34" s="4"/>
      <c r="C34" s="5"/>
      <c r="D34" s="34"/>
      <c r="E34" s="34"/>
      <c r="F34" s="6"/>
      <c r="G34" s="6"/>
      <c r="H34" s="7"/>
      <c r="I34" s="7"/>
      <c r="J34" s="2"/>
      <c r="K34" s="2"/>
      <c r="L34" s="2"/>
      <c r="M34" s="8"/>
      <c r="N34" s="163" t="str">
        <f t="shared" si="0"/>
        <v/>
      </c>
      <c r="O34" s="126" t="str">
        <f t="shared" si="2"/>
        <v>-</v>
      </c>
      <c r="P34" s="164"/>
      <c r="Q34" s="164"/>
      <c r="R34" s="164"/>
      <c r="S34" s="164"/>
      <c r="T34" s="164"/>
      <c r="U34" s="164"/>
      <c r="V34" s="164"/>
    </row>
    <row r="35" spans="1:25" ht="27" customHeight="1">
      <c r="A35" s="38"/>
      <c r="B35" s="4"/>
      <c r="C35" s="5"/>
      <c r="D35" s="34"/>
      <c r="E35" s="34"/>
      <c r="F35" s="6"/>
      <c r="G35" s="6"/>
      <c r="H35" s="7"/>
      <c r="I35" s="7"/>
      <c r="J35" s="2"/>
      <c r="K35" s="2"/>
      <c r="L35" s="2"/>
      <c r="M35" s="8"/>
      <c r="N35" s="163" t="str">
        <f t="shared" si="0"/>
        <v/>
      </c>
      <c r="O35" s="126" t="str">
        <f t="shared" si="2"/>
        <v>-</v>
      </c>
      <c r="P35" s="164"/>
      <c r="Q35" s="164"/>
      <c r="R35" s="164"/>
      <c r="S35" s="164"/>
      <c r="T35" s="164"/>
      <c r="U35" s="164"/>
      <c r="V35" s="164"/>
    </row>
    <row r="36" spans="1:25" ht="27" customHeight="1">
      <c r="A36" s="38"/>
      <c r="B36" s="4"/>
      <c r="C36" s="5"/>
      <c r="D36" s="34"/>
      <c r="E36" s="34"/>
      <c r="F36" s="6"/>
      <c r="G36" s="6"/>
      <c r="H36" s="7"/>
      <c r="I36" s="7"/>
      <c r="J36" s="2"/>
      <c r="K36" s="2"/>
      <c r="L36" s="2"/>
      <c r="M36" s="8"/>
      <c r="N36" s="163" t="str">
        <f t="shared" si="0"/>
        <v/>
      </c>
      <c r="O36" s="126" t="str">
        <f t="shared" si="2"/>
        <v>-</v>
      </c>
      <c r="P36" s="164"/>
      <c r="Q36" s="164"/>
      <c r="R36" s="164"/>
      <c r="S36" s="164"/>
      <c r="T36" s="164"/>
      <c r="U36" s="164"/>
      <c r="V36" s="164"/>
    </row>
    <row r="37" spans="1:25" ht="27" customHeight="1">
      <c r="A37" s="38"/>
      <c r="B37" s="4"/>
      <c r="C37" s="5"/>
      <c r="D37" s="34"/>
      <c r="E37" s="34"/>
      <c r="F37" s="6"/>
      <c r="G37" s="6"/>
      <c r="H37" s="7"/>
      <c r="I37" s="7"/>
      <c r="J37" s="2"/>
      <c r="K37" s="2"/>
      <c r="L37" s="2"/>
      <c r="M37" s="8"/>
      <c r="N37" s="163" t="str">
        <f t="shared" si="0"/>
        <v/>
      </c>
      <c r="O37" s="126" t="str">
        <f t="shared" si="2"/>
        <v>-</v>
      </c>
      <c r="P37" s="164"/>
      <c r="Q37" s="164"/>
      <c r="R37" s="164"/>
      <c r="S37" s="164"/>
      <c r="T37" s="164"/>
      <c r="U37" s="164"/>
      <c r="V37" s="164"/>
    </row>
    <row r="38" spans="1:25" ht="27" customHeight="1">
      <c r="A38" s="38"/>
      <c r="B38" s="4"/>
      <c r="C38" s="5"/>
      <c r="D38" s="34"/>
      <c r="E38" s="34"/>
      <c r="F38" s="6"/>
      <c r="G38" s="6"/>
      <c r="H38" s="7"/>
      <c r="I38" s="7"/>
      <c r="J38" s="2"/>
      <c r="K38" s="2"/>
      <c r="L38" s="2"/>
      <c r="M38" s="8"/>
      <c r="N38" s="163" t="str">
        <f t="shared" si="0"/>
        <v/>
      </c>
      <c r="O38" s="126" t="str">
        <f t="shared" si="2"/>
        <v>-</v>
      </c>
      <c r="P38" s="164"/>
      <c r="Q38" s="164"/>
      <c r="R38" s="164"/>
      <c r="S38" s="164"/>
      <c r="T38" s="164"/>
      <c r="U38" s="164"/>
      <c r="V38" s="164"/>
    </row>
    <row r="39" spans="1:25" ht="27" customHeight="1">
      <c r="A39" s="38"/>
      <c r="B39" s="4"/>
      <c r="C39" s="5"/>
      <c r="D39" s="34"/>
      <c r="E39" s="34"/>
      <c r="F39" s="6"/>
      <c r="G39" s="6"/>
      <c r="H39" s="7"/>
      <c r="I39" s="7"/>
      <c r="J39" s="2"/>
      <c r="K39" s="2"/>
      <c r="L39" s="2"/>
      <c r="M39" s="8"/>
      <c r="N39" s="163" t="str">
        <f t="shared" si="0"/>
        <v/>
      </c>
      <c r="O39" s="126" t="str">
        <f t="shared" si="2"/>
        <v>-</v>
      </c>
      <c r="P39" s="164"/>
      <c r="Q39" s="164"/>
      <c r="R39" s="164"/>
      <c r="S39" s="164"/>
      <c r="T39" s="164"/>
      <c r="U39" s="164"/>
      <c r="V39" s="164"/>
    </row>
    <row r="40" spans="1:25" ht="27" customHeight="1">
      <c r="A40" s="38"/>
      <c r="B40" s="4"/>
      <c r="C40" s="5"/>
      <c r="D40" s="34"/>
      <c r="E40" s="34"/>
      <c r="F40" s="6"/>
      <c r="G40" s="6"/>
      <c r="H40" s="7"/>
      <c r="I40" s="7"/>
      <c r="J40" s="2"/>
      <c r="K40" s="2"/>
      <c r="L40" s="2"/>
      <c r="M40" s="8"/>
      <c r="N40" s="163" t="str">
        <f t="shared" si="0"/>
        <v/>
      </c>
      <c r="O40" s="126" t="str">
        <f t="shared" si="2"/>
        <v>-</v>
      </c>
      <c r="P40" s="164"/>
      <c r="Q40" s="164"/>
      <c r="R40" s="164"/>
      <c r="S40" s="164"/>
      <c r="T40" s="164"/>
      <c r="U40" s="164"/>
      <c r="V40" s="164"/>
    </row>
    <row r="41" spans="1:25" ht="27" customHeight="1">
      <c r="A41" s="38"/>
      <c r="B41" s="4"/>
      <c r="C41" s="5"/>
      <c r="D41" s="34"/>
      <c r="E41" s="34"/>
      <c r="F41" s="6"/>
      <c r="G41" s="6"/>
      <c r="H41" s="7"/>
      <c r="I41" s="7"/>
      <c r="J41" s="2"/>
      <c r="K41" s="2"/>
      <c r="L41" s="2"/>
      <c r="M41" s="8"/>
      <c r="N41" s="163" t="str">
        <f t="shared" si="0"/>
        <v/>
      </c>
      <c r="O41" s="126" t="str">
        <f t="shared" si="2"/>
        <v>-</v>
      </c>
      <c r="P41" s="164"/>
      <c r="Q41" s="164"/>
      <c r="R41" s="164"/>
      <c r="S41" s="164"/>
      <c r="T41" s="164"/>
      <c r="U41" s="164"/>
      <c r="V41" s="164"/>
    </row>
    <row r="42" spans="1:25" ht="27" customHeight="1">
      <c r="A42" s="38"/>
      <c r="B42" s="4"/>
      <c r="C42" s="5"/>
      <c r="D42" s="34"/>
      <c r="E42" s="34"/>
      <c r="F42" s="6"/>
      <c r="G42" s="6"/>
      <c r="H42" s="7"/>
      <c r="I42" s="7"/>
      <c r="J42" s="2"/>
      <c r="K42" s="2"/>
      <c r="L42" s="2"/>
      <c r="M42" s="8"/>
      <c r="N42" s="163" t="str">
        <f t="shared" si="0"/>
        <v/>
      </c>
      <c r="O42" s="126" t="str">
        <f t="shared" si="2"/>
        <v>-</v>
      </c>
      <c r="P42" s="164"/>
      <c r="Q42" s="164"/>
      <c r="R42" s="164"/>
      <c r="S42" s="164"/>
      <c r="T42" s="164"/>
      <c r="U42" s="164"/>
      <c r="V42" s="165"/>
    </row>
    <row r="43" spans="1:25" ht="27" customHeight="1">
      <c r="A43" s="38"/>
      <c r="B43" s="4"/>
      <c r="C43" s="5"/>
      <c r="D43" s="34"/>
      <c r="E43" s="34"/>
      <c r="F43" s="6"/>
      <c r="G43" s="6"/>
      <c r="H43" s="7"/>
      <c r="I43" s="7"/>
      <c r="J43" s="2"/>
      <c r="K43" s="2"/>
      <c r="L43" s="2"/>
      <c r="M43" s="8"/>
      <c r="N43" s="163" t="str">
        <f t="shared" si="0"/>
        <v/>
      </c>
      <c r="O43" s="126" t="str">
        <f t="shared" si="2"/>
        <v>-</v>
      </c>
      <c r="P43" s="164"/>
      <c r="Q43" s="164"/>
      <c r="R43" s="164"/>
      <c r="S43" s="164"/>
      <c r="T43" s="164"/>
      <c r="U43" s="164"/>
      <c r="V43" s="165"/>
    </row>
    <row r="44" spans="1:25" ht="27" customHeight="1">
      <c r="A44" s="38"/>
      <c r="B44" s="4"/>
      <c r="C44" s="5"/>
      <c r="D44" s="34"/>
      <c r="E44" s="34"/>
      <c r="F44" s="6"/>
      <c r="G44" s="6"/>
      <c r="H44" s="7"/>
      <c r="I44" s="7"/>
      <c r="J44" s="2"/>
      <c r="K44" s="2"/>
      <c r="L44" s="2"/>
      <c r="M44" s="62"/>
      <c r="N44" s="163" t="str">
        <f t="shared" si="0"/>
        <v/>
      </c>
      <c r="O44" s="126" t="str">
        <f t="shared" si="2"/>
        <v>-</v>
      </c>
      <c r="P44" s="164"/>
      <c r="Q44" s="164"/>
      <c r="R44" s="164"/>
      <c r="S44" s="164"/>
      <c r="T44" s="164"/>
      <c r="U44" s="164"/>
      <c r="V44" s="165"/>
    </row>
    <row r="45" spans="1:25" ht="27" customHeight="1">
      <c r="A45" s="38"/>
      <c r="B45" s="4"/>
      <c r="C45" s="5"/>
      <c r="D45" s="34"/>
      <c r="E45" s="34"/>
      <c r="F45" s="6"/>
      <c r="G45" s="6"/>
      <c r="H45" s="7"/>
      <c r="I45" s="7"/>
      <c r="J45" s="2"/>
      <c r="K45" s="2"/>
      <c r="L45" s="2"/>
      <c r="M45" s="8"/>
      <c r="N45" s="163" t="str">
        <f t="shared" si="0"/>
        <v/>
      </c>
      <c r="O45" s="126" t="str">
        <f t="shared" si="2"/>
        <v>-</v>
      </c>
      <c r="P45" s="164"/>
      <c r="Q45" s="164"/>
      <c r="R45" s="164"/>
      <c r="S45" s="164"/>
      <c r="T45" s="164"/>
      <c r="U45" s="164"/>
      <c r="V45" s="165"/>
    </row>
    <row r="46" spans="1:25" ht="27" customHeight="1">
      <c r="A46" s="39"/>
      <c r="B46" s="14"/>
      <c r="C46" s="15"/>
      <c r="D46" s="35"/>
      <c r="E46" s="35"/>
      <c r="F46" s="16"/>
      <c r="G46" s="16"/>
      <c r="H46" s="17"/>
      <c r="I46" s="17"/>
      <c r="J46" s="3"/>
      <c r="K46" s="3"/>
      <c r="L46" s="3"/>
      <c r="M46" s="18"/>
      <c r="N46" s="163" t="str">
        <f t="shared" si="0"/>
        <v/>
      </c>
      <c r="O46" s="126" t="str">
        <f t="shared" si="2"/>
        <v>-</v>
      </c>
      <c r="P46" s="164"/>
      <c r="Q46" s="164"/>
      <c r="R46" s="164"/>
      <c r="S46" s="164"/>
      <c r="T46" s="164"/>
      <c r="U46" s="164"/>
      <c r="V46" s="166"/>
      <c r="W46" s="164"/>
      <c r="X46" s="164"/>
      <c r="Y46" s="164"/>
    </row>
    <row r="47" spans="1:25" ht="27" customHeight="1">
      <c r="A47" s="167" t="s">
        <v>44</v>
      </c>
      <c r="B47" s="168"/>
      <c r="C47" s="168"/>
      <c r="D47" s="169"/>
      <c r="E47" s="169">
        <f>SUM(E27:E46)</f>
        <v>0</v>
      </c>
      <c r="F47" s="170"/>
      <c r="G47" s="170"/>
      <c r="H47" s="170"/>
      <c r="I47" s="170"/>
      <c r="J47" s="170"/>
      <c r="K47" s="170"/>
      <c r="L47" s="170"/>
      <c r="M47" s="171"/>
      <c r="N47" s="163" t="str">
        <f t="shared" si="0"/>
        <v/>
      </c>
      <c r="O47" s="126"/>
      <c r="P47" s="164"/>
      <c r="Q47" s="164"/>
      <c r="R47" s="164"/>
      <c r="S47" s="164"/>
      <c r="T47" s="164"/>
      <c r="U47" s="164"/>
      <c r="V47" s="166"/>
      <c r="W47" s="164"/>
      <c r="X47" s="164"/>
      <c r="Y47" s="164"/>
    </row>
    <row r="48" spans="1:25" ht="27" customHeight="1">
      <c r="A48" s="37"/>
      <c r="B48" s="9"/>
      <c r="C48" s="10"/>
      <c r="D48" s="33"/>
      <c r="E48" s="33"/>
      <c r="F48" s="11"/>
      <c r="G48" s="11"/>
      <c r="H48" s="12"/>
      <c r="I48" s="12"/>
      <c r="J48" s="32"/>
      <c r="K48" s="32"/>
      <c r="L48" s="32"/>
      <c r="M48" s="13"/>
      <c r="N48" s="163" t="str">
        <f t="shared" si="0"/>
        <v/>
      </c>
      <c r="O48" s="126" t="str">
        <f>IF(D48&gt;=E48,"-","ERR")</f>
        <v>-</v>
      </c>
      <c r="P48" s="164"/>
      <c r="Q48" s="164"/>
      <c r="R48" s="164"/>
      <c r="S48" s="164"/>
      <c r="T48" s="164"/>
      <c r="U48" s="164"/>
      <c r="V48" s="164"/>
    </row>
    <row r="49" spans="1:22" ht="27" customHeight="1">
      <c r="A49" s="38"/>
      <c r="B49" s="4"/>
      <c r="C49" s="5"/>
      <c r="D49" s="34"/>
      <c r="E49" s="34"/>
      <c r="F49" s="6"/>
      <c r="G49" s="6"/>
      <c r="H49" s="7"/>
      <c r="I49" s="7"/>
      <c r="J49" s="2"/>
      <c r="K49" s="2"/>
      <c r="L49" s="2"/>
      <c r="M49" s="8"/>
      <c r="N49" s="163" t="str">
        <f t="shared" si="0"/>
        <v/>
      </c>
      <c r="O49" s="126" t="str">
        <f t="shared" ref="O49:O67" si="3">IF(D49&gt;=E49,"-","ERR")</f>
        <v>-</v>
      </c>
      <c r="P49" s="164"/>
      <c r="Q49" s="164"/>
      <c r="R49" s="164"/>
      <c r="S49" s="164"/>
      <c r="T49" s="164"/>
      <c r="U49" s="164"/>
      <c r="V49" s="164"/>
    </row>
    <row r="50" spans="1:22" ht="27" customHeight="1">
      <c r="A50" s="38"/>
      <c r="B50" s="4"/>
      <c r="C50" s="5"/>
      <c r="D50" s="34"/>
      <c r="E50" s="34"/>
      <c r="F50" s="6"/>
      <c r="G50" s="6"/>
      <c r="H50" s="7"/>
      <c r="I50" s="59"/>
      <c r="J50" s="2"/>
      <c r="K50" s="2"/>
      <c r="L50" s="2"/>
      <c r="M50" s="8"/>
      <c r="N50" s="163" t="str">
        <f t="shared" si="0"/>
        <v/>
      </c>
      <c r="O50" s="126" t="str">
        <f t="shared" si="3"/>
        <v>-</v>
      </c>
      <c r="P50" s="164"/>
      <c r="Q50" s="164"/>
      <c r="R50" s="164"/>
      <c r="S50" s="164"/>
      <c r="T50" s="164"/>
      <c r="U50" s="164"/>
      <c r="V50" s="164"/>
    </row>
    <row r="51" spans="1:22" ht="27" customHeight="1">
      <c r="A51" s="38"/>
      <c r="B51" s="4"/>
      <c r="C51" s="5"/>
      <c r="D51" s="34"/>
      <c r="E51" s="34"/>
      <c r="F51" s="6"/>
      <c r="G51" s="6"/>
      <c r="H51" s="7"/>
      <c r="I51" s="59"/>
      <c r="J51" s="2"/>
      <c r="K51" s="2"/>
      <c r="L51" s="2"/>
      <c r="M51" s="8"/>
      <c r="N51" s="163" t="str">
        <f t="shared" si="0"/>
        <v/>
      </c>
      <c r="O51" s="126" t="str">
        <f t="shared" si="3"/>
        <v>-</v>
      </c>
      <c r="P51" s="164"/>
      <c r="Q51" s="164"/>
      <c r="R51" s="164"/>
      <c r="S51" s="164"/>
      <c r="T51" s="164"/>
      <c r="U51" s="164"/>
      <c r="V51" s="164"/>
    </row>
    <row r="52" spans="1:22" ht="27" customHeight="1">
      <c r="A52" s="38"/>
      <c r="B52" s="4"/>
      <c r="C52" s="5"/>
      <c r="D52" s="34"/>
      <c r="E52" s="34"/>
      <c r="F52" s="6"/>
      <c r="G52" s="6"/>
      <c r="H52" s="7"/>
      <c r="I52" s="7"/>
      <c r="J52" s="2"/>
      <c r="K52" s="2"/>
      <c r="L52" s="2"/>
      <c r="M52" s="8"/>
      <c r="N52" s="163" t="str">
        <f t="shared" si="0"/>
        <v/>
      </c>
      <c r="O52" s="126" t="str">
        <f t="shared" si="3"/>
        <v>-</v>
      </c>
      <c r="P52" s="164"/>
      <c r="Q52" s="164"/>
      <c r="R52" s="164"/>
      <c r="S52" s="164"/>
      <c r="T52" s="164"/>
      <c r="U52" s="164"/>
      <c r="V52" s="164"/>
    </row>
    <row r="53" spans="1:22" ht="27" customHeight="1">
      <c r="A53" s="38"/>
      <c r="B53" s="4"/>
      <c r="C53" s="5"/>
      <c r="D53" s="34"/>
      <c r="E53" s="34"/>
      <c r="F53" s="6"/>
      <c r="G53" s="6"/>
      <c r="H53" s="7"/>
      <c r="I53" s="7"/>
      <c r="J53" s="2"/>
      <c r="K53" s="2"/>
      <c r="L53" s="2"/>
      <c r="M53" s="8"/>
      <c r="N53" s="163" t="str">
        <f t="shared" si="0"/>
        <v/>
      </c>
      <c r="O53" s="126" t="str">
        <f t="shared" si="3"/>
        <v>-</v>
      </c>
      <c r="P53" s="164"/>
      <c r="Q53" s="164"/>
      <c r="R53" s="164"/>
      <c r="S53" s="164"/>
      <c r="T53" s="164"/>
      <c r="U53" s="164"/>
      <c r="V53" s="164"/>
    </row>
    <row r="54" spans="1:22" ht="27" customHeight="1">
      <c r="A54" s="38"/>
      <c r="B54" s="4"/>
      <c r="C54" s="5"/>
      <c r="D54" s="34"/>
      <c r="E54" s="34"/>
      <c r="F54" s="6"/>
      <c r="G54" s="6"/>
      <c r="H54" s="7"/>
      <c r="I54" s="7"/>
      <c r="J54" s="2"/>
      <c r="K54" s="2"/>
      <c r="L54" s="2"/>
      <c r="M54" s="8"/>
      <c r="N54" s="163" t="str">
        <f t="shared" si="0"/>
        <v/>
      </c>
      <c r="O54" s="126" t="str">
        <f t="shared" si="3"/>
        <v>-</v>
      </c>
      <c r="P54" s="164"/>
      <c r="Q54" s="164"/>
      <c r="R54" s="164"/>
      <c r="S54" s="164"/>
      <c r="T54" s="164"/>
      <c r="U54" s="164"/>
      <c r="V54" s="164"/>
    </row>
    <row r="55" spans="1:22" ht="27" customHeight="1">
      <c r="A55" s="38"/>
      <c r="B55" s="4"/>
      <c r="C55" s="5"/>
      <c r="D55" s="34"/>
      <c r="E55" s="34"/>
      <c r="F55" s="6"/>
      <c r="G55" s="6"/>
      <c r="H55" s="7"/>
      <c r="I55" s="7"/>
      <c r="J55" s="2"/>
      <c r="K55" s="2"/>
      <c r="L55" s="2"/>
      <c r="M55" s="8"/>
      <c r="N55" s="163" t="str">
        <f t="shared" si="0"/>
        <v/>
      </c>
      <c r="O55" s="126" t="str">
        <f t="shared" si="3"/>
        <v>-</v>
      </c>
      <c r="P55" s="164"/>
      <c r="Q55" s="164"/>
      <c r="R55" s="164"/>
      <c r="S55" s="164"/>
      <c r="T55" s="164"/>
      <c r="U55" s="164"/>
      <c r="V55" s="164"/>
    </row>
    <row r="56" spans="1:22" ht="27" customHeight="1">
      <c r="A56" s="38"/>
      <c r="B56" s="4"/>
      <c r="C56" s="5"/>
      <c r="D56" s="34"/>
      <c r="E56" s="34"/>
      <c r="F56" s="6"/>
      <c r="G56" s="6"/>
      <c r="H56" s="7"/>
      <c r="I56" s="7"/>
      <c r="J56" s="2"/>
      <c r="K56" s="2"/>
      <c r="L56" s="2"/>
      <c r="M56" s="8"/>
      <c r="N56" s="163" t="str">
        <f t="shared" si="0"/>
        <v/>
      </c>
      <c r="O56" s="126" t="str">
        <f t="shared" si="3"/>
        <v>-</v>
      </c>
      <c r="P56" s="164"/>
      <c r="Q56" s="164"/>
      <c r="R56" s="164"/>
      <c r="S56" s="164"/>
      <c r="T56" s="164"/>
      <c r="U56" s="164"/>
      <c r="V56" s="164"/>
    </row>
    <row r="57" spans="1:22" ht="27" customHeight="1">
      <c r="A57" s="38"/>
      <c r="B57" s="4"/>
      <c r="C57" s="5"/>
      <c r="D57" s="34"/>
      <c r="E57" s="34"/>
      <c r="F57" s="6"/>
      <c r="G57" s="6"/>
      <c r="H57" s="7"/>
      <c r="I57" s="7"/>
      <c r="J57" s="2"/>
      <c r="K57" s="2"/>
      <c r="L57" s="2"/>
      <c r="M57" s="8"/>
      <c r="N57" s="163" t="str">
        <f t="shared" si="0"/>
        <v/>
      </c>
      <c r="O57" s="126" t="str">
        <f t="shared" si="3"/>
        <v>-</v>
      </c>
      <c r="P57" s="164"/>
      <c r="Q57" s="164"/>
      <c r="R57" s="164"/>
      <c r="S57" s="164"/>
      <c r="T57" s="164"/>
      <c r="U57" s="164"/>
      <c r="V57" s="164"/>
    </row>
    <row r="58" spans="1:22" ht="27" customHeight="1">
      <c r="A58" s="38"/>
      <c r="B58" s="4"/>
      <c r="C58" s="5"/>
      <c r="D58" s="34"/>
      <c r="E58" s="34"/>
      <c r="F58" s="6"/>
      <c r="G58" s="6"/>
      <c r="H58" s="7"/>
      <c r="I58" s="7"/>
      <c r="J58" s="2"/>
      <c r="K58" s="2"/>
      <c r="L58" s="2"/>
      <c r="M58" s="8"/>
      <c r="N58" s="163" t="str">
        <f t="shared" si="0"/>
        <v/>
      </c>
      <c r="O58" s="126" t="str">
        <f t="shared" si="3"/>
        <v>-</v>
      </c>
      <c r="P58" s="164"/>
      <c r="Q58" s="164"/>
      <c r="R58" s="164"/>
      <c r="S58" s="164"/>
      <c r="T58" s="164"/>
      <c r="U58" s="164"/>
      <c r="V58" s="164"/>
    </row>
    <row r="59" spans="1:22" ht="27" customHeight="1">
      <c r="A59" s="38"/>
      <c r="B59" s="4"/>
      <c r="C59" s="5"/>
      <c r="D59" s="34"/>
      <c r="E59" s="34"/>
      <c r="F59" s="6"/>
      <c r="G59" s="6"/>
      <c r="H59" s="7"/>
      <c r="I59" s="7"/>
      <c r="J59" s="2"/>
      <c r="K59" s="2"/>
      <c r="L59" s="2"/>
      <c r="M59" s="8"/>
      <c r="N59" s="163" t="str">
        <f t="shared" si="0"/>
        <v/>
      </c>
      <c r="O59" s="126" t="str">
        <f t="shared" si="3"/>
        <v>-</v>
      </c>
      <c r="P59" s="164"/>
      <c r="Q59" s="164"/>
      <c r="R59" s="164"/>
      <c r="S59" s="164"/>
      <c r="T59" s="164"/>
      <c r="U59" s="164"/>
      <c r="V59" s="164"/>
    </row>
    <row r="60" spans="1:22" ht="27" customHeight="1">
      <c r="A60" s="38"/>
      <c r="B60" s="4"/>
      <c r="C60" s="5"/>
      <c r="D60" s="34"/>
      <c r="E60" s="34"/>
      <c r="F60" s="6"/>
      <c r="G60" s="6"/>
      <c r="H60" s="7"/>
      <c r="I60" s="7"/>
      <c r="J60" s="2"/>
      <c r="K60" s="2"/>
      <c r="L60" s="2"/>
      <c r="M60" s="8"/>
      <c r="N60" s="163" t="str">
        <f t="shared" si="0"/>
        <v/>
      </c>
      <c r="O60" s="126" t="str">
        <f t="shared" si="3"/>
        <v>-</v>
      </c>
      <c r="P60" s="164"/>
      <c r="Q60" s="164"/>
      <c r="R60" s="164"/>
      <c r="S60" s="164"/>
      <c r="T60" s="164"/>
      <c r="U60" s="164"/>
      <c r="V60" s="164"/>
    </row>
    <row r="61" spans="1:22" ht="27" customHeight="1">
      <c r="A61" s="38"/>
      <c r="B61" s="4"/>
      <c r="C61" s="5"/>
      <c r="D61" s="34"/>
      <c r="E61" s="34"/>
      <c r="F61" s="6"/>
      <c r="G61" s="6"/>
      <c r="H61" s="7"/>
      <c r="I61" s="7"/>
      <c r="J61" s="2"/>
      <c r="K61" s="2"/>
      <c r="L61" s="2"/>
      <c r="M61" s="8"/>
      <c r="N61" s="163" t="str">
        <f t="shared" si="0"/>
        <v/>
      </c>
      <c r="O61" s="126" t="str">
        <f t="shared" si="3"/>
        <v>-</v>
      </c>
      <c r="P61" s="164"/>
      <c r="Q61" s="164"/>
      <c r="R61" s="164"/>
      <c r="S61" s="164"/>
      <c r="T61" s="164"/>
      <c r="U61" s="164"/>
      <c r="V61" s="164"/>
    </row>
    <row r="62" spans="1:22" ht="27" customHeight="1">
      <c r="A62" s="38"/>
      <c r="B62" s="4"/>
      <c r="C62" s="5"/>
      <c r="D62" s="34"/>
      <c r="E62" s="34"/>
      <c r="F62" s="6"/>
      <c r="G62" s="6"/>
      <c r="H62" s="7"/>
      <c r="I62" s="7"/>
      <c r="J62" s="2"/>
      <c r="K62" s="2"/>
      <c r="L62" s="2"/>
      <c r="M62" s="8"/>
      <c r="N62" s="163" t="str">
        <f t="shared" si="0"/>
        <v/>
      </c>
      <c r="O62" s="126" t="str">
        <f t="shared" si="3"/>
        <v>-</v>
      </c>
      <c r="P62" s="164"/>
      <c r="Q62" s="164"/>
      <c r="R62" s="164"/>
      <c r="S62" s="164"/>
      <c r="T62" s="164"/>
      <c r="U62" s="164"/>
      <c r="V62" s="164"/>
    </row>
    <row r="63" spans="1:22" ht="27" customHeight="1">
      <c r="A63" s="38"/>
      <c r="B63" s="4"/>
      <c r="C63" s="5"/>
      <c r="D63" s="34"/>
      <c r="E63" s="34"/>
      <c r="F63" s="6"/>
      <c r="G63" s="6"/>
      <c r="H63" s="7"/>
      <c r="I63" s="7"/>
      <c r="J63" s="2"/>
      <c r="K63" s="2"/>
      <c r="L63" s="2"/>
      <c r="M63" s="8"/>
      <c r="N63" s="163" t="str">
        <f t="shared" si="0"/>
        <v/>
      </c>
      <c r="O63" s="126" t="str">
        <f t="shared" si="3"/>
        <v>-</v>
      </c>
      <c r="P63" s="164"/>
      <c r="Q63" s="164"/>
      <c r="R63" s="164"/>
      <c r="S63" s="164"/>
      <c r="T63" s="164"/>
      <c r="U63" s="164"/>
      <c r="V63" s="165"/>
    </row>
    <row r="64" spans="1:22" ht="27" customHeight="1">
      <c r="A64" s="38"/>
      <c r="B64" s="4"/>
      <c r="C64" s="5"/>
      <c r="D64" s="34"/>
      <c r="E64" s="34"/>
      <c r="F64" s="6"/>
      <c r="G64" s="6"/>
      <c r="H64" s="7"/>
      <c r="I64" s="7"/>
      <c r="J64" s="2"/>
      <c r="K64" s="2"/>
      <c r="L64" s="2"/>
      <c r="M64" s="8"/>
      <c r="N64" s="163" t="str">
        <f t="shared" si="0"/>
        <v/>
      </c>
      <c r="O64" s="126" t="str">
        <f t="shared" si="3"/>
        <v>-</v>
      </c>
      <c r="P64" s="164"/>
      <c r="Q64" s="164"/>
      <c r="R64" s="164"/>
      <c r="S64" s="164"/>
      <c r="T64" s="164"/>
      <c r="U64" s="164"/>
      <c r="V64" s="165"/>
    </row>
    <row r="65" spans="1:25" ht="27" customHeight="1">
      <c r="A65" s="38"/>
      <c r="B65" s="4"/>
      <c r="C65" s="5"/>
      <c r="D65" s="34"/>
      <c r="E65" s="34"/>
      <c r="F65" s="6"/>
      <c r="G65" s="6"/>
      <c r="H65" s="7"/>
      <c r="I65" s="7"/>
      <c r="J65" s="2"/>
      <c r="K65" s="2"/>
      <c r="L65" s="2"/>
      <c r="M65" s="8"/>
      <c r="N65" s="163" t="str">
        <f t="shared" si="0"/>
        <v/>
      </c>
      <c r="O65" s="126" t="str">
        <f t="shared" si="3"/>
        <v>-</v>
      </c>
      <c r="P65" s="164"/>
      <c r="Q65" s="164"/>
      <c r="R65" s="164"/>
      <c r="S65" s="164"/>
      <c r="T65" s="164"/>
      <c r="U65" s="164"/>
      <c r="V65" s="165"/>
    </row>
    <row r="66" spans="1:25" ht="27" customHeight="1">
      <c r="A66" s="38"/>
      <c r="B66" s="4"/>
      <c r="C66" s="5"/>
      <c r="D66" s="34"/>
      <c r="E66" s="34"/>
      <c r="F66" s="6"/>
      <c r="G66" s="6"/>
      <c r="H66" s="7"/>
      <c r="I66" s="7"/>
      <c r="J66" s="2"/>
      <c r="K66" s="2"/>
      <c r="L66" s="2"/>
      <c r="M66" s="8"/>
      <c r="N66" s="163" t="str">
        <f t="shared" si="0"/>
        <v/>
      </c>
      <c r="O66" s="126" t="str">
        <f t="shared" si="3"/>
        <v>-</v>
      </c>
      <c r="P66" s="164"/>
      <c r="Q66" s="164"/>
      <c r="R66" s="164"/>
      <c r="S66" s="164"/>
      <c r="T66" s="164"/>
      <c r="U66" s="164"/>
      <c r="V66" s="165"/>
    </row>
    <row r="67" spans="1:25" ht="27" customHeight="1">
      <c r="A67" s="39"/>
      <c r="B67" s="14"/>
      <c r="C67" s="15"/>
      <c r="D67" s="35"/>
      <c r="E67" s="35"/>
      <c r="F67" s="16"/>
      <c r="G67" s="16"/>
      <c r="H67" s="17"/>
      <c r="I67" s="17"/>
      <c r="J67" s="3"/>
      <c r="K67" s="3"/>
      <c r="L67" s="3"/>
      <c r="M67" s="18"/>
      <c r="N67" s="163" t="str">
        <f t="shared" si="0"/>
        <v/>
      </c>
      <c r="O67" s="126" t="str">
        <f t="shared" si="3"/>
        <v>-</v>
      </c>
      <c r="P67" s="164"/>
      <c r="Q67" s="164"/>
      <c r="R67" s="164"/>
      <c r="S67" s="164"/>
      <c r="T67" s="164"/>
      <c r="U67" s="164"/>
      <c r="V67" s="166"/>
      <c r="W67" s="164"/>
      <c r="X67" s="164"/>
      <c r="Y67" s="164"/>
    </row>
    <row r="68" spans="1:25" ht="27" customHeight="1">
      <c r="A68" s="167" t="s">
        <v>44</v>
      </c>
      <c r="B68" s="168"/>
      <c r="C68" s="168"/>
      <c r="D68" s="169"/>
      <c r="E68" s="169">
        <f>SUM(E48:E67)</f>
        <v>0</v>
      </c>
      <c r="F68" s="170"/>
      <c r="G68" s="170"/>
      <c r="H68" s="170"/>
      <c r="I68" s="170"/>
      <c r="J68" s="170"/>
      <c r="K68" s="170"/>
      <c r="L68" s="170"/>
      <c r="M68" s="171"/>
      <c r="N68" s="163" t="str">
        <f t="shared" si="0"/>
        <v/>
      </c>
      <c r="O68" s="126"/>
      <c r="P68" s="164"/>
      <c r="Q68" s="164"/>
      <c r="R68" s="164"/>
      <c r="S68" s="164"/>
      <c r="T68" s="164"/>
      <c r="U68" s="164"/>
      <c r="V68" s="166"/>
      <c r="W68" s="164"/>
      <c r="X68" s="164"/>
      <c r="Y68" s="164"/>
    </row>
    <row r="69" spans="1:25" ht="27" customHeight="1">
      <c r="A69" s="37"/>
      <c r="B69" s="9"/>
      <c r="C69" s="10"/>
      <c r="D69" s="33"/>
      <c r="E69" s="33"/>
      <c r="F69" s="11"/>
      <c r="G69" s="11"/>
      <c r="H69" s="12"/>
      <c r="I69" s="60"/>
      <c r="J69" s="32"/>
      <c r="K69" s="32"/>
      <c r="L69" s="32"/>
      <c r="M69" s="13"/>
      <c r="N69" s="163" t="str">
        <f t="shared" si="0"/>
        <v/>
      </c>
      <c r="O69" s="126" t="str">
        <f>IF(D69&gt;=E69,"-","ERR")</f>
        <v>-</v>
      </c>
      <c r="P69" s="164"/>
      <c r="Q69" s="164"/>
      <c r="R69" s="164"/>
      <c r="S69" s="164"/>
      <c r="T69" s="164"/>
      <c r="U69" s="164"/>
      <c r="V69" s="164"/>
    </row>
    <row r="70" spans="1:25" ht="27" customHeight="1">
      <c r="A70" s="38"/>
      <c r="B70" s="4"/>
      <c r="C70" s="5"/>
      <c r="D70" s="34"/>
      <c r="E70" s="34"/>
      <c r="F70" s="6"/>
      <c r="G70" s="6"/>
      <c r="H70" s="7"/>
      <c r="I70" s="7"/>
      <c r="J70" s="2"/>
      <c r="K70" s="2"/>
      <c r="L70" s="2"/>
      <c r="M70" s="8"/>
      <c r="N70" s="163" t="str">
        <f t="shared" si="0"/>
        <v/>
      </c>
      <c r="O70" s="126" t="str">
        <f t="shared" ref="O70:O88" si="4">IF(D70&gt;=E70,"-","ERR")</f>
        <v>-</v>
      </c>
      <c r="P70" s="164"/>
      <c r="Q70" s="164"/>
      <c r="R70" s="164"/>
      <c r="S70" s="164"/>
      <c r="T70" s="164"/>
      <c r="U70" s="164"/>
      <c r="V70" s="164"/>
    </row>
    <row r="71" spans="1:25" ht="27" customHeight="1">
      <c r="A71" s="38"/>
      <c r="B71" s="4"/>
      <c r="C71" s="5"/>
      <c r="D71" s="34"/>
      <c r="E71" s="34"/>
      <c r="F71" s="6"/>
      <c r="G71" s="6"/>
      <c r="H71" s="7"/>
      <c r="I71" s="7"/>
      <c r="J71" s="2"/>
      <c r="K71" s="2"/>
      <c r="L71" s="2"/>
      <c r="M71" s="8"/>
      <c r="N71" s="163" t="str">
        <f t="shared" ref="N71:N134" si="5">CONCATENATE(C71,H71)</f>
        <v/>
      </c>
      <c r="O71" s="126" t="str">
        <f t="shared" si="4"/>
        <v>-</v>
      </c>
      <c r="P71" s="164"/>
      <c r="Q71" s="164"/>
      <c r="R71" s="164"/>
      <c r="S71" s="164"/>
      <c r="T71" s="164"/>
      <c r="U71" s="164"/>
      <c r="V71" s="164"/>
    </row>
    <row r="72" spans="1:25" ht="27" customHeight="1">
      <c r="A72" s="38"/>
      <c r="B72" s="4"/>
      <c r="C72" s="5"/>
      <c r="D72" s="34"/>
      <c r="E72" s="34"/>
      <c r="F72" s="6"/>
      <c r="G72" s="6"/>
      <c r="H72" s="7"/>
      <c r="I72" s="7"/>
      <c r="J72" s="2"/>
      <c r="K72" s="2"/>
      <c r="L72" s="2"/>
      <c r="M72" s="8"/>
      <c r="N72" s="163" t="str">
        <f t="shared" si="5"/>
        <v/>
      </c>
      <c r="O72" s="126" t="str">
        <f t="shared" si="4"/>
        <v>-</v>
      </c>
      <c r="P72" s="164"/>
      <c r="Q72" s="164"/>
      <c r="R72" s="164"/>
      <c r="S72" s="164"/>
      <c r="T72" s="164"/>
      <c r="U72" s="164"/>
      <c r="V72" s="164"/>
    </row>
    <row r="73" spans="1:25" ht="27" customHeight="1">
      <c r="A73" s="38"/>
      <c r="B73" s="4"/>
      <c r="C73" s="5"/>
      <c r="D73" s="34"/>
      <c r="E73" s="34"/>
      <c r="F73" s="6"/>
      <c r="G73" s="6"/>
      <c r="H73" s="7"/>
      <c r="I73" s="7"/>
      <c r="J73" s="2"/>
      <c r="K73" s="2"/>
      <c r="L73" s="2"/>
      <c r="M73" s="8"/>
      <c r="N73" s="163" t="str">
        <f t="shared" si="5"/>
        <v/>
      </c>
      <c r="O73" s="126" t="str">
        <f t="shared" si="4"/>
        <v>-</v>
      </c>
      <c r="P73" s="164"/>
      <c r="Q73" s="164"/>
      <c r="R73" s="164"/>
      <c r="S73" s="164"/>
      <c r="T73" s="164"/>
      <c r="U73" s="164"/>
      <c r="V73" s="164"/>
    </row>
    <row r="74" spans="1:25" ht="27" customHeight="1">
      <c r="A74" s="38"/>
      <c r="B74" s="4"/>
      <c r="C74" s="5"/>
      <c r="D74" s="34"/>
      <c r="E74" s="34"/>
      <c r="F74" s="6"/>
      <c r="G74" s="6"/>
      <c r="H74" s="7"/>
      <c r="I74" s="7"/>
      <c r="J74" s="2"/>
      <c r="K74" s="2"/>
      <c r="L74" s="61"/>
      <c r="M74" s="62"/>
      <c r="N74" s="163" t="str">
        <f t="shared" si="5"/>
        <v/>
      </c>
      <c r="O74" s="126" t="str">
        <f t="shared" si="4"/>
        <v>-</v>
      </c>
      <c r="P74" s="164"/>
      <c r="Q74" s="164"/>
      <c r="R74" s="164"/>
      <c r="S74" s="164"/>
      <c r="T74" s="164"/>
      <c r="U74" s="164"/>
      <c r="V74" s="164"/>
    </row>
    <row r="75" spans="1:25" ht="27" customHeight="1">
      <c r="A75" s="38"/>
      <c r="B75" s="4"/>
      <c r="C75" s="5"/>
      <c r="D75" s="34"/>
      <c r="E75" s="34"/>
      <c r="F75" s="6"/>
      <c r="G75" s="6"/>
      <c r="H75" s="7"/>
      <c r="I75" s="7"/>
      <c r="J75" s="2"/>
      <c r="K75" s="2"/>
      <c r="L75" s="2"/>
      <c r="M75" s="8"/>
      <c r="N75" s="163" t="str">
        <f t="shared" si="5"/>
        <v/>
      </c>
      <c r="O75" s="126" t="str">
        <f t="shared" si="4"/>
        <v>-</v>
      </c>
      <c r="P75" s="164"/>
      <c r="Q75" s="164"/>
      <c r="R75" s="164"/>
      <c r="S75" s="164"/>
      <c r="T75" s="164"/>
      <c r="U75" s="164"/>
      <c r="V75" s="164"/>
    </row>
    <row r="76" spans="1:25" ht="27" customHeight="1">
      <c r="A76" s="38"/>
      <c r="B76" s="4"/>
      <c r="C76" s="5"/>
      <c r="D76" s="34"/>
      <c r="E76" s="34"/>
      <c r="F76" s="6"/>
      <c r="G76" s="6"/>
      <c r="H76" s="7"/>
      <c r="I76" s="7"/>
      <c r="J76" s="2"/>
      <c r="K76" s="2"/>
      <c r="L76" s="2"/>
      <c r="M76" s="8"/>
      <c r="N76" s="163" t="str">
        <f t="shared" si="5"/>
        <v/>
      </c>
      <c r="O76" s="126" t="str">
        <f t="shared" si="4"/>
        <v>-</v>
      </c>
      <c r="P76" s="164"/>
      <c r="Q76" s="164"/>
      <c r="R76" s="164"/>
      <c r="S76" s="164"/>
      <c r="T76" s="164"/>
      <c r="U76" s="164"/>
      <c r="V76" s="164"/>
    </row>
    <row r="77" spans="1:25" ht="27" customHeight="1">
      <c r="A77" s="38"/>
      <c r="B77" s="4"/>
      <c r="C77" s="5"/>
      <c r="D77" s="34"/>
      <c r="E77" s="34"/>
      <c r="F77" s="6"/>
      <c r="G77" s="6"/>
      <c r="H77" s="7"/>
      <c r="I77" s="59"/>
      <c r="J77" s="2"/>
      <c r="K77" s="2"/>
      <c r="L77" s="2"/>
      <c r="M77" s="8"/>
      <c r="N77" s="163" t="str">
        <f t="shared" si="5"/>
        <v/>
      </c>
      <c r="O77" s="126" t="str">
        <f t="shared" si="4"/>
        <v>-</v>
      </c>
      <c r="P77" s="164"/>
      <c r="Q77" s="164"/>
      <c r="R77" s="164"/>
      <c r="S77" s="164"/>
      <c r="T77" s="164"/>
      <c r="U77" s="164"/>
      <c r="V77" s="164"/>
    </row>
    <row r="78" spans="1:25" ht="27" customHeight="1">
      <c r="A78" s="38"/>
      <c r="B78" s="4"/>
      <c r="C78" s="5"/>
      <c r="D78" s="34"/>
      <c r="E78" s="34"/>
      <c r="F78" s="6"/>
      <c r="G78" s="6"/>
      <c r="H78" s="7"/>
      <c r="I78" s="7"/>
      <c r="J78" s="2"/>
      <c r="K78" s="2"/>
      <c r="L78" s="2"/>
      <c r="M78" s="8"/>
      <c r="N78" s="163" t="str">
        <f t="shared" si="5"/>
        <v/>
      </c>
      <c r="O78" s="126" t="str">
        <f t="shared" si="4"/>
        <v>-</v>
      </c>
      <c r="P78" s="164"/>
      <c r="Q78" s="164"/>
      <c r="R78" s="164"/>
      <c r="S78" s="164"/>
      <c r="T78" s="164"/>
      <c r="U78" s="164"/>
      <c r="V78" s="164"/>
    </row>
    <row r="79" spans="1:25" ht="27" customHeight="1">
      <c r="A79" s="38"/>
      <c r="B79" s="4"/>
      <c r="C79" s="5"/>
      <c r="D79" s="34"/>
      <c r="E79" s="34"/>
      <c r="F79" s="6"/>
      <c r="G79" s="6"/>
      <c r="H79" s="7"/>
      <c r="I79" s="7"/>
      <c r="J79" s="2"/>
      <c r="K79" s="2"/>
      <c r="L79" s="2"/>
      <c r="M79" s="8"/>
      <c r="N79" s="163" t="str">
        <f t="shared" si="5"/>
        <v/>
      </c>
      <c r="O79" s="126" t="str">
        <f t="shared" si="4"/>
        <v>-</v>
      </c>
      <c r="P79" s="164"/>
      <c r="Q79" s="164"/>
      <c r="R79" s="164"/>
      <c r="S79" s="164"/>
      <c r="T79" s="164"/>
      <c r="U79" s="164"/>
      <c r="V79" s="164"/>
    </row>
    <row r="80" spans="1:25" ht="27" customHeight="1">
      <c r="A80" s="38"/>
      <c r="B80" s="4"/>
      <c r="C80" s="5"/>
      <c r="D80" s="34"/>
      <c r="E80" s="34"/>
      <c r="F80" s="6"/>
      <c r="G80" s="6"/>
      <c r="H80" s="7"/>
      <c r="I80" s="59"/>
      <c r="J80" s="2"/>
      <c r="K80" s="2"/>
      <c r="L80" s="2"/>
      <c r="M80" s="8"/>
      <c r="N80" s="163" t="str">
        <f t="shared" si="5"/>
        <v/>
      </c>
      <c r="O80" s="126" t="str">
        <f t="shared" si="4"/>
        <v>-</v>
      </c>
      <c r="P80" s="164"/>
      <c r="Q80" s="164"/>
      <c r="R80" s="164"/>
      <c r="S80" s="164"/>
      <c r="T80" s="164"/>
      <c r="U80" s="164"/>
      <c r="V80" s="164"/>
    </row>
    <row r="81" spans="1:25" ht="27" customHeight="1">
      <c r="A81" s="38"/>
      <c r="B81" s="4"/>
      <c r="C81" s="5"/>
      <c r="D81" s="34"/>
      <c r="E81" s="34"/>
      <c r="F81" s="6"/>
      <c r="G81" s="6"/>
      <c r="H81" s="7"/>
      <c r="I81" s="59"/>
      <c r="J81" s="2"/>
      <c r="K81" s="2"/>
      <c r="L81" s="2"/>
      <c r="M81" s="8"/>
      <c r="N81" s="163" t="str">
        <f t="shared" si="5"/>
        <v/>
      </c>
      <c r="O81" s="126" t="str">
        <f t="shared" si="4"/>
        <v>-</v>
      </c>
      <c r="P81" s="164"/>
      <c r="Q81" s="164"/>
      <c r="R81" s="164"/>
      <c r="S81" s="164"/>
      <c r="T81" s="164"/>
      <c r="U81" s="164"/>
      <c r="V81" s="164"/>
    </row>
    <row r="82" spans="1:25" ht="27" customHeight="1">
      <c r="A82" s="38"/>
      <c r="B82" s="4"/>
      <c r="C82" s="5"/>
      <c r="D82" s="34"/>
      <c r="E82" s="34"/>
      <c r="F82" s="6"/>
      <c r="G82" s="6"/>
      <c r="H82" s="7"/>
      <c r="I82" s="7"/>
      <c r="J82" s="2"/>
      <c r="K82" s="2"/>
      <c r="L82" s="2"/>
      <c r="M82" s="8"/>
      <c r="N82" s="163" t="str">
        <f t="shared" si="5"/>
        <v/>
      </c>
      <c r="O82" s="126" t="str">
        <f t="shared" si="4"/>
        <v>-</v>
      </c>
      <c r="P82" s="164"/>
      <c r="Q82" s="164"/>
      <c r="R82" s="164"/>
      <c r="S82" s="164"/>
      <c r="T82" s="164"/>
      <c r="U82" s="164"/>
      <c r="V82" s="164"/>
    </row>
    <row r="83" spans="1:25" ht="27" customHeight="1">
      <c r="A83" s="38"/>
      <c r="B83" s="4"/>
      <c r="C83" s="5"/>
      <c r="D83" s="34"/>
      <c r="E83" s="34"/>
      <c r="F83" s="6"/>
      <c r="G83" s="6"/>
      <c r="H83" s="7"/>
      <c r="I83" s="7"/>
      <c r="J83" s="2"/>
      <c r="K83" s="2"/>
      <c r="L83" s="2"/>
      <c r="M83" s="8"/>
      <c r="N83" s="163" t="str">
        <f t="shared" si="5"/>
        <v/>
      </c>
      <c r="O83" s="126" t="str">
        <f t="shared" si="4"/>
        <v>-</v>
      </c>
      <c r="P83" s="164"/>
      <c r="Q83" s="164"/>
      <c r="R83" s="164"/>
      <c r="S83" s="164"/>
      <c r="T83" s="164"/>
      <c r="U83" s="164"/>
      <c r="V83" s="164"/>
    </row>
    <row r="84" spans="1:25" ht="27" customHeight="1">
      <c r="A84" s="38"/>
      <c r="B84" s="4"/>
      <c r="C84" s="5"/>
      <c r="D84" s="34"/>
      <c r="E84" s="34"/>
      <c r="F84" s="6"/>
      <c r="G84" s="6"/>
      <c r="H84" s="7"/>
      <c r="I84" s="59"/>
      <c r="J84" s="2"/>
      <c r="K84" s="2"/>
      <c r="L84" s="2"/>
      <c r="M84" s="8"/>
      <c r="N84" s="163" t="str">
        <f t="shared" si="5"/>
        <v/>
      </c>
      <c r="O84" s="126" t="str">
        <f t="shared" si="4"/>
        <v>-</v>
      </c>
      <c r="P84" s="164"/>
      <c r="Q84" s="164"/>
      <c r="R84" s="164"/>
      <c r="S84" s="164"/>
      <c r="T84" s="164"/>
      <c r="U84" s="164"/>
      <c r="V84" s="165"/>
    </row>
    <row r="85" spans="1:25" ht="27" customHeight="1">
      <c r="A85" s="38"/>
      <c r="B85" s="4"/>
      <c r="C85" s="5"/>
      <c r="D85" s="34"/>
      <c r="E85" s="34"/>
      <c r="F85" s="6"/>
      <c r="G85" s="6"/>
      <c r="H85" s="7"/>
      <c r="I85" s="59"/>
      <c r="J85" s="2"/>
      <c r="K85" s="2"/>
      <c r="L85" s="2"/>
      <c r="M85" s="8"/>
      <c r="N85" s="163" t="str">
        <f t="shared" si="5"/>
        <v/>
      </c>
      <c r="O85" s="126" t="str">
        <f t="shared" si="4"/>
        <v>-</v>
      </c>
      <c r="P85" s="164"/>
      <c r="Q85" s="164"/>
      <c r="R85" s="164"/>
      <c r="S85" s="164"/>
      <c r="T85" s="164"/>
      <c r="U85" s="164"/>
      <c r="V85" s="165"/>
    </row>
    <row r="86" spans="1:25" ht="27" customHeight="1">
      <c r="A86" s="38"/>
      <c r="B86" s="4"/>
      <c r="C86" s="5"/>
      <c r="D86" s="34"/>
      <c r="E86" s="34"/>
      <c r="F86" s="6"/>
      <c r="G86" s="6"/>
      <c r="H86" s="7"/>
      <c r="I86" s="59"/>
      <c r="J86" s="2"/>
      <c r="K86" s="2"/>
      <c r="L86" s="2"/>
      <c r="M86" s="8"/>
      <c r="N86" s="163" t="str">
        <f t="shared" si="5"/>
        <v/>
      </c>
      <c r="O86" s="126" t="str">
        <f t="shared" si="4"/>
        <v>-</v>
      </c>
      <c r="P86" s="164"/>
      <c r="Q86" s="164"/>
      <c r="R86" s="164"/>
      <c r="S86" s="164"/>
      <c r="T86" s="164"/>
      <c r="U86" s="164"/>
      <c r="V86" s="165"/>
    </row>
    <row r="87" spans="1:25" ht="27" customHeight="1">
      <c r="A87" s="38"/>
      <c r="B87" s="4"/>
      <c r="C87" s="5"/>
      <c r="D87" s="34"/>
      <c r="E87" s="34"/>
      <c r="F87" s="6"/>
      <c r="G87" s="6"/>
      <c r="H87" s="7"/>
      <c r="I87" s="7"/>
      <c r="J87" s="2"/>
      <c r="K87" s="2"/>
      <c r="L87" s="2"/>
      <c r="M87" s="8"/>
      <c r="N87" s="163" t="str">
        <f t="shared" si="5"/>
        <v/>
      </c>
      <c r="O87" s="126" t="str">
        <f t="shared" si="4"/>
        <v>-</v>
      </c>
      <c r="P87" s="164"/>
      <c r="Q87" s="164"/>
      <c r="R87" s="164"/>
      <c r="S87" s="164"/>
      <c r="T87" s="164"/>
      <c r="U87" s="164"/>
      <c r="V87" s="165"/>
    </row>
    <row r="88" spans="1:25" ht="27" customHeight="1">
      <c r="A88" s="39"/>
      <c r="B88" s="14"/>
      <c r="C88" s="15"/>
      <c r="D88" s="35"/>
      <c r="E88" s="35"/>
      <c r="F88" s="16"/>
      <c r="G88" s="16"/>
      <c r="H88" s="17"/>
      <c r="I88" s="17"/>
      <c r="J88" s="63"/>
      <c r="K88" s="3"/>
      <c r="L88" s="3"/>
      <c r="M88" s="18"/>
      <c r="N88" s="163" t="str">
        <f t="shared" si="5"/>
        <v/>
      </c>
      <c r="O88" s="126" t="str">
        <f t="shared" si="4"/>
        <v>-</v>
      </c>
      <c r="P88" s="164"/>
      <c r="Q88" s="164"/>
      <c r="R88" s="164"/>
      <c r="S88" s="164"/>
      <c r="T88" s="164"/>
      <c r="U88" s="164"/>
      <c r="V88" s="166"/>
      <c r="W88" s="164"/>
      <c r="X88" s="164"/>
      <c r="Y88" s="164"/>
    </row>
    <row r="89" spans="1:25" ht="27" customHeight="1">
      <c r="A89" s="167" t="s">
        <v>44</v>
      </c>
      <c r="B89" s="168"/>
      <c r="C89" s="168"/>
      <c r="D89" s="169"/>
      <c r="E89" s="169">
        <f>SUM(E69:E88)</f>
        <v>0</v>
      </c>
      <c r="F89" s="170"/>
      <c r="G89" s="170"/>
      <c r="H89" s="170"/>
      <c r="I89" s="170"/>
      <c r="J89" s="170"/>
      <c r="K89" s="170"/>
      <c r="L89" s="170"/>
      <c r="M89" s="171"/>
      <c r="N89" s="163" t="str">
        <f t="shared" si="5"/>
        <v/>
      </c>
      <c r="O89" s="126"/>
      <c r="P89" s="164"/>
      <c r="Q89" s="164"/>
      <c r="R89" s="164"/>
      <c r="S89" s="164"/>
      <c r="T89" s="164"/>
      <c r="U89" s="164"/>
      <c r="V89" s="166"/>
      <c r="W89" s="164"/>
      <c r="X89" s="164"/>
      <c r="Y89" s="164"/>
    </row>
    <row r="90" spans="1:25" ht="27" customHeight="1">
      <c r="A90" s="37"/>
      <c r="B90" s="9"/>
      <c r="C90" s="10"/>
      <c r="D90" s="33"/>
      <c r="E90" s="33"/>
      <c r="F90" s="11"/>
      <c r="G90" s="11"/>
      <c r="H90" s="12"/>
      <c r="I90" s="12"/>
      <c r="J90" s="32"/>
      <c r="K90" s="32"/>
      <c r="L90" s="32"/>
      <c r="M90" s="13"/>
      <c r="N90" s="163" t="str">
        <f t="shared" si="5"/>
        <v/>
      </c>
      <c r="O90" s="126" t="str">
        <f>IF(D90&gt;=E90,"-","ERR")</f>
        <v>-</v>
      </c>
      <c r="P90" s="164"/>
      <c r="Q90" s="164"/>
      <c r="R90" s="164"/>
      <c r="S90" s="164"/>
      <c r="T90" s="164"/>
      <c r="U90" s="164"/>
      <c r="V90" s="164"/>
    </row>
    <row r="91" spans="1:25" ht="27" customHeight="1">
      <c r="A91" s="38"/>
      <c r="B91" s="4"/>
      <c r="C91" s="5"/>
      <c r="D91" s="34"/>
      <c r="E91" s="34"/>
      <c r="F91" s="6"/>
      <c r="G91" s="6"/>
      <c r="H91" s="7"/>
      <c r="I91" s="7"/>
      <c r="J91" s="2"/>
      <c r="K91" s="2"/>
      <c r="L91" s="2"/>
      <c r="M91" s="8"/>
      <c r="N91" s="163" t="str">
        <f t="shared" si="5"/>
        <v/>
      </c>
      <c r="O91" s="126" t="str">
        <f t="shared" ref="O91:O109" si="6">IF(D91&gt;=E91,"-","ERR")</f>
        <v>-</v>
      </c>
      <c r="P91" s="164"/>
      <c r="Q91" s="164"/>
      <c r="R91" s="164"/>
      <c r="S91" s="164"/>
      <c r="T91" s="164"/>
      <c r="U91" s="164"/>
      <c r="V91" s="164"/>
    </row>
    <row r="92" spans="1:25" ht="27" customHeight="1">
      <c r="A92" s="38"/>
      <c r="B92" s="4"/>
      <c r="C92" s="5"/>
      <c r="D92" s="34"/>
      <c r="E92" s="34"/>
      <c r="F92" s="6"/>
      <c r="G92" s="6"/>
      <c r="H92" s="7"/>
      <c r="I92" s="7"/>
      <c r="J92" s="2"/>
      <c r="K92" s="2"/>
      <c r="L92" s="2"/>
      <c r="M92" s="8"/>
      <c r="N92" s="163" t="str">
        <f t="shared" si="5"/>
        <v/>
      </c>
      <c r="O92" s="126" t="str">
        <f t="shared" si="6"/>
        <v>-</v>
      </c>
      <c r="P92" s="164"/>
      <c r="Q92" s="164"/>
      <c r="R92" s="164"/>
      <c r="S92" s="164"/>
      <c r="T92" s="164"/>
      <c r="U92" s="164"/>
      <c r="V92" s="164"/>
    </row>
    <row r="93" spans="1:25" ht="27" customHeight="1">
      <c r="A93" s="38"/>
      <c r="B93" s="4"/>
      <c r="C93" s="5"/>
      <c r="D93" s="34"/>
      <c r="E93" s="34"/>
      <c r="F93" s="6"/>
      <c r="G93" s="6"/>
      <c r="H93" s="7"/>
      <c r="I93" s="7"/>
      <c r="J93" s="2"/>
      <c r="K93" s="2"/>
      <c r="L93" s="2"/>
      <c r="M93" s="8"/>
      <c r="N93" s="163" t="str">
        <f t="shared" si="5"/>
        <v/>
      </c>
      <c r="O93" s="126" t="str">
        <f t="shared" si="6"/>
        <v>-</v>
      </c>
      <c r="P93" s="164"/>
      <c r="Q93" s="164"/>
      <c r="R93" s="164"/>
      <c r="S93" s="164"/>
      <c r="T93" s="164"/>
      <c r="U93" s="164"/>
      <c r="V93" s="164"/>
    </row>
    <row r="94" spans="1:25" ht="27" customHeight="1">
      <c r="A94" s="38"/>
      <c r="B94" s="4"/>
      <c r="C94" s="5"/>
      <c r="D94" s="34"/>
      <c r="E94" s="34"/>
      <c r="F94" s="6"/>
      <c r="G94" s="6"/>
      <c r="H94" s="7"/>
      <c r="I94" s="7"/>
      <c r="J94" s="2"/>
      <c r="K94" s="2"/>
      <c r="L94" s="2"/>
      <c r="M94" s="8"/>
      <c r="N94" s="163" t="str">
        <f t="shared" si="5"/>
        <v/>
      </c>
      <c r="O94" s="126" t="str">
        <f t="shared" si="6"/>
        <v>-</v>
      </c>
      <c r="P94" s="164"/>
      <c r="Q94" s="164"/>
      <c r="R94" s="164"/>
      <c r="S94" s="164"/>
      <c r="T94" s="164"/>
      <c r="U94" s="164"/>
      <c r="V94" s="164"/>
    </row>
    <row r="95" spans="1:25" ht="27" customHeight="1">
      <c r="A95" s="38"/>
      <c r="B95" s="4"/>
      <c r="C95" s="5"/>
      <c r="D95" s="34"/>
      <c r="E95" s="34"/>
      <c r="F95" s="6"/>
      <c r="G95" s="6"/>
      <c r="H95" s="7"/>
      <c r="I95" s="7"/>
      <c r="J95" s="2"/>
      <c r="K95" s="2"/>
      <c r="L95" s="2"/>
      <c r="M95" s="8"/>
      <c r="N95" s="163" t="str">
        <f t="shared" si="5"/>
        <v/>
      </c>
      <c r="O95" s="126" t="str">
        <f t="shared" si="6"/>
        <v>-</v>
      </c>
      <c r="P95" s="164"/>
      <c r="Q95" s="164"/>
      <c r="R95" s="164"/>
      <c r="S95" s="164"/>
      <c r="T95" s="164"/>
      <c r="U95" s="164"/>
      <c r="V95" s="164"/>
    </row>
    <row r="96" spans="1:25" ht="27" customHeight="1">
      <c r="A96" s="38"/>
      <c r="B96" s="4"/>
      <c r="C96" s="5"/>
      <c r="D96" s="34"/>
      <c r="E96" s="34"/>
      <c r="F96" s="6"/>
      <c r="G96" s="6"/>
      <c r="H96" s="7"/>
      <c r="I96" s="7"/>
      <c r="J96" s="2"/>
      <c r="K96" s="2"/>
      <c r="L96" s="2"/>
      <c r="M96" s="8"/>
      <c r="N96" s="163" t="str">
        <f t="shared" si="5"/>
        <v/>
      </c>
      <c r="O96" s="126" t="str">
        <f t="shared" si="6"/>
        <v>-</v>
      </c>
      <c r="P96" s="164"/>
      <c r="Q96" s="164"/>
      <c r="R96" s="164"/>
      <c r="S96" s="164"/>
      <c r="T96" s="164"/>
      <c r="U96" s="164"/>
      <c r="V96" s="164"/>
    </row>
    <row r="97" spans="1:25" ht="27" customHeight="1">
      <c r="A97" s="38"/>
      <c r="B97" s="4"/>
      <c r="C97" s="5"/>
      <c r="D97" s="34"/>
      <c r="E97" s="34"/>
      <c r="F97" s="6"/>
      <c r="G97" s="6"/>
      <c r="H97" s="7"/>
      <c r="I97" s="7"/>
      <c r="J97" s="2"/>
      <c r="K97" s="2"/>
      <c r="L97" s="2"/>
      <c r="M97" s="8"/>
      <c r="N97" s="163" t="str">
        <f t="shared" si="5"/>
        <v/>
      </c>
      <c r="O97" s="126" t="str">
        <f t="shared" si="6"/>
        <v>-</v>
      </c>
      <c r="P97" s="164"/>
      <c r="Q97" s="164"/>
      <c r="R97" s="164"/>
      <c r="S97" s="164"/>
      <c r="T97" s="164"/>
      <c r="U97" s="164"/>
      <c r="V97" s="164"/>
    </row>
    <row r="98" spans="1:25" ht="27" customHeight="1">
      <c r="A98" s="38"/>
      <c r="B98" s="4"/>
      <c r="C98" s="5"/>
      <c r="D98" s="34"/>
      <c r="E98" s="34"/>
      <c r="F98" s="6"/>
      <c r="G98" s="6"/>
      <c r="H98" s="7"/>
      <c r="I98" s="7"/>
      <c r="J98" s="2"/>
      <c r="K98" s="2"/>
      <c r="L98" s="2"/>
      <c r="M98" s="8"/>
      <c r="N98" s="163" t="str">
        <f t="shared" si="5"/>
        <v/>
      </c>
      <c r="O98" s="126" t="str">
        <f t="shared" si="6"/>
        <v>-</v>
      </c>
      <c r="P98" s="164"/>
      <c r="Q98" s="164"/>
      <c r="R98" s="164"/>
      <c r="S98" s="164"/>
      <c r="T98" s="164"/>
      <c r="U98" s="164"/>
      <c r="V98" s="164"/>
    </row>
    <row r="99" spans="1:25" ht="27" customHeight="1">
      <c r="A99" s="38"/>
      <c r="B99" s="4"/>
      <c r="C99" s="5"/>
      <c r="D99" s="34"/>
      <c r="E99" s="34"/>
      <c r="F99" s="6"/>
      <c r="G99" s="6"/>
      <c r="H99" s="7"/>
      <c r="I99" s="7"/>
      <c r="J99" s="2"/>
      <c r="K99" s="2"/>
      <c r="L99" s="2"/>
      <c r="M99" s="8"/>
      <c r="N99" s="163" t="str">
        <f t="shared" si="5"/>
        <v/>
      </c>
      <c r="O99" s="126" t="str">
        <f t="shared" si="6"/>
        <v>-</v>
      </c>
      <c r="P99" s="164"/>
      <c r="Q99" s="164"/>
      <c r="R99" s="164"/>
      <c r="S99" s="164"/>
      <c r="T99" s="164"/>
      <c r="U99" s="164"/>
      <c r="V99" s="164"/>
    </row>
    <row r="100" spans="1:25" ht="27" customHeight="1">
      <c r="A100" s="38"/>
      <c r="B100" s="4"/>
      <c r="C100" s="5"/>
      <c r="D100" s="34"/>
      <c r="E100" s="34"/>
      <c r="F100" s="6"/>
      <c r="G100" s="6"/>
      <c r="H100" s="7"/>
      <c r="I100" s="7"/>
      <c r="J100" s="2"/>
      <c r="K100" s="2"/>
      <c r="L100" s="2"/>
      <c r="M100" s="8"/>
      <c r="N100" s="163" t="str">
        <f t="shared" si="5"/>
        <v/>
      </c>
      <c r="O100" s="126" t="str">
        <f t="shared" si="6"/>
        <v>-</v>
      </c>
      <c r="P100" s="164"/>
      <c r="Q100" s="164"/>
      <c r="R100" s="164"/>
      <c r="S100" s="164"/>
      <c r="T100" s="164"/>
      <c r="U100" s="164"/>
      <c r="V100" s="164"/>
    </row>
    <row r="101" spans="1:25" ht="27" customHeight="1">
      <c r="A101" s="38"/>
      <c r="B101" s="4"/>
      <c r="C101" s="5"/>
      <c r="D101" s="34"/>
      <c r="E101" s="34"/>
      <c r="F101" s="6"/>
      <c r="G101" s="6"/>
      <c r="H101" s="7"/>
      <c r="I101" s="7"/>
      <c r="J101" s="2"/>
      <c r="K101" s="2"/>
      <c r="L101" s="2"/>
      <c r="M101" s="8"/>
      <c r="N101" s="163" t="str">
        <f t="shared" si="5"/>
        <v/>
      </c>
      <c r="O101" s="126" t="str">
        <f t="shared" si="6"/>
        <v>-</v>
      </c>
      <c r="P101" s="164"/>
      <c r="Q101" s="164"/>
      <c r="R101" s="164"/>
      <c r="S101" s="164"/>
      <c r="T101" s="164"/>
      <c r="U101" s="164"/>
      <c r="V101" s="164"/>
    </row>
    <row r="102" spans="1:25" ht="27" customHeight="1">
      <c r="A102" s="38"/>
      <c r="B102" s="4"/>
      <c r="C102" s="5"/>
      <c r="D102" s="34"/>
      <c r="E102" s="34"/>
      <c r="F102" s="6"/>
      <c r="G102" s="6"/>
      <c r="H102" s="7"/>
      <c r="I102" s="7"/>
      <c r="J102" s="2"/>
      <c r="K102" s="2"/>
      <c r="L102" s="2"/>
      <c r="M102" s="8"/>
      <c r="N102" s="163" t="str">
        <f t="shared" si="5"/>
        <v/>
      </c>
      <c r="O102" s="126" t="str">
        <f t="shared" si="6"/>
        <v>-</v>
      </c>
      <c r="P102" s="164"/>
      <c r="Q102" s="164"/>
      <c r="R102" s="164"/>
      <c r="S102" s="164"/>
      <c r="T102" s="164"/>
      <c r="U102" s="164"/>
      <c r="V102" s="164"/>
    </row>
    <row r="103" spans="1:25" ht="27" customHeight="1">
      <c r="A103" s="38"/>
      <c r="B103" s="4"/>
      <c r="C103" s="5"/>
      <c r="D103" s="34"/>
      <c r="E103" s="34"/>
      <c r="F103" s="6"/>
      <c r="G103" s="6"/>
      <c r="H103" s="7"/>
      <c r="I103" s="7"/>
      <c r="J103" s="2"/>
      <c r="K103" s="2"/>
      <c r="L103" s="2"/>
      <c r="M103" s="8"/>
      <c r="N103" s="163" t="str">
        <f t="shared" si="5"/>
        <v/>
      </c>
      <c r="O103" s="126" t="str">
        <f t="shared" si="6"/>
        <v>-</v>
      </c>
      <c r="P103" s="164"/>
      <c r="Q103" s="164"/>
      <c r="R103" s="164"/>
      <c r="S103" s="164"/>
      <c r="T103" s="164"/>
      <c r="U103" s="164"/>
      <c r="V103" s="164"/>
    </row>
    <row r="104" spans="1:25" ht="27" customHeight="1">
      <c r="A104" s="38"/>
      <c r="B104" s="4"/>
      <c r="C104" s="5"/>
      <c r="D104" s="34"/>
      <c r="E104" s="34"/>
      <c r="F104" s="6"/>
      <c r="G104" s="6"/>
      <c r="H104" s="7"/>
      <c r="I104" s="7"/>
      <c r="J104" s="2"/>
      <c r="K104" s="2"/>
      <c r="L104" s="2"/>
      <c r="M104" s="8"/>
      <c r="N104" s="163" t="str">
        <f t="shared" si="5"/>
        <v/>
      </c>
      <c r="O104" s="126" t="str">
        <f t="shared" si="6"/>
        <v>-</v>
      </c>
      <c r="P104" s="164"/>
      <c r="Q104" s="164"/>
      <c r="R104" s="164"/>
      <c r="S104" s="164"/>
      <c r="T104" s="164"/>
      <c r="U104" s="164"/>
      <c r="V104" s="164"/>
    </row>
    <row r="105" spans="1:25" ht="27" customHeight="1">
      <c r="A105" s="38"/>
      <c r="B105" s="4"/>
      <c r="C105" s="5"/>
      <c r="D105" s="34"/>
      <c r="E105" s="34"/>
      <c r="F105" s="6"/>
      <c r="G105" s="6"/>
      <c r="H105" s="7"/>
      <c r="I105" s="7"/>
      <c r="J105" s="2"/>
      <c r="K105" s="2"/>
      <c r="L105" s="2"/>
      <c r="M105" s="8"/>
      <c r="N105" s="163" t="str">
        <f t="shared" si="5"/>
        <v/>
      </c>
      <c r="O105" s="126" t="str">
        <f t="shared" si="6"/>
        <v>-</v>
      </c>
      <c r="P105" s="164"/>
      <c r="Q105" s="164"/>
      <c r="R105" s="164"/>
      <c r="S105" s="164"/>
      <c r="T105" s="164"/>
      <c r="U105" s="164"/>
      <c r="V105" s="165"/>
    </row>
    <row r="106" spans="1:25" ht="27" customHeight="1">
      <c r="A106" s="38"/>
      <c r="B106" s="4"/>
      <c r="C106" s="5"/>
      <c r="D106" s="34"/>
      <c r="E106" s="34"/>
      <c r="F106" s="6"/>
      <c r="G106" s="6"/>
      <c r="H106" s="7"/>
      <c r="I106" s="7"/>
      <c r="J106" s="2"/>
      <c r="K106" s="2"/>
      <c r="L106" s="2"/>
      <c r="M106" s="8"/>
      <c r="N106" s="163" t="str">
        <f t="shared" si="5"/>
        <v/>
      </c>
      <c r="O106" s="126" t="str">
        <f t="shared" si="6"/>
        <v>-</v>
      </c>
      <c r="P106" s="164"/>
      <c r="Q106" s="164"/>
      <c r="R106" s="164"/>
      <c r="S106" s="164"/>
      <c r="T106" s="164"/>
      <c r="U106" s="164"/>
      <c r="V106" s="165"/>
    </row>
    <row r="107" spans="1:25" ht="27" customHeight="1">
      <c r="A107" s="38"/>
      <c r="B107" s="4"/>
      <c r="C107" s="5"/>
      <c r="D107" s="34"/>
      <c r="E107" s="34"/>
      <c r="F107" s="6"/>
      <c r="G107" s="6"/>
      <c r="H107" s="7"/>
      <c r="I107" s="7"/>
      <c r="J107" s="2"/>
      <c r="K107" s="2"/>
      <c r="L107" s="2"/>
      <c r="M107" s="8"/>
      <c r="N107" s="163" t="str">
        <f t="shared" si="5"/>
        <v/>
      </c>
      <c r="O107" s="126" t="str">
        <f t="shared" si="6"/>
        <v>-</v>
      </c>
      <c r="P107" s="164"/>
      <c r="Q107" s="164"/>
      <c r="R107" s="164"/>
      <c r="S107" s="164"/>
      <c r="T107" s="164"/>
      <c r="U107" s="164"/>
      <c r="V107" s="165"/>
    </row>
    <row r="108" spans="1:25" ht="27" customHeight="1">
      <c r="A108" s="38"/>
      <c r="B108" s="4"/>
      <c r="C108" s="5"/>
      <c r="D108" s="34"/>
      <c r="E108" s="34"/>
      <c r="F108" s="6"/>
      <c r="G108" s="6"/>
      <c r="H108" s="7"/>
      <c r="I108" s="7"/>
      <c r="J108" s="2"/>
      <c r="K108" s="2"/>
      <c r="L108" s="2"/>
      <c r="M108" s="8"/>
      <c r="N108" s="163" t="str">
        <f t="shared" si="5"/>
        <v/>
      </c>
      <c r="O108" s="126" t="str">
        <f t="shared" si="6"/>
        <v>-</v>
      </c>
      <c r="P108" s="164"/>
      <c r="Q108" s="164"/>
      <c r="R108" s="164"/>
      <c r="S108" s="164"/>
      <c r="T108" s="164"/>
      <c r="U108" s="164"/>
      <c r="V108" s="165"/>
    </row>
    <row r="109" spans="1:25" ht="27" customHeight="1">
      <c r="A109" s="39"/>
      <c r="B109" s="14"/>
      <c r="C109" s="15"/>
      <c r="D109" s="35"/>
      <c r="E109" s="35"/>
      <c r="F109" s="16"/>
      <c r="G109" s="16"/>
      <c r="H109" s="17"/>
      <c r="I109" s="17"/>
      <c r="J109" s="3"/>
      <c r="K109" s="3"/>
      <c r="L109" s="3"/>
      <c r="M109" s="18"/>
      <c r="N109" s="163" t="str">
        <f t="shared" si="5"/>
        <v/>
      </c>
      <c r="O109" s="126" t="str">
        <f t="shared" si="6"/>
        <v>-</v>
      </c>
      <c r="P109" s="164"/>
      <c r="Q109" s="164"/>
      <c r="R109" s="164"/>
      <c r="S109" s="164"/>
      <c r="T109" s="164"/>
      <c r="U109" s="164"/>
      <c r="V109" s="166"/>
      <c r="W109" s="164"/>
      <c r="X109" s="164"/>
      <c r="Y109" s="164"/>
    </row>
    <row r="110" spans="1:25" ht="27" customHeight="1">
      <c r="A110" s="172" t="s">
        <v>44</v>
      </c>
      <c r="B110" s="173"/>
      <c r="C110" s="174"/>
      <c r="D110" s="175"/>
      <c r="E110" s="175">
        <f>SUM(E90:E109)</f>
        <v>0</v>
      </c>
      <c r="F110" s="176"/>
      <c r="G110" s="176"/>
      <c r="H110" s="176"/>
      <c r="I110" s="176"/>
      <c r="J110" s="176"/>
      <c r="K110" s="176"/>
      <c r="L110" s="176"/>
      <c r="M110" s="177"/>
      <c r="N110" s="163" t="str">
        <f t="shared" si="5"/>
        <v/>
      </c>
      <c r="O110" s="126"/>
      <c r="P110" s="164"/>
      <c r="Q110" s="164"/>
      <c r="R110" s="164"/>
      <c r="S110" s="164"/>
      <c r="T110" s="164"/>
      <c r="U110" s="164"/>
      <c r="V110" s="166"/>
      <c r="W110" s="164"/>
      <c r="X110" s="164"/>
      <c r="Y110" s="164"/>
    </row>
    <row r="111" spans="1:25" ht="27" customHeight="1">
      <c r="A111" s="37"/>
      <c r="B111" s="9"/>
      <c r="C111" s="10"/>
      <c r="D111" s="33"/>
      <c r="E111" s="33"/>
      <c r="F111" s="11"/>
      <c r="G111" s="11"/>
      <c r="H111" s="12"/>
      <c r="I111" s="12"/>
      <c r="J111" s="32"/>
      <c r="K111" s="32"/>
      <c r="L111" s="32"/>
      <c r="M111" s="13"/>
      <c r="N111" s="163" t="str">
        <f t="shared" si="5"/>
        <v/>
      </c>
      <c r="O111" s="126" t="str">
        <f>IF(D111&gt;=E111,"-","ERR")</f>
        <v>-</v>
      </c>
      <c r="P111" s="164"/>
      <c r="Q111" s="164"/>
      <c r="R111" s="164"/>
      <c r="S111" s="164"/>
      <c r="T111" s="164"/>
      <c r="U111" s="164"/>
      <c r="V111" s="164"/>
    </row>
    <row r="112" spans="1:25" ht="27" customHeight="1">
      <c r="A112" s="38"/>
      <c r="B112" s="4"/>
      <c r="C112" s="5"/>
      <c r="D112" s="34"/>
      <c r="E112" s="34"/>
      <c r="F112" s="6"/>
      <c r="G112" s="6"/>
      <c r="H112" s="7"/>
      <c r="I112" s="7"/>
      <c r="J112" s="2"/>
      <c r="K112" s="2"/>
      <c r="L112" s="2"/>
      <c r="M112" s="8"/>
      <c r="N112" s="163" t="str">
        <f t="shared" si="5"/>
        <v/>
      </c>
      <c r="O112" s="126" t="str">
        <f t="shared" ref="O112:O130" si="7">IF(D112&gt;=E112,"-","ERR")</f>
        <v>-</v>
      </c>
      <c r="P112" s="164"/>
      <c r="Q112" s="164"/>
      <c r="R112" s="164"/>
      <c r="S112" s="164"/>
      <c r="T112" s="164"/>
      <c r="U112" s="164"/>
      <c r="V112" s="164"/>
    </row>
    <row r="113" spans="1:22" ht="27" customHeight="1">
      <c r="A113" s="38"/>
      <c r="B113" s="4"/>
      <c r="C113" s="5"/>
      <c r="D113" s="34"/>
      <c r="E113" s="34"/>
      <c r="F113" s="6"/>
      <c r="G113" s="6"/>
      <c r="H113" s="7"/>
      <c r="I113" s="7"/>
      <c r="J113" s="2"/>
      <c r="K113" s="2"/>
      <c r="L113" s="2"/>
      <c r="M113" s="8"/>
      <c r="N113" s="163" t="str">
        <f t="shared" si="5"/>
        <v/>
      </c>
      <c r="O113" s="126" t="str">
        <f t="shared" si="7"/>
        <v>-</v>
      </c>
      <c r="P113" s="164"/>
      <c r="Q113" s="164"/>
      <c r="R113" s="164"/>
      <c r="S113" s="164"/>
      <c r="T113" s="164"/>
      <c r="U113" s="164"/>
      <c r="V113" s="164"/>
    </row>
    <row r="114" spans="1:22" ht="27" customHeight="1">
      <c r="A114" s="38"/>
      <c r="B114" s="4"/>
      <c r="C114" s="5"/>
      <c r="D114" s="34"/>
      <c r="E114" s="34"/>
      <c r="F114" s="6"/>
      <c r="G114" s="6"/>
      <c r="H114" s="7"/>
      <c r="I114" s="7"/>
      <c r="J114" s="2"/>
      <c r="K114" s="2"/>
      <c r="L114" s="2"/>
      <c r="M114" s="8"/>
      <c r="N114" s="163" t="str">
        <f t="shared" si="5"/>
        <v/>
      </c>
      <c r="O114" s="126" t="str">
        <f t="shared" si="7"/>
        <v>-</v>
      </c>
      <c r="P114" s="164"/>
      <c r="Q114" s="164"/>
      <c r="R114" s="164"/>
      <c r="S114" s="164"/>
      <c r="T114" s="164"/>
      <c r="U114" s="164"/>
      <c r="V114" s="164"/>
    </row>
    <row r="115" spans="1:22" ht="27" customHeight="1">
      <c r="A115" s="38"/>
      <c r="B115" s="4"/>
      <c r="C115" s="5"/>
      <c r="D115" s="34"/>
      <c r="E115" s="34"/>
      <c r="F115" s="6"/>
      <c r="G115" s="6"/>
      <c r="H115" s="7"/>
      <c r="I115" s="7"/>
      <c r="J115" s="2"/>
      <c r="K115" s="2"/>
      <c r="L115" s="2"/>
      <c r="M115" s="8"/>
      <c r="N115" s="163" t="str">
        <f t="shared" si="5"/>
        <v/>
      </c>
      <c r="O115" s="126" t="str">
        <f t="shared" si="7"/>
        <v>-</v>
      </c>
      <c r="P115" s="164"/>
      <c r="Q115" s="164"/>
      <c r="R115" s="164"/>
      <c r="S115" s="164"/>
      <c r="T115" s="164"/>
      <c r="U115" s="164"/>
      <c r="V115" s="164"/>
    </row>
    <row r="116" spans="1:22" ht="27" customHeight="1">
      <c r="A116" s="38"/>
      <c r="B116" s="4"/>
      <c r="C116" s="5"/>
      <c r="D116" s="34"/>
      <c r="E116" s="34"/>
      <c r="F116" s="6"/>
      <c r="G116" s="6"/>
      <c r="H116" s="7"/>
      <c r="I116" s="59"/>
      <c r="J116" s="2"/>
      <c r="K116" s="2"/>
      <c r="L116" s="2"/>
      <c r="M116" s="8"/>
      <c r="N116" s="163" t="str">
        <f t="shared" si="5"/>
        <v/>
      </c>
      <c r="O116" s="126" t="str">
        <f t="shared" si="7"/>
        <v>-</v>
      </c>
      <c r="P116" s="164"/>
      <c r="Q116" s="164"/>
      <c r="R116" s="164"/>
      <c r="S116" s="164"/>
      <c r="T116" s="164"/>
      <c r="U116" s="164"/>
      <c r="V116" s="164"/>
    </row>
    <row r="117" spans="1:22" ht="27" customHeight="1">
      <c r="A117" s="38"/>
      <c r="B117" s="4"/>
      <c r="C117" s="5"/>
      <c r="D117" s="34"/>
      <c r="E117" s="34"/>
      <c r="F117" s="6"/>
      <c r="G117" s="6"/>
      <c r="H117" s="7"/>
      <c r="I117" s="7"/>
      <c r="J117" s="2"/>
      <c r="K117" s="2"/>
      <c r="L117" s="2"/>
      <c r="M117" s="8"/>
      <c r="N117" s="163" t="str">
        <f t="shared" si="5"/>
        <v/>
      </c>
      <c r="O117" s="126" t="str">
        <f t="shared" si="7"/>
        <v>-</v>
      </c>
      <c r="P117" s="164"/>
      <c r="Q117" s="164"/>
      <c r="R117" s="164"/>
      <c r="S117" s="164"/>
      <c r="T117" s="164"/>
      <c r="U117" s="164"/>
      <c r="V117" s="164"/>
    </row>
    <row r="118" spans="1:22" ht="27" customHeight="1">
      <c r="A118" s="38"/>
      <c r="B118" s="4"/>
      <c r="C118" s="5"/>
      <c r="D118" s="34"/>
      <c r="E118" s="34"/>
      <c r="F118" s="6"/>
      <c r="G118" s="6"/>
      <c r="H118" s="7"/>
      <c r="I118" s="7"/>
      <c r="J118" s="2"/>
      <c r="K118" s="2"/>
      <c r="L118" s="2"/>
      <c r="M118" s="8"/>
      <c r="N118" s="163" t="str">
        <f t="shared" si="5"/>
        <v/>
      </c>
      <c r="O118" s="126" t="str">
        <f t="shared" si="7"/>
        <v>-</v>
      </c>
      <c r="P118" s="164"/>
      <c r="Q118" s="164"/>
      <c r="R118" s="164"/>
      <c r="S118" s="164"/>
      <c r="T118" s="164"/>
      <c r="U118" s="164"/>
      <c r="V118" s="164"/>
    </row>
    <row r="119" spans="1:22" ht="27" customHeight="1">
      <c r="A119" s="38"/>
      <c r="B119" s="4"/>
      <c r="C119" s="5"/>
      <c r="D119" s="34"/>
      <c r="E119" s="34"/>
      <c r="F119" s="6"/>
      <c r="G119" s="6"/>
      <c r="H119" s="7"/>
      <c r="I119" s="7"/>
      <c r="J119" s="2"/>
      <c r="K119" s="2"/>
      <c r="L119" s="2"/>
      <c r="M119" s="8"/>
      <c r="N119" s="163" t="str">
        <f t="shared" si="5"/>
        <v/>
      </c>
      <c r="O119" s="126" t="str">
        <f t="shared" si="7"/>
        <v>-</v>
      </c>
      <c r="P119" s="164"/>
      <c r="Q119" s="164"/>
      <c r="R119" s="164"/>
      <c r="S119" s="164"/>
      <c r="T119" s="164"/>
      <c r="U119" s="164"/>
      <c r="V119" s="164"/>
    </row>
    <row r="120" spans="1:22" ht="27" customHeight="1">
      <c r="A120" s="38"/>
      <c r="B120" s="4"/>
      <c r="C120" s="5"/>
      <c r="D120" s="34"/>
      <c r="E120" s="34"/>
      <c r="F120" s="6"/>
      <c r="G120" s="6"/>
      <c r="H120" s="7"/>
      <c r="I120" s="7"/>
      <c r="J120" s="2"/>
      <c r="K120" s="2"/>
      <c r="L120" s="2"/>
      <c r="M120" s="8"/>
      <c r="N120" s="163" t="str">
        <f t="shared" si="5"/>
        <v/>
      </c>
      <c r="O120" s="126" t="str">
        <f t="shared" si="7"/>
        <v>-</v>
      </c>
      <c r="P120" s="164"/>
      <c r="Q120" s="164"/>
      <c r="R120" s="164"/>
      <c r="S120" s="164"/>
      <c r="T120" s="164"/>
      <c r="U120" s="164"/>
      <c r="V120" s="164"/>
    </row>
    <row r="121" spans="1:22" ht="27" customHeight="1">
      <c r="A121" s="38"/>
      <c r="B121" s="4"/>
      <c r="C121" s="5"/>
      <c r="D121" s="34"/>
      <c r="E121" s="34"/>
      <c r="F121" s="6"/>
      <c r="G121" s="6"/>
      <c r="H121" s="7"/>
      <c r="I121" s="7"/>
      <c r="J121" s="2"/>
      <c r="K121" s="2"/>
      <c r="L121" s="2"/>
      <c r="M121" s="8"/>
      <c r="N121" s="163" t="str">
        <f t="shared" si="5"/>
        <v/>
      </c>
      <c r="O121" s="126" t="str">
        <f t="shared" si="7"/>
        <v>-</v>
      </c>
      <c r="P121" s="164"/>
      <c r="Q121" s="164"/>
      <c r="R121" s="164"/>
      <c r="S121" s="164"/>
      <c r="T121" s="164"/>
      <c r="U121" s="164"/>
      <c r="V121" s="164"/>
    </row>
    <row r="122" spans="1:22" ht="27" customHeight="1">
      <c r="A122" s="38"/>
      <c r="B122" s="4"/>
      <c r="C122" s="5"/>
      <c r="D122" s="34"/>
      <c r="E122" s="34"/>
      <c r="F122" s="6"/>
      <c r="G122" s="6"/>
      <c r="H122" s="7"/>
      <c r="I122" s="7"/>
      <c r="J122" s="2"/>
      <c r="K122" s="2"/>
      <c r="L122" s="2"/>
      <c r="M122" s="8"/>
      <c r="N122" s="163" t="str">
        <f t="shared" si="5"/>
        <v/>
      </c>
      <c r="O122" s="126" t="str">
        <f t="shared" si="7"/>
        <v>-</v>
      </c>
      <c r="P122" s="164"/>
      <c r="Q122" s="164"/>
      <c r="R122" s="164"/>
      <c r="S122" s="164"/>
      <c r="T122" s="164"/>
      <c r="U122" s="164"/>
      <c r="V122" s="164"/>
    </row>
    <row r="123" spans="1:22" ht="27" customHeight="1">
      <c r="A123" s="38"/>
      <c r="B123" s="4"/>
      <c r="C123" s="5"/>
      <c r="D123" s="34"/>
      <c r="E123" s="34"/>
      <c r="F123" s="6"/>
      <c r="G123" s="6"/>
      <c r="H123" s="7"/>
      <c r="I123" s="7"/>
      <c r="J123" s="2"/>
      <c r="K123" s="2"/>
      <c r="L123" s="2"/>
      <c r="M123" s="8"/>
      <c r="N123" s="163" t="str">
        <f t="shared" si="5"/>
        <v/>
      </c>
      <c r="O123" s="126" t="str">
        <f t="shared" si="7"/>
        <v>-</v>
      </c>
      <c r="P123" s="164"/>
      <c r="Q123" s="164"/>
      <c r="R123" s="164"/>
      <c r="S123" s="164"/>
      <c r="T123" s="164"/>
      <c r="U123" s="164"/>
      <c r="V123" s="164"/>
    </row>
    <row r="124" spans="1:22" ht="27" customHeight="1">
      <c r="A124" s="38"/>
      <c r="B124" s="4"/>
      <c r="C124" s="5"/>
      <c r="D124" s="34"/>
      <c r="E124" s="34"/>
      <c r="F124" s="6"/>
      <c r="G124" s="6"/>
      <c r="H124" s="7"/>
      <c r="I124" s="7"/>
      <c r="J124" s="2"/>
      <c r="K124" s="2"/>
      <c r="L124" s="2"/>
      <c r="M124" s="8"/>
      <c r="N124" s="163" t="str">
        <f t="shared" si="5"/>
        <v/>
      </c>
      <c r="O124" s="126" t="str">
        <f t="shared" si="7"/>
        <v>-</v>
      </c>
      <c r="P124" s="164"/>
      <c r="Q124" s="164"/>
      <c r="R124" s="164"/>
      <c r="S124" s="164"/>
      <c r="T124" s="164"/>
      <c r="U124" s="164"/>
      <c r="V124" s="164"/>
    </row>
    <row r="125" spans="1:22" ht="27" customHeight="1">
      <c r="A125" s="38"/>
      <c r="B125" s="4"/>
      <c r="C125" s="5"/>
      <c r="D125" s="34"/>
      <c r="E125" s="34"/>
      <c r="F125" s="6"/>
      <c r="G125" s="6"/>
      <c r="H125" s="7"/>
      <c r="I125" s="7"/>
      <c r="J125" s="2"/>
      <c r="K125" s="2"/>
      <c r="L125" s="2"/>
      <c r="M125" s="8"/>
      <c r="N125" s="163" t="str">
        <f t="shared" si="5"/>
        <v/>
      </c>
      <c r="O125" s="126" t="str">
        <f t="shared" si="7"/>
        <v>-</v>
      </c>
      <c r="P125" s="164"/>
      <c r="Q125" s="164"/>
      <c r="R125" s="164"/>
      <c r="S125" s="164"/>
      <c r="T125" s="164"/>
      <c r="U125" s="164"/>
      <c r="V125" s="164"/>
    </row>
    <row r="126" spans="1:22" ht="27" customHeight="1">
      <c r="A126" s="38"/>
      <c r="B126" s="4"/>
      <c r="C126" s="5"/>
      <c r="D126" s="34"/>
      <c r="E126" s="34"/>
      <c r="F126" s="6"/>
      <c r="G126" s="6"/>
      <c r="H126" s="7"/>
      <c r="I126" s="7"/>
      <c r="J126" s="2"/>
      <c r="K126" s="2"/>
      <c r="L126" s="2"/>
      <c r="M126" s="8"/>
      <c r="N126" s="163" t="str">
        <f t="shared" si="5"/>
        <v/>
      </c>
      <c r="O126" s="126" t="str">
        <f t="shared" si="7"/>
        <v>-</v>
      </c>
      <c r="P126" s="164"/>
      <c r="Q126" s="164"/>
      <c r="R126" s="164"/>
      <c r="S126" s="164"/>
      <c r="T126" s="164"/>
      <c r="U126" s="164"/>
      <c r="V126" s="165"/>
    </row>
    <row r="127" spans="1:22" ht="27" customHeight="1">
      <c r="A127" s="38"/>
      <c r="B127" s="4"/>
      <c r="C127" s="5"/>
      <c r="D127" s="34"/>
      <c r="E127" s="34"/>
      <c r="F127" s="6"/>
      <c r="G127" s="6"/>
      <c r="H127" s="7"/>
      <c r="I127" s="7"/>
      <c r="J127" s="2"/>
      <c r="K127" s="2"/>
      <c r="L127" s="2"/>
      <c r="M127" s="8"/>
      <c r="N127" s="163" t="str">
        <f t="shared" si="5"/>
        <v/>
      </c>
      <c r="O127" s="126" t="str">
        <f t="shared" si="7"/>
        <v>-</v>
      </c>
      <c r="P127" s="164"/>
      <c r="Q127" s="164"/>
      <c r="R127" s="164"/>
      <c r="S127" s="164"/>
      <c r="T127" s="164"/>
      <c r="U127" s="164"/>
      <c r="V127" s="165"/>
    </row>
    <row r="128" spans="1:22" ht="27" customHeight="1">
      <c r="A128" s="38"/>
      <c r="B128" s="4"/>
      <c r="C128" s="5"/>
      <c r="D128" s="34"/>
      <c r="E128" s="34"/>
      <c r="F128" s="6"/>
      <c r="G128" s="6"/>
      <c r="H128" s="7"/>
      <c r="I128" s="7"/>
      <c r="J128" s="2"/>
      <c r="K128" s="2"/>
      <c r="L128" s="2"/>
      <c r="M128" s="8"/>
      <c r="N128" s="163" t="str">
        <f t="shared" si="5"/>
        <v/>
      </c>
      <c r="O128" s="126" t="str">
        <f t="shared" si="7"/>
        <v>-</v>
      </c>
      <c r="P128" s="164"/>
      <c r="Q128" s="164"/>
      <c r="R128" s="164"/>
      <c r="S128" s="164"/>
      <c r="T128" s="164"/>
      <c r="U128" s="164"/>
      <c r="V128" s="165"/>
    </row>
    <row r="129" spans="1:25" ht="27" customHeight="1">
      <c r="A129" s="38"/>
      <c r="B129" s="4"/>
      <c r="C129" s="5"/>
      <c r="D129" s="34"/>
      <c r="E129" s="34"/>
      <c r="F129" s="6"/>
      <c r="G129" s="6"/>
      <c r="H129" s="7"/>
      <c r="I129" s="7"/>
      <c r="J129" s="2"/>
      <c r="K129" s="2"/>
      <c r="L129" s="2"/>
      <c r="M129" s="8"/>
      <c r="N129" s="163" t="str">
        <f t="shared" si="5"/>
        <v/>
      </c>
      <c r="O129" s="126" t="str">
        <f t="shared" si="7"/>
        <v>-</v>
      </c>
      <c r="P129" s="164"/>
      <c r="Q129" s="164"/>
      <c r="R129" s="164"/>
      <c r="S129" s="164"/>
      <c r="T129" s="164"/>
      <c r="U129" s="164"/>
      <c r="V129" s="165"/>
    </row>
    <row r="130" spans="1:25" ht="27" customHeight="1">
      <c r="A130" s="39"/>
      <c r="B130" s="14"/>
      <c r="C130" s="15"/>
      <c r="D130" s="35"/>
      <c r="E130" s="35"/>
      <c r="F130" s="16"/>
      <c r="G130" s="16"/>
      <c r="H130" s="17"/>
      <c r="I130" s="17"/>
      <c r="J130" s="3"/>
      <c r="K130" s="3"/>
      <c r="L130" s="3"/>
      <c r="M130" s="18"/>
      <c r="N130" s="163" t="str">
        <f t="shared" si="5"/>
        <v/>
      </c>
      <c r="O130" s="126" t="str">
        <f t="shared" si="7"/>
        <v>-</v>
      </c>
      <c r="P130" s="164"/>
      <c r="Q130" s="164"/>
      <c r="R130" s="164"/>
      <c r="S130" s="164"/>
      <c r="T130" s="164"/>
      <c r="U130" s="164"/>
      <c r="V130" s="166"/>
      <c r="W130" s="164"/>
      <c r="X130" s="164"/>
      <c r="Y130" s="164"/>
    </row>
    <row r="131" spans="1:25" ht="27" customHeight="1">
      <c r="A131" s="172" t="s">
        <v>44</v>
      </c>
      <c r="B131" s="173"/>
      <c r="C131" s="174"/>
      <c r="D131" s="175"/>
      <c r="E131" s="175">
        <f>SUM(E111:E130)</f>
        <v>0</v>
      </c>
      <c r="F131" s="176"/>
      <c r="G131" s="176"/>
      <c r="H131" s="176"/>
      <c r="I131" s="176"/>
      <c r="J131" s="176"/>
      <c r="K131" s="176"/>
      <c r="L131" s="176"/>
      <c r="M131" s="177"/>
      <c r="N131" s="163" t="str">
        <f t="shared" si="5"/>
        <v/>
      </c>
      <c r="O131" s="126"/>
      <c r="P131" s="164"/>
      <c r="Q131" s="164"/>
      <c r="R131" s="164"/>
      <c r="S131" s="164"/>
      <c r="T131" s="164"/>
      <c r="U131" s="164"/>
      <c r="V131" s="166"/>
      <c r="W131" s="164"/>
      <c r="X131" s="164"/>
      <c r="Y131" s="164"/>
    </row>
    <row r="132" spans="1:25" ht="27" customHeight="1">
      <c r="A132" s="37"/>
      <c r="B132" s="9"/>
      <c r="C132" s="10"/>
      <c r="D132" s="33"/>
      <c r="E132" s="33"/>
      <c r="F132" s="11"/>
      <c r="G132" s="11"/>
      <c r="H132" s="12"/>
      <c r="I132" s="12"/>
      <c r="J132" s="32"/>
      <c r="K132" s="32"/>
      <c r="L132" s="32"/>
      <c r="M132" s="13"/>
      <c r="N132" s="163" t="str">
        <f t="shared" si="5"/>
        <v/>
      </c>
      <c r="O132" s="126" t="str">
        <f>IF(D132&gt;=E132,"-","ERR")</f>
        <v>-</v>
      </c>
      <c r="P132" s="164"/>
      <c r="Q132" s="164"/>
      <c r="R132" s="164"/>
      <c r="S132" s="164"/>
      <c r="T132" s="164"/>
      <c r="U132" s="164"/>
      <c r="V132" s="164"/>
    </row>
    <row r="133" spans="1:25" ht="27" customHeight="1">
      <c r="A133" s="38"/>
      <c r="B133" s="4"/>
      <c r="C133" s="5"/>
      <c r="D133" s="34"/>
      <c r="E133" s="34"/>
      <c r="F133" s="6"/>
      <c r="G133" s="6"/>
      <c r="H133" s="7"/>
      <c r="I133" s="7"/>
      <c r="J133" s="2"/>
      <c r="K133" s="2"/>
      <c r="L133" s="2"/>
      <c r="M133" s="8"/>
      <c r="N133" s="163" t="str">
        <f t="shared" si="5"/>
        <v/>
      </c>
      <c r="O133" s="126" t="str">
        <f t="shared" ref="O133:O151" si="8">IF(D133&gt;=E133,"-","ERR")</f>
        <v>-</v>
      </c>
      <c r="P133" s="164"/>
      <c r="Q133" s="164"/>
      <c r="R133" s="164"/>
      <c r="S133" s="164"/>
      <c r="T133" s="164"/>
      <c r="U133" s="164"/>
      <c r="V133" s="164"/>
    </row>
    <row r="134" spans="1:25" ht="27" customHeight="1">
      <c r="A134" s="38"/>
      <c r="B134" s="4"/>
      <c r="C134" s="5"/>
      <c r="D134" s="34"/>
      <c r="E134" s="34"/>
      <c r="F134" s="6"/>
      <c r="G134" s="6"/>
      <c r="H134" s="7"/>
      <c r="I134" s="7"/>
      <c r="J134" s="2"/>
      <c r="K134" s="2"/>
      <c r="L134" s="2"/>
      <c r="M134" s="8"/>
      <c r="N134" s="163" t="str">
        <f t="shared" si="5"/>
        <v/>
      </c>
      <c r="O134" s="126" t="str">
        <f t="shared" si="8"/>
        <v>-</v>
      </c>
      <c r="P134" s="164"/>
      <c r="Q134" s="164"/>
      <c r="R134" s="164"/>
      <c r="S134" s="164"/>
      <c r="T134" s="164"/>
      <c r="U134" s="164"/>
      <c r="V134" s="164"/>
    </row>
    <row r="135" spans="1:25" ht="27" customHeight="1">
      <c r="A135" s="38"/>
      <c r="B135" s="28"/>
      <c r="C135" s="29"/>
      <c r="D135" s="36"/>
      <c r="E135" s="36"/>
      <c r="F135" s="30"/>
      <c r="G135" s="30"/>
      <c r="H135" s="31"/>
      <c r="I135" s="31"/>
      <c r="J135" s="2"/>
      <c r="K135" s="2"/>
      <c r="L135" s="2"/>
      <c r="M135" s="8"/>
      <c r="N135" s="163" t="str">
        <f t="shared" ref="N135:N198" si="9">CONCATENATE(C135,H135)</f>
        <v/>
      </c>
      <c r="O135" s="126" t="str">
        <f t="shared" si="8"/>
        <v>-</v>
      </c>
      <c r="P135" s="164"/>
      <c r="Q135" s="164"/>
      <c r="R135" s="164"/>
      <c r="S135" s="164"/>
      <c r="T135" s="164"/>
      <c r="U135" s="164"/>
      <c r="V135" s="164"/>
    </row>
    <row r="136" spans="1:25" ht="27" customHeight="1">
      <c r="A136" s="38"/>
      <c r="B136" s="178"/>
      <c r="C136" s="178"/>
      <c r="D136" s="179"/>
      <c r="E136" s="179"/>
      <c r="F136" s="180"/>
      <c r="G136" s="180"/>
      <c r="H136" s="180"/>
      <c r="I136" s="180"/>
      <c r="J136" s="2"/>
      <c r="K136" s="2"/>
      <c r="L136" s="2"/>
      <c r="M136" s="8"/>
      <c r="N136" s="163" t="str">
        <f t="shared" si="9"/>
        <v/>
      </c>
      <c r="O136" s="126" t="str">
        <f t="shared" si="8"/>
        <v>-</v>
      </c>
      <c r="P136" s="164"/>
      <c r="Q136" s="164"/>
      <c r="R136" s="164"/>
      <c r="S136" s="164"/>
      <c r="T136" s="164"/>
      <c r="U136" s="164"/>
      <c r="V136" s="164"/>
    </row>
    <row r="137" spans="1:25" ht="27" customHeight="1">
      <c r="A137" s="38"/>
      <c r="B137" s="4"/>
      <c r="C137" s="5"/>
      <c r="D137" s="34"/>
      <c r="E137" s="34"/>
      <c r="F137" s="6"/>
      <c r="G137" s="6"/>
      <c r="H137" s="7"/>
      <c r="I137" s="7"/>
      <c r="J137" s="2"/>
      <c r="K137" s="2"/>
      <c r="L137" s="2"/>
      <c r="M137" s="8"/>
      <c r="N137" s="163" t="str">
        <f t="shared" si="9"/>
        <v/>
      </c>
      <c r="O137" s="126" t="str">
        <f t="shared" si="8"/>
        <v>-</v>
      </c>
      <c r="P137" s="164"/>
      <c r="Q137" s="164"/>
      <c r="R137" s="164"/>
      <c r="S137" s="164"/>
      <c r="T137" s="164"/>
      <c r="U137" s="164"/>
      <c r="V137" s="164"/>
    </row>
    <row r="138" spans="1:25" ht="27" customHeight="1">
      <c r="A138" s="38"/>
      <c r="B138" s="4"/>
      <c r="C138" s="5"/>
      <c r="D138" s="34"/>
      <c r="E138" s="34"/>
      <c r="F138" s="6"/>
      <c r="G138" s="6"/>
      <c r="H138" s="7"/>
      <c r="I138" s="7"/>
      <c r="J138" s="2"/>
      <c r="K138" s="2"/>
      <c r="L138" s="2"/>
      <c r="M138" s="8"/>
      <c r="N138" s="163" t="str">
        <f t="shared" si="9"/>
        <v/>
      </c>
      <c r="O138" s="126" t="str">
        <f t="shared" si="8"/>
        <v>-</v>
      </c>
      <c r="P138" s="164"/>
      <c r="Q138" s="164"/>
      <c r="R138" s="164"/>
      <c r="S138" s="164"/>
      <c r="T138" s="164"/>
      <c r="U138" s="164"/>
      <c r="V138" s="164"/>
    </row>
    <row r="139" spans="1:25" ht="27" customHeight="1">
      <c r="A139" s="38"/>
      <c r="B139" s="4"/>
      <c r="C139" s="5"/>
      <c r="D139" s="34"/>
      <c r="E139" s="34"/>
      <c r="F139" s="6"/>
      <c r="G139" s="6"/>
      <c r="H139" s="7"/>
      <c r="I139" s="7"/>
      <c r="J139" s="2"/>
      <c r="K139" s="2"/>
      <c r="L139" s="2"/>
      <c r="M139" s="8"/>
      <c r="N139" s="163" t="str">
        <f t="shared" si="9"/>
        <v/>
      </c>
      <c r="O139" s="126" t="str">
        <f t="shared" si="8"/>
        <v>-</v>
      </c>
      <c r="P139" s="164"/>
      <c r="Q139" s="164"/>
      <c r="R139" s="164"/>
      <c r="S139" s="164"/>
      <c r="T139" s="164"/>
      <c r="U139" s="164"/>
      <c r="V139" s="164"/>
    </row>
    <row r="140" spans="1:25" ht="27" customHeight="1">
      <c r="A140" s="38"/>
      <c r="B140" s="4"/>
      <c r="C140" s="5"/>
      <c r="D140" s="34"/>
      <c r="E140" s="34"/>
      <c r="F140" s="6"/>
      <c r="G140" s="6"/>
      <c r="H140" s="7"/>
      <c r="I140" s="7"/>
      <c r="J140" s="2"/>
      <c r="K140" s="2"/>
      <c r="L140" s="2"/>
      <c r="M140" s="8"/>
      <c r="N140" s="163" t="str">
        <f t="shared" si="9"/>
        <v/>
      </c>
      <c r="O140" s="126" t="str">
        <f t="shared" si="8"/>
        <v>-</v>
      </c>
      <c r="P140" s="164"/>
      <c r="Q140" s="164"/>
      <c r="R140" s="164"/>
      <c r="S140" s="164"/>
      <c r="T140" s="164"/>
      <c r="U140" s="164"/>
      <c r="V140" s="164"/>
    </row>
    <row r="141" spans="1:25" ht="27" customHeight="1">
      <c r="A141" s="38"/>
      <c r="B141" s="4"/>
      <c r="C141" s="5"/>
      <c r="D141" s="34"/>
      <c r="E141" s="34"/>
      <c r="F141" s="6"/>
      <c r="G141" s="6"/>
      <c r="H141" s="7"/>
      <c r="I141" s="7"/>
      <c r="J141" s="2"/>
      <c r="K141" s="2"/>
      <c r="L141" s="2"/>
      <c r="M141" s="8"/>
      <c r="N141" s="163" t="str">
        <f t="shared" si="9"/>
        <v/>
      </c>
      <c r="O141" s="126" t="str">
        <f t="shared" si="8"/>
        <v>-</v>
      </c>
      <c r="P141" s="164"/>
      <c r="Q141" s="164"/>
      <c r="R141" s="164"/>
      <c r="S141" s="164"/>
      <c r="T141" s="164"/>
      <c r="U141" s="164"/>
      <c r="V141" s="164"/>
    </row>
    <row r="142" spans="1:25" ht="27" customHeight="1">
      <c r="A142" s="38"/>
      <c r="B142" s="4"/>
      <c r="C142" s="5"/>
      <c r="D142" s="34"/>
      <c r="E142" s="34"/>
      <c r="F142" s="6"/>
      <c r="G142" s="6"/>
      <c r="H142" s="7"/>
      <c r="I142" s="7"/>
      <c r="J142" s="2"/>
      <c r="K142" s="2"/>
      <c r="L142" s="2"/>
      <c r="M142" s="8"/>
      <c r="N142" s="163" t="str">
        <f t="shared" si="9"/>
        <v/>
      </c>
      <c r="O142" s="126" t="str">
        <f t="shared" si="8"/>
        <v>-</v>
      </c>
      <c r="P142" s="164"/>
      <c r="Q142" s="164"/>
      <c r="R142" s="164"/>
      <c r="S142" s="164"/>
      <c r="T142" s="164"/>
      <c r="U142" s="164"/>
      <c r="V142" s="164"/>
    </row>
    <row r="143" spans="1:25" ht="27" customHeight="1">
      <c r="A143" s="38"/>
      <c r="B143" s="4"/>
      <c r="C143" s="5"/>
      <c r="D143" s="34"/>
      <c r="E143" s="34"/>
      <c r="F143" s="6"/>
      <c r="G143" s="6"/>
      <c r="H143" s="7"/>
      <c r="I143" s="7"/>
      <c r="J143" s="2"/>
      <c r="K143" s="2"/>
      <c r="L143" s="2"/>
      <c r="M143" s="8"/>
      <c r="N143" s="163" t="str">
        <f t="shared" si="9"/>
        <v/>
      </c>
      <c r="O143" s="126" t="str">
        <f t="shared" si="8"/>
        <v>-</v>
      </c>
      <c r="P143" s="164"/>
      <c r="Q143" s="164"/>
      <c r="R143" s="164"/>
      <c r="S143" s="164"/>
      <c r="T143" s="164"/>
      <c r="U143" s="164"/>
      <c r="V143" s="164"/>
    </row>
    <row r="144" spans="1:25" ht="27" customHeight="1">
      <c r="A144" s="38"/>
      <c r="B144" s="4"/>
      <c r="C144" s="5"/>
      <c r="D144" s="34"/>
      <c r="E144" s="34"/>
      <c r="F144" s="6"/>
      <c r="G144" s="6"/>
      <c r="H144" s="7"/>
      <c r="I144" s="7"/>
      <c r="J144" s="2"/>
      <c r="K144" s="2"/>
      <c r="L144" s="2"/>
      <c r="M144" s="8"/>
      <c r="N144" s="163" t="str">
        <f t="shared" si="9"/>
        <v/>
      </c>
      <c r="O144" s="126" t="str">
        <f t="shared" si="8"/>
        <v>-</v>
      </c>
      <c r="P144" s="164"/>
      <c r="Q144" s="164"/>
      <c r="R144" s="164"/>
      <c r="S144" s="164"/>
      <c r="T144" s="164"/>
      <c r="U144" s="164"/>
      <c r="V144" s="164"/>
    </row>
    <row r="145" spans="1:25" ht="27" customHeight="1">
      <c r="A145" s="38"/>
      <c r="B145" s="4"/>
      <c r="C145" s="5"/>
      <c r="D145" s="34"/>
      <c r="E145" s="34"/>
      <c r="F145" s="6"/>
      <c r="G145" s="6"/>
      <c r="H145" s="7"/>
      <c r="I145" s="7"/>
      <c r="J145" s="2"/>
      <c r="K145" s="2"/>
      <c r="L145" s="2"/>
      <c r="M145" s="8"/>
      <c r="N145" s="163" t="str">
        <f t="shared" si="9"/>
        <v/>
      </c>
      <c r="O145" s="126" t="str">
        <f t="shared" si="8"/>
        <v>-</v>
      </c>
      <c r="P145" s="164"/>
      <c r="Q145" s="164"/>
      <c r="R145" s="164"/>
      <c r="S145" s="164"/>
      <c r="T145" s="164"/>
      <c r="U145" s="164"/>
      <c r="V145" s="164"/>
    </row>
    <row r="146" spans="1:25" ht="27" customHeight="1">
      <c r="A146" s="38"/>
      <c r="B146" s="4"/>
      <c r="C146" s="5"/>
      <c r="D146" s="34"/>
      <c r="E146" s="34"/>
      <c r="F146" s="6"/>
      <c r="G146" s="6"/>
      <c r="H146" s="7"/>
      <c r="I146" s="7"/>
      <c r="J146" s="2"/>
      <c r="K146" s="2"/>
      <c r="L146" s="2"/>
      <c r="M146" s="8"/>
      <c r="N146" s="163" t="str">
        <f t="shared" si="9"/>
        <v/>
      </c>
      <c r="O146" s="126" t="str">
        <f t="shared" si="8"/>
        <v>-</v>
      </c>
      <c r="P146" s="164"/>
      <c r="Q146" s="164"/>
      <c r="R146" s="164"/>
      <c r="S146" s="164"/>
      <c r="T146" s="164"/>
      <c r="U146" s="164"/>
      <c r="V146" s="164"/>
    </row>
    <row r="147" spans="1:25" ht="27" customHeight="1">
      <c r="A147" s="38"/>
      <c r="B147" s="4"/>
      <c r="C147" s="5"/>
      <c r="D147" s="34"/>
      <c r="E147" s="34"/>
      <c r="F147" s="6"/>
      <c r="G147" s="6"/>
      <c r="H147" s="7"/>
      <c r="I147" s="7"/>
      <c r="J147" s="2"/>
      <c r="K147" s="2"/>
      <c r="L147" s="2"/>
      <c r="M147" s="8"/>
      <c r="N147" s="163" t="str">
        <f t="shared" si="9"/>
        <v/>
      </c>
      <c r="O147" s="126" t="str">
        <f t="shared" si="8"/>
        <v>-</v>
      </c>
      <c r="P147" s="164"/>
      <c r="Q147" s="164"/>
      <c r="R147" s="164"/>
      <c r="S147" s="164"/>
      <c r="T147" s="164"/>
      <c r="U147" s="164"/>
      <c r="V147" s="165"/>
    </row>
    <row r="148" spans="1:25" ht="27" customHeight="1">
      <c r="A148" s="38"/>
      <c r="B148" s="4"/>
      <c r="C148" s="5"/>
      <c r="D148" s="34"/>
      <c r="E148" s="34"/>
      <c r="F148" s="6"/>
      <c r="G148" s="6"/>
      <c r="H148" s="7"/>
      <c r="I148" s="7"/>
      <c r="J148" s="2"/>
      <c r="K148" s="2"/>
      <c r="L148" s="2"/>
      <c r="M148" s="8"/>
      <c r="N148" s="163" t="str">
        <f t="shared" si="9"/>
        <v/>
      </c>
      <c r="O148" s="126" t="str">
        <f t="shared" si="8"/>
        <v>-</v>
      </c>
      <c r="P148" s="164"/>
      <c r="Q148" s="164"/>
      <c r="R148" s="164"/>
      <c r="S148" s="164"/>
      <c r="T148" s="164"/>
      <c r="U148" s="164"/>
      <c r="V148" s="165"/>
    </row>
    <row r="149" spans="1:25" ht="27" customHeight="1">
      <c r="A149" s="38"/>
      <c r="B149" s="4"/>
      <c r="C149" s="5"/>
      <c r="D149" s="34"/>
      <c r="E149" s="34"/>
      <c r="F149" s="6"/>
      <c r="G149" s="6"/>
      <c r="H149" s="7"/>
      <c r="I149" s="7"/>
      <c r="J149" s="2"/>
      <c r="K149" s="2"/>
      <c r="L149" s="2"/>
      <c r="M149" s="8"/>
      <c r="N149" s="163" t="str">
        <f t="shared" si="9"/>
        <v/>
      </c>
      <c r="O149" s="126" t="str">
        <f t="shared" si="8"/>
        <v>-</v>
      </c>
      <c r="P149" s="164"/>
      <c r="Q149" s="164"/>
      <c r="R149" s="164"/>
      <c r="S149" s="164"/>
      <c r="T149" s="164"/>
      <c r="U149" s="164"/>
      <c r="V149" s="165"/>
    </row>
    <row r="150" spans="1:25" ht="27" customHeight="1">
      <c r="A150" s="38"/>
      <c r="B150" s="4"/>
      <c r="C150" s="5"/>
      <c r="D150" s="34"/>
      <c r="E150" s="34"/>
      <c r="F150" s="6"/>
      <c r="G150" s="6"/>
      <c r="H150" s="7"/>
      <c r="I150" s="7"/>
      <c r="J150" s="2"/>
      <c r="K150" s="2"/>
      <c r="L150" s="2"/>
      <c r="M150" s="8"/>
      <c r="N150" s="163" t="str">
        <f t="shared" si="9"/>
        <v/>
      </c>
      <c r="O150" s="126" t="str">
        <f t="shared" si="8"/>
        <v>-</v>
      </c>
      <c r="P150" s="164"/>
      <c r="Q150" s="164"/>
      <c r="R150" s="164"/>
      <c r="S150" s="164"/>
      <c r="T150" s="164"/>
      <c r="U150" s="164"/>
      <c r="V150" s="165"/>
    </row>
    <row r="151" spans="1:25" ht="27" customHeight="1">
      <c r="A151" s="39"/>
      <c r="B151" s="14"/>
      <c r="C151" s="15"/>
      <c r="D151" s="35"/>
      <c r="E151" s="35"/>
      <c r="F151" s="16"/>
      <c r="G151" s="16"/>
      <c r="H151" s="17"/>
      <c r="I151" s="17"/>
      <c r="J151" s="3"/>
      <c r="K151" s="3"/>
      <c r="L151" s="3"/>
      <c r="M151" s="18"/>
      <c r="N151" s="163" t="str">
        <f t="shared" si="9"/>
        <v/>
      </c>
      <c r="O151" s="126" t="str">
        <f t="shared" si="8"/>
        <v>-</v>
      </c>
      <c r="P151" s="164"/>
      <c r="Q151" s="164"/>
      <c r="R151" s="164"/>
      <c r="S151" s="164"/>
      <c r="T151" s="164"/>
      <c r="U151" s="164"/>
      <c r="V151" s="166"/>
      <c r="W151" s="164"/>
      <c r="X151" s="164"/>
      <c r="Y151" s="164"/>
    </row>
    <row r="152" spans="1:25" ht="27" customHeight="1">
      <c r="A152" s="172" t="s">
        <v>44</v>
      </c>
      <c r="B152" s="173"/>
      <c r="C152" s="174"/>
      <c r="D152" s="175"/>
      <c r="E152" s="175">
        <f>SUM(E132:E151)</f>
        <v>0</v>
      </c>
      <c r="F152" s="176"/>
      <c r="G152" s="176"/>
      <c r="H152" s="176"/>
      <c r="I152" s="176"/>
      <c r="J152" s="176"/>
      <c r="K152" s="176"/>
      <c r="L152" s="176"/>
      <c r="M152" s="177"/>
      <c r="N152" s="163" t="str">
        <f t="shared" si="9"/>
        <v/>
      </c>
      <c r="O152" s="126"/>
      <c r="P152" s="164"/>
      <c r="Q152" s="164"/>
      <c r="R152" s="164"/>
      <c r="S152" s="164"/>
      <c r="T152" s="164"/>
      <c r="U152" s="164"/>
      <c r="V152" s="166"/>
      <c r="W152" s="164"/>
      <c r="X152" s="164"/>
      <c r="Y152" s="164"/>
    </row>
    <row r="153" spans="1:25" ht="27" customHeight="1">
      <c r="A153" s="37"/>
      <c r="B153" s="9"/>
      <c r="C153" s="10"/>
      <c r="D153" s="33"/>
      <c r="E153" s="33"/>
      <c r="F153" s="11"/>
      <c r="G153" s="11"/>
      <c r="H153" s="12"/>
      <c r="I153" s="12"/>
      <c r="J153" s="32"/>
      <c r="K153" s="32"/>
      <c r="L153" s="32"/>
      <c r="M153" s="13"/>
      <c r="N153" s="163" t="str">
        <f t="shared" si="9"/>
        <v/>
      </c>
      <c r="O153" s="126" t="str">
        <f>IF(D153&gt;=E153,"-","ERR")</f>
        <v>-</v>
      </c>
      <c r="P153" s="164"/>
      <c r="Q153" s="164"/>
      <c r="R153" s="164"/>
      <c r="S153" s="164"/>
      <c r="T153" s="164"/>
      <c r="U153" s="164"/>
      <c r="V153" s="164"/>
    </row>
    <row r="154" spans="1:25" ht="27" customHeight="1">
      <c r="A154" s="38"/>
      <c r="B154" s="4"/>
      <c r="C154" s="5"/>
      <c r="D154" s="34"/>
      <c r="E154" s="34"/>
      <c r="F154" s="6"/>
      <c r="G154" s="6"/>
      <c r="H154" s="7"/>
      <c r="I154" s="7"/>
      <c r="J154" s="2"/>
      <c r="K154" s="2"/>
      <c r="L154" s="2"/>
      <c r="M154" s="8"/>
      <c r="N154" s="163" t="str">
        <f t="shared" si="9"/>
        <v/>
      </c>
      <c r="O154" s="126" t="str">
        <f t="shared" ref="O154:O172" si="10">IF(D154&gt;=E154,"-","ERR")</f>
        <v>-</v>
      </c>
      <c r="P154" s="164"/>
      <c r="Q154" s="164"/>
      <c r="R154" s="164"/>
      <c r="S154" s="164"/>
      <c r="T154" s="164"/>
      <c r="U154" s="164"/>
      <c r="V154" s="164"/>
    </row>
    <row r="155" spans="1:25" ht="27" customHeight="1">
      <c r="A155" s="38"/>
      <c r="B155" s="4"/>
      <c r="C155" s="5"/>
      <c r="D155" s="34"/>
      <c r="E155" s="34"/>
      <c r="F155" s="6"/>
      <c r="G155" s="6"/>
      <c r="H155" s="7"/>
      <c r="I155" s="7"/>
      <c r="J155" s="2"/>
      <c r="K155" s="2"/>
      <c r="L155" s="2"/>
      <c r="M155" s="8"/>
      <c r="N155" s="163" t="str">
        <f t="shared" si="9"/>
        <v/>
      </c>
      <c r="O155" s="126" t="str">
        <f t="shared" si="10"/>
        <v>-</v>
      </c>
      <c r="P155" s="164"/>
      <c r="Q155" s="164"/>
      <c r="R155" s="164"/>
      <c r="S155" s="164"/>
      <c r="T155" s="164"/>
      <c r="U155" s="164"/>
      <c r="V155" s="164"/>
    </row>
    <row r="156" spans="1:25" ht="27" customHeight="1">
      <c r="A156" s="38"/>
      <c r="B156" s="4"/>
      <c r="C156" s="5"/>
      <c r="D156" s="34"/>
      <c r="E156" s="34"/>
      <c r="F156" s="6"/>
      <c r="G156" s="6"/>
      <c r="H156" s="7"/>
      <c r="I156" s="7"/>
      <c r="J156" s="2"/>
      <c r="K156" s="2"/>
      <c r="L156" s="2"/>
      <c r="M156" s="8"/>
      <c r="N156" s="163" t="str">
        <f t="shared" si="9"/>
        <v/>
      </c>
      <c r="O156" s="126" t="str">
        <f t="shared" si="10"/>
        <v>-</v>
      </c>
      <c r="P156" s="164"/>
      <c r="Q156" s="164"/>
      <c r="R156" s="164"/>
      <c r="S156" s="164"/>
      <c r="T156" s="164"/>
      <c r="U156" s="164"/>
      <c r="V156" s="164"/>
    </row>
    <row r="157" spans="1:25" ht="27" customHeight="1">
      <c r="A157" s="38"/>
      <c r="B157" s="4"/>
      <c r="C157" s="5"/>
      <c r="D157" s="34"/>
      <c r="E157" s="34"/>
      <c r="F157" s="6"/>
      <c r="G157" s="6"/>
      <c r="H157" s="7"/>
      <c r="I157" s="7"/>
      <c r="J157" s="2"/>
      <c r="K157" s="2"/>
      <c r="L157" s="2"/>
      <c r="M157" s="8"/>
      <c r="N157" s="163" t="str">
        <f t="shared" si="9"/>
        <v/>
      </c>
      <c r="O157" s="126" t="str">
        <f t="shared" si="10"/>
        <v>-</v>
      </c>
      <c r="P157" s="164"/>
      <c r="Q157" s="164"/>
      <c r="R157" s="164"/>
      <c r="S157" s="164"/>
      <c r="T157" s="164"/>
      <c r="U157" s="164"/>
      <c r="V157" s="164"/>
    </row>
    <row r="158" spans="1:25" ht="27" customHeight="1">
      <c r="A158" s="38"/>
      <c r="B158" s="4"/>
      <c r="C158" s="5"/>
      <c r="D158" s="34"/>
      <c r="E158" s="34"/>
      <c r="F158" s="6"/>
      <c r="G158" s="6"/>
      <c r="H158" s="7"/>
      <c r="I158" s="7"/>
      <c r="J158" s="2"/>
      <c r="K158" s="2"/>
      <c r="L158" s="2"/>
      <c r="M158" s="8"/>
      <c r="N158" s="163" t="str">
        <f t="shared" si="9"/>
        <v/>
      </c>
      <c r="O158" s="126" t="str">
        <f t="shared" si="10"/>
        <v>-</v>
      </c>
      <c r="P158" s="164"/>
      <c r="Q158" s="164"/>
      <c r="R158" s="164"/>
      <c r="S158" s="164"/>
      <c r="T158" s="164"/>
      <c r="U158" s="164"/>
      <c r="V158" s="164"/>
    </row>
    <row r="159" spans="1:25" ht="27" customHeight="1">
      <c r="A159" s="38"/>
      <c r="B159" s="4"/>
      <c r="C159" s="5"/>
      <c r="D159" s="34"/>
      <c r="E159" s="34"/>
      <c r="F159" s="6"/>
      <c r="G159" s="6"/>
      <c r="H159" s="7"/>
      <c r="I159" s="7"/>
      <c r="J159" s="2"/>
      <c r="K159" s="2"/>
      <c r="L159" s="2"/>
      <c r="M159" s="8"/>
      <c r="N159" s="163" t="str">
        <f t="shared" si="9"/>
        <v/>
      </c>
      <c r="O159" s="126" t="str">
        <f t="shared" si="10"/>
        <v>-</v>
      </c>
      <c r="P159" s="164"/>
      <c r="Q159" s="164"/>
      <c r="R159" s="164"/>
      <c r="S159" s="164"/>
      <c r="T159" s="164"/>
      <c r="U159" s="164"/>
      <c r="V159" s="164"/>
    </row>
    <row r="160" spans="1:25" ht="27" customHeight="1">
      <c r="A160" s="38"/>
      <c r="B160" s="4"/>
      <c r="C160" s="5"/>
      <c r="D160" s="34"/>
      <c r="E160" s="34"/>
      <c r="F160" s="6"/>
      <c r="G160" s="6"/>
      <c r="H160" s="7"/>
      <c r="I160" s="7"/>
      <c r="J160" s="2"/>
      <c r="K160" s="2"/>
      <c r="L160" s="2"/>
      <c r="M160" s="8"/>
      <c r="N160" s="163" t="str">
        <f t="shared" si="9"/>
        <v/>
      </c>
      <c r="O160" s="126" t="str">
        <f t="shared" si="10"/>
        <v>-</v>
      </c>
      <c r="P160" s="164"/>
      <c r="Q160" s="164"/>
      <c r="R160" s="164"/>
      <c r="S160" s="164"/>
      <c r="T160" s="164"/>
      <c r="U160" s="164"/>
      <c r="V160" s="164"/>
    </row>
    <row r="161" spans="1:25" ht="27" customHeight="1">
      <c r="A161" s="38"/>
      <c r="B161" s="4"/>
      <c r="C161" s="5"/>
      <c r="D161" s="34"/>
      <c r="E161" s="34"/>
      <c r="F161" s="6"/>
      <c r="G161" s="6"/>
      <c r="H161" s="7"/>
      <c r="I161" s="7"/>
      <c r="J161" s="2"/>
      <c r="K161" s="2"/>
      <c r="L161" s="2"/>
      <c r="M161" s="8"/>
      <c r="N161" s="163" t="str">
        <f t="shared" si="9"/>
        <v/>
      </c>
      <c r="O161" s="126" t="str">
        <f t="shared" si="10"/>
        <v>-</v>
      </c>
      <c r="P161" s="164"/>
      <c r="Q161" s="164"/>
      <c r="R161" s="164"/>
      <c r="S161" s="164"/>
      <c r="T161" s="164"/>
      <c r="U161" s="164"/>
      <c r="V161" s="164"/>
    </row>
    <row r="162" spans="1:25" ht="27" customHeight="1">
      <c r="A162" s="38"/>
      <c r="B162" s="4"/>
      <c r="C162" s="5"/>
      <c r="D162" s="34"/>
      <c r="E162" s="34"/>
      <c r="F162" s="6"/>
      <c r="G162" s="6"/>
      <c r="H162" s="7"/>
      <c r="I162" s="7"/>
      <c r="J162" s="2"/>
      <c r="K162" s="2"/>
      <c r="L162" s="2"/>
      <c r="M162" s="8"/>
      <c r="N162" s="163" t="str">
        <f t="shared" si="9"/>
        <v/>
      </c>
      <c r="O162" s="126" t="str">
        <f t="shared" si="10"/>
        <v>-</v>
      </c>
      <c r="P162" s="164"/>
      <c r="Q162" s="164"/>
      <c r="R162" s="164"/>
      <c r="S162" s="164"/>
      <c r="T162" s="164"/>
      <c r="U162" s="164"/>
      <c r="V162" s="164"/>
    </row>
    <row r="163" spans="1:25" ht="27" customHeight="1">
      <c r="A163" s="38"/>
      <c r="B163" s="4"/>
      <c r="C163" s="5"/>
      <c r="D163" s="34"/>
      <c r="E163" s="34"/>
      <c r="F163" s="6"/>
      <c r="G163" s="6"/>
      <c r="H163" s="7"/>
      <c r="I163" s="7"/>
      <c r="J163" s="2"/>
      <c r="K163" s="2"/>
      <c r="L163" s="2"/>
      <c r="M163" s="8"/>
      <c r="N163" s="163" t="str">
        <f t="shared" si="9"/>
        <v/>
      </c>
      <c r="O163" s="126" t="str">
        <f t="shared" si="10"/>
        <v>-</v>
      </c>
      <c r="P163" s="164"/>
      <c r="Q163" s="164"/>
      <c r="R163" s="164"/>
      <c r="S163" s="164"/>
      <c r="T163" s="164"/>
      <c r="U163" s="164"/>
      <c r="V163" s="164"/>
    </row>
    <row r="164" spans="1:25" ht="27" customHeight="1">
      <c r="A164" s="38"/>
      <c r="B164" s="4"/>
      <c r="C164" s="5"/>
      <c r="D164" s="34"/>
      <c r="E164" s="34"/>
      <c r="F164" s="6"/>
      <c r="G164" s="6"/>
      <c r="H164" s="7"/>
      <c r="I164" s="7"/>
      <c r="J164" s="2"/>
      <c r="K164" s="2"/>
      <c r="L164" s="2"/>
      <c r="M164" s="8"/>
      <c r="N164" s="163" t="str">
        <f t="shared" si="9"/>
        <v/>
      </c>
      <c r="O164" s="126" t="str">
        <f t="shared" si="10"/>
        <v>-</v>
      </c>
      <c r="P164" s="164"/>
      <c r="Q164" s="164"/>
      <c r="R164" s="164"/>
      <c r="S164" s="164"/>
      <c r="T164" s="164"/>
      <c r="U164" s="164"/>
      <c r="V164" s="164"/>
    </row>
    <row r="165" spans="1:25" ht="27" customHeight="1">
      <c r="A165" s="38"/>
      <c r="B165" s="4"/>
      <c r="C165" s="5"/>
      <c r="D165" s="34"/>
      <c r="E165" s="34"/>
      <c r="F165" s="6"/>
      <c r="G165" s="6"/>
      <c r="H165" s="7"/>
      <c r="I165" s="7"/>
      <c r="J165" s="2"/>
      <c r="K165" s="2"/>
      <c r="L165" s="2"/>
      <c r="M165" s="8"/>
      <c r="N165" s="163" t="str">
        <f t="shared" si="9"/>
        <v/>
      </c>
      <c r="O165" s="126" t="str">
        <f t="shared" si="10"/>
        <v>-</v>
      </c>
      <c r="P165" s="164"/>
      <c r="Q165" s="164"/>
      <c r="R165" s="164"/>
      <c r="S165" s="164"/>
      <c r="T165" s="164"/>
      <c r="U165" s="164"/>
      <c r="V165" s="164"/>
    </row>
    <row r="166" spans="1:25" ht="27" customHeight="1">
      <c r="A166" s="38"/>
      <c r="B166" s="4"/>
      <c r="C166" s="5"/>
      <c r="D166" s="34"/>
      <c r="E166" s="34"/>
      <c r="F166" s="6"/>
      <c r="G166" s="6"/>
      <c r="H166" s="7"/>
      <c r="I166" s="7"/>
      <c r="J166" s="2"/>
      <c r="K166" s="2"/>
      <c r="L166" s="2"/>
      <c r="M166" s="8"/>
      <c r="N166" s="163" t="str">
        <f t="shared" si="9"/>
        <v/>
      </c>
      <c r="O166" s="126" t="str">
        <f t="shared" si="10"/>
        <v>-</v>
      </c>
      <c r="P166" s="164"/>
      <c r="Q166" s="164"/>
      <c r="R166" s="164"/>
      <c r="S166" s="164"/>
      <c r="T166" s="164"/>
      <c r="U166" s="164"/>
      <c r="V166" s="164"/>
    </row>
    <row r="167" spans="1:25" ht="27" customHeight="1">
      <c r="A167" s="38"/>
      <c r="B167" s="4"/>
      <c r="C167" s="5"/>
      <c r="D167" s="34"/>
      <c r="E167" s="34"/>
      <c r="F167" s="6"/>
      <c r="G167" s="6"/>
      <c r="H167" s="7"/>
      <c r="I167" s="7"/>
      <c r="J167" s="2"/>
      <c r="K167" s="2"/>
      <c r="L167" s="2"/>
      <c r="M167" s="8"/>
      <c r="N167" s="163" t="str">
        <f t="shared" si="9"/>
        <v/>
      </c>
      <c r="O167" s="126" t="str">
        <f t="shared" si="10"/>
        <v>-</v>
      </c>
      <c r="P167" s="164"/>
      <c r="Q167" s="164"/>
      <c r="R167" s="164"/>
      <c r="S167" s="164"/>
      <c r="T167" s="164"/>
      <c r="U167" s="164"/>
      <c r="V167" s="164"/>
    </row>
    <row r="168" spans="1:25" ht="27" customHeight="1">
      <c r="A168" s="38"/>
      <c r="B168" s="4"/>
      <c r="C168" s="5"/>
      <c r="D168" s="34"/>
      <c r="E168" s="34"/>
      <c r="F168" s="6"/>
      <c r="G168" s="6"/>
      <c r="H168" s="7"/>
      <c r="I168" s="7"/>
      <c r="J168" s="2"/>
      <c r="K168" s="2"/>
      <c r="L168" s="2"/>
      <c r="M168" s="8"/>
      <c r="N168" s="163" t="str">
        <f t="shared" si="9"/>
        <v/>
      </c>
      <c r="O168" s="126" t="str">
        <f t="shared" si="10"/>
        <v>-</v>
      </c>
      <c r="P168" s="164"/>
      <c r="Q168" s="164"/>
      <c r="R168" s="164"/>
      <c r="S168" s="164"/>
      <c r="T168" s="164"/>
      <c r="U168" s="164"/>
      <c r="V168" s="165"/>
    </row>
    <row r="169" spans="1:25" ht="27" customHeight="1">
      <c r="A169" s="38"/>
      <c r="B169" s="4"/>
      <c r="C169" s="5"/>
      <c r="D169" s="34"/>
      <c r="E169" s="34"/>
      <c r="F169" s="6"/>
      <c r="G169" s="6"/>
      <c r="H169" s="7"/>
      <c r="I169" s="7"/>
      <c r="J169" s="2"/>
      <c r="K169" s="2"/>
      <c r="L169" s="2"/>
      <c r="M169" s="8"/>
      <c r="N169" s="163" t="str">
        <f t="shared" si="9"/>
        <v/>
      </c>
      <c r="O169" s="126" t="str">
        <f t="shared" si="10"/>
        <v>-</v>
      </c>
      <c r="P169" s="164"/>
      <c r="Q169" s="164"/>
      <c r="R169" s="164"/>
      <c r="S169" s="164"/>
      <c r="T169" s="164"/>
      <c r="U169" s="164"/>
      <c r="V169" s="165"/>
    </row>
    <row r="170" spans="1:25" ht="27" customHeight="1">
      <c r="A170" s="38"/>
      <c r="B170" s="4"/>
      <c r="C170" s="5"/>
      <c r="D170" s="34"/>
      <c r="E170" s="34"/>
      <c r="F170" s="6"/>
      <c r="G170" s="6"/>
      <c r="H170" s="7"/>
      <c r="I170" s="7"/>
      <c r="J170" s="2"/>
      <c r="K170" s="2"/>
      <c r="L170" s="2"/>
      <c r="M170" s="8"/>
      <c r="N170" s="163" t="str">
        <f t="shared" si="9"/>
        <v/>
      </c>
      <c r="O170" s="126" t="str">
        <f t="shared" si="10"/>
        <v>-</v>
      </c>
      <c r="P170" s="164"/>
      <c r="Q170" s="164"/>
      <c r="R170" s="164"/>
      <c r="S170" s="164"/>
      <c r="T170" s="164"/>
      <c r="U170" s="164"/>
      <c r="V170" s="165"/>
    </row>
    <row r="171" spans="1:25" ht="27" customHeight="1">
      <c r="A171" s="38"/>
      <c r="B171" s="4"/>
      <c r="C171" s="5"/>
      <c r="D171" s="34"/>
      <c r="E171" s="34"/>
      <c r="F171" s="6"/>
      <c r="G171" s="6"/>
      <c r="H171" s="7"/>
      <c r="I171" s="7"/>
      <c r="J171" s="2"/>
      <c r="K171" s="2"/>
      <c r="L171" s="2"/>
      <c r="M171" s="8"/>
      <c r="N171" s="163" t="str">
        <f t="shared" si="9"/>
        <v/>
      </c>
      <c r="O171" s="126" t="str">
        <f t="shared" si="10"/>
        <v>-</v>
      </c>
      <c r="P171" s="164"/>
      <c r="Q171" s="164"/>
      <c r="R171" s="164"/>
      <c r="S171" s="164"/>
      <c r="T171" s="164"/>
      <c r="U171" s="164"/>
      <c r="V171" s="165"/>
    </row>
    <row r="172" spans="1:25" ht="27" customHeight="1">
      <c r="A172" s="39"/>
      <c r="B172" s="14"/>
      <c r="C172" s="15"/>
      <c r="D172" s="35"/>
      <c r="E172" s="35"/>
      <c r="F172" s="16"/>
      <c r="G172" s="16"/>
      <c r="H172" s="17"/>
      <c r="I172" s="17"/>
      <c r="J172" s="3"/>
      <c r="K172" s="3"/>
      <c r="L172" s="3"/>
      <c r="M172" s="18"/>
      <c r="N172" s="163" t="str">
        <f t="shared" si="9"/>
        <v/>
      </c>
      <c r="O172" s="126" t="str">
        <f t="shared" si="10"/>
        <v>-</v>
      </c>
      <c r="P172" s="164"/>
      <c r="Q172" s="164"/>
      <c r="R172" s="164"/>
      <c r="S172" s="164"/>
      <c r="T172" s="164"/>
      <c r="U172" s="164"/>
      <c r="V172" s="166"/>
      <c r="W172" s="164"/>
      <c r="X172" s="164"/>
      <c r="Y172" s="164"/>
    </row>
    <row r="173" spans="1:25" ht="27" customHeight="1">
      <c r="A173" s="172" t="s">
        <v>44</v>
      </c>
      <c r="B173" s="173"/>
      <c r="C173" s="174"/>
      <c r="D173" s="175"/>
      <c r="E173" s="175">
        <f>SUM(E153:E172)</f>
        <v>0</v>
      </c>
      <c r="F173" s="176"/>
      <c r="G173" s="176"/>
      <c r="H173" s="176"/>
      <c r="I173" s="176"/>
      <c r="J173" s="176"/>
      <c r="K173" s="176"/>
      <c r="L173" s="176"/>
      <c r="M173" s="177"/>
      <c r="N173" s="163" t="str">
        <f t="shared" si="9"/>
        <v/>
      </c>
      <c r="O173" s="126"/>
      <c r="P173" s="164"/>
      <c r="Q173" s="164"/>
      <c r="R173" s="164"/>
      <c r="S173" s="164"/>
      <c r="T173" s="164"/>
      <c r="U173" s="164"/>
      <c r="V173" s="166"/>
      <c r="W173" s="164"/>
      <c r="X173" s="164"/>
      <c r="Y173" s="164"/>
    </row>
    <row r="174" spans="1:25" ht="27" customHeight="1">
      <c r="A174" s="37"/>
      <c r="B174" s="9"/>
      <c r="C174" s="10"/>
      <c r="D174" s="33"/>
      <c r="E174" s="33"/>
      <c r="F174" s="11"/>
      <c r="G174" s="11"/>
      <c r="H174" s="12"/>
      <c r="I174" s="12"/>
      <c r="J174" s="32"/>
      <c r="K174" s="32"/>
      <c r="L174" s="32"/>
      <c r="M174" s="13"/>
      <c r="N174" s="163" t="str">
        <f t="shared" si="9"/>
        <v/>
      </c>
      <c r="O174" s="126" t="str">
        <f>IF(D174&gt;=E174,"-","ERR")</f>
        <v>-</v>
      </c>
      <c r="P174" s="164"/>
      <c r="Q174" s="164"/>
      <c r="R174" s="164"/>
      <c r="S174" s="164"/>
      <c r="T174" s="164"/>
      <c r="U174" s="164"/>
      <c r="V174" s="164"/>
    </row>
    <row r="175" spans="1:25" ht="27" customHeight="1">
      <c r="A175" s="38"/>
      <c r="B175" s="4"/>
      <c r="C175" s="5"/>
      <c r="D175" s="34"/>
      <c r="E175" s="34"/>
      <c r="F175" s="6"/>
      <c r="G175" s="6"/>
      <c r="H175" s="7"/>
      <c r="I175" s="7"/>
      <c r="J175" s="2"/>
      <c r="K175" s="2"/>
      <c r="L175" s="2"/>
      <c r="M175" s="8"/>
      <c r="N175" s="163" t="str">
        <f t="shared" si="9"/>
        <v/>
      </c>
      <c r="O175" s="126" t="str">
        <f t="shared" ref="O175:O193" si="11">IF(D175&gt;=E175,"-","ERR")</f>
        <v>-</v>
      </c>
      <c r="P175" s="164"/>
      <c r="Q175" s="164"/>
      <c r="R175" s="164"/>
      <c r="S175" s="164"/>
      <c r="T175" s="164"/>
      <c r="U175" s="164"/>
      <c r="V175" s="164"/>
    </row>
    <row r="176" spans="1:25" ht="27" customHeight="1">
      <c r="A176" s="38"/>
      <c r="B176" s="4"/>
      <c r="C176" s="5"/>
      <c r="D176" s="34"/>
      <c r="E176" s="34"/>
      <c r="F176" s="6"/>
      <c r="G176" s="6"/>
      <c r="H176" s="7"/>
      <c r="I176" s="7"/>
      <c r="J176" s="2"/>
      <c r="K176" s="2"/>
      <c r="L176" s="2"/>
      <c r="M176" s="8"/>
      <c r="N176" s="163" t="str">
        <f t="shared" si="9"/>
        <v/>
      </c>
      <c r="O176" s="126" t="str">
        <f t="shared" si="11"/>
        <v>-</v>
      </c>
      <c r="P176" s="164"/>
      <c r="Q176" s="164"/>
      <c r="R176" s="164"/>
      <c r="S176" s="164"/>
      <c r="T176" s="164"/>
      <c r="U176" s="164"/>
      <c r="V176" s="164"/>
    </row>
    <row r="177" spans="1:22" ht="27" customHeight="1">
      <c r="A177" s="38"/>
      <c r="B177" s="4"/>
      <c r="C177" s="5"/>
      <c r="D177" s="34"/>
      <c r="E177" s="34"/>
      <c r="F177" s="6"/>
      <c r="G177" s="6"/>
      <c r="H177" s="7"/>
      <c r="I177" s="7"/>
      <c r="J177" s="2"/>
      <c r="K177" s="2"/>
      <c r="L177" s="2"/>
      <c r="M177" s="8"/>
      <c r="N177" s="163" t="str">
        <f t="shared" si="9"/>
        <v/>
      </c>
      <c r="O177" s="126" t="str">
        <f t="shared" si="11"/>
        <v>-</v>
      </c>
      <c r="P177" s="164"/>
      <c r="Q177" s="164"/>
      <c r="R177" s="164"/>
      <c r="S177" s="164"/>
      <c r="T177" s="164"/>
      <c r="U177" s="164"/>
      <c r="V177" s="164"/>
    </row>
    <row r="178" spans="1:22" ht="27" customHeight="1">
      <c r="A178" s="38"/>
      <c r="B178" s="4"/>
      <c r="C178" s="5"/>
      <c r="D178" s="34"/>
      <c r="E178" s="34"/>
      <c r="F178" s="6"/>
      <c r="G178" s="6"/>
      <c r="H178" s="7"/>
      <c r="I178" s="7"/>
      <c r="J178" s="2"/>
      <c r="K178" s="2"/>
      <c r="L178" s="2"/>
      <c r="M178" s="8"/>
      <c r="N178" s="163" t="str">
        <f t="shared" si="9"/>
        <v/>
      </c>
      <c r="O178" s="126" t="str">
        <f t="shared" si="11"/>
        <v>-</v>
      </c>
      <c r="P178" s="164"/>
      <c r="Q178" s="164"/>
      <c r="R178" s="164"/>
      <c r="S178" s="164"/>
      <c r="T178" s="164"/>
      <c r="U178" s="164"/>
      <c r="V178" s="164"/>
    </row>
    <row r="179" spans="1:22" ht="27" customHeight="1">
      <c r="A179" s="38"/>
      <c r="B179" s="4"/>
      <c r="C179" s="5"/>
      <c r="D179" s="34"/>
      <c r="E179" s="34"/>
      <c r="F179" s="6"/>
      <c r="G179" s="6"/>
      <c r="H179" s="7"/>
      <c r="I179" s="7"/>
      <c r="J179" s="2"/>
      <c r="K179" s="2"/>
      <c r="L179" s="2"/>
      <c r="M179" s="8"/>
      <c r="N179" s="163" t="str">
        <f t="shared" si="9"/>
        <v/>
      </c>
      <c r="O179" s="126" t="str">
        <f t="shared" si="11"/>
        <v>-</v>
      </c>
      <c r="P179" s="164"/>
      <c r="Q179" s="164"/>
      <c r="R179" s="164"/>
      <c r="S179" s="164"/>
      <c r="T179" s="164"/>
      <c r="U179" s="164"/>
      <c r="V179" s="164"/>
    </row>
    <row r="180" spans="1:22" ht="27" customHeight="1">
      <c r="A180" s="38"/>
      <c r="B180" s="4"/>
      <c r="C180" s="5"/>
      <c r="D180" s="34"/>
      <c r="E180" s="34"/>
      <c r="F180" s="6"/>
      <c r="G180" s="6"/>
      <c r="H180" s="7"/>
      <c r="I180" s="7"/>
      <c r="J180" s="2"/>
      <c r="K180" s="2"/>
      <c r="L180" s="2"/>
      <c r="M180" s="8"/>
      <c r="N180" s="163" t="str">
        <f t="shared" si="9"/>
        <v/>
      </c>
      <c r="O180" s="126" t="str">
        <f t="shared" si="11"/>
        <v>-</v>
      </c>
      <c r="P180" s="164"/>
      <c r="Q180" s="164"/>
      <c r="R180" s="164"/>
      <c r="S180" s="164"/>
      <c r="T180" s="164"/>
      <c r="U180" s="164"/>
      <c r="V180" s="164"/>
    </row>
    <row r="181" spans="1:22" ht="27" customHeight="1">
      <c r="A181" s="38"/>
      <c r="B181" s="4"/>
      <c r="C181" s="5"/>
      <c r="D181" s="34"/>
      <c r="E181" s="34"/>
      <c r="F181" s="6"/>
      <c r="G181" s="6"/>
      <c r="H181" s="7"/>
      <c r="I181" s="7"/>
      <c r="J181" s="2"/>
      <c r="K181" s="2"/>
      <c r="L181" s="2"/>
      <c r="M181" s="8"/>
      <c r="N181" s="163" t="str">
        <f t="shared" si="9"/>
        <v/>
      </c>
      <c r="O181" s="126" t="str">
        <f t="shared" si="11"/>
        <v>-</v>
      </c>
      <c r="P181" s="164"/>
      <c r="Q181" s="164"/>
      <c r="R181" s="164"/>
      <c r="S181" s="164"/>
      <c r="T181" s="164"/>
      <c r="U181" s="164"/>
      <c r="V181" s="164"/>
    </row>
    <row r="182" spans="1:22" ht="27" customHeight="1">
      <c r="A182" s="38"/>
      <c r="B182" s="4"/>
      <c r="C182" s="5"/>
      <c r="D182" s="34"/>
      <c r="E182" s="34"/>
      <c r="F182" s="6"/>
      <c r="G182" s="6"/>
      <c r="H182" s="7"/>
      <c r="I182" s="7"/>
      <c r="J182" s="2"/>
      <c r="K182" s="2"/>
      <c r="L182" s="2"/>
      <c r="M182" s="8"/>
      <c r="N182" s="163" t="str">
        <f t="shared" si="9"/>
        <v/>
      </c>
      <c r="O182" s="126" t="str">
        <f t="shared" si="11"/>
        <v>-</v>
      </c>
      <c r="P182" s="164"/>
      <c r="Q182" s="164"/>
      <c r="R182" s="164"/>
      <c r="S182" s="164"/>
      <c r="T182" s="164"/>
      <c r="U182" s="164"/>
      <c r="V182" s="164"/>
    </row>
    <row r="183" spans="1:22" ht="27" customHeight="1">
      <c r="A183" s="38"/>
      <c r="B183" s="4"/>
      <c r="C183" s="5"/>
      <c r="D183" s="34"/>
      <c r="E183" s="34"/>
      <c r="F183" s="6"/>
      <c r="G183" s="6"/>
      <c r="H183" s="7"/>
      <c r="I183" s="7"/>
      <c r="J183" s="2"/>
      <c r="K183" s="2"/>
      <c r="L183" s="2"/>
      <c r="M183" s="8"/>
      <c r="N183" s="163" t="str">
        <f t="shared" si="9"/>
        <v/>
      </c>
      <c r="O183" s="126" t="str">
        <f t="shared" si="11"/>
        <v>-</v>
      </c>
      <c r="P183" s="164"/>
      <c r="Q183" s="164"/>
      <c r="R183" s="164"/>
      <c r="S183" s="164"/>
      <c r="T183" s="164"/>
      <c r="U183" s="164"/>
      <c r="V183" s="164"/>
    </row>
    <row r="184" spans="1:22" ht="27" customHeight="1">
      <c r="A184" s="38"/>
      <c r="B184" s="4"/>
      <c r="C184" s="5"/>
      <c r="D184" s="34"/>
      <c r="E184" s="34"/>
      <c r="F184" s="6"/>
      <c r="G184" s="6"/>
      <c r="H184" s="7"/>
      <c r="I184" s="7"/>
      <c r="J184" s="2"/>
      <c r="K184" s="2"/>
      <c r="L184" s="2"/>
      <c r="M184" s="8"/>
      <c r="N184" s="163" t="str">
        <f t="shared" si="9"/>
        <v/>
      </c>
      <c r="O184" s="126" t="str">
        <f t="shared" si="11"/>
        <v>-</v>
      </c>
      <c r="P184" s="164"/>
      <c r="Q184" s="164"/>
      <c r="R184" s="164"/>
      <c r="S184" s="164"/>
      <c r="T184" s="164"/>
      <c r="U184" s="164"/>
      <c r="V184" s="164"/>
    </row>
    <row r="185" spans="1:22" ht="27" customHeight="1">
      <c r="A185" s="38"/>
      <c r="B185" s="4"/>
      <c r="C185" s="5"/>
      <c r="D185" s="34"/>
      <c r="E185" s="34"/>
      <c r="F185" s="6"/>
      <c r="G185" s="6"/>
      <c r="H185" s="7"/>
      <c r="I185" s="7"/>
      <c r="J185" s="2"/>
      <c r="K185" s="2"/>
      <c r="L185" s="2"/>
      <c r="M185" s="8"/>
      <c r="N185" s="163" t="str">
        <f t="shared" si="9"/>
        <v/>
      </c>
      <c r="O185" s="126" t="str">
        <f t="shared" si="11"/>
        <v>-</v>
      </c>
      <c r="P185" s="164"/>
      <c r="Q185" s="164"/>
      <c r="R185" s="164"/>
      <c r="S185" s="164"/>
      <c r="T185" s="164"/>
      <c r="U185" s="164"/>
      <c r="V185" s="164"/>
    </row>
    <row r="186" spans="1:22" ht="27" customHeight="1">
      <c r="A186" s="38"/>
      <c r="B186" s="4"/>
      <c r="C186" s="5"/>
      <c r="D186" s="34"/>
      <c r="E186" s="34"/>
      <c r="F186" s="6"/>
      <c r="G186" s="6"/>
      <c r="H186" s="7"/>
      <c r="I186" s="7"/>
      <c r="J186" s="2"/>
      <c r="K186" s="2"/>
      <c r="L186" s="2"/>
      <c r="M186" s="8"/>
      <c r="N186" s="163" t="str">
        <f t="shared" si="9"/>
        <v/>
      </c>
      <c r="O186" s="126" t="str">
        <f t="shared" si="11"/>
        <v>-</v>
      </c>
      <c r="P186" s="164"/>
      <c r="Q186" s="164"/>
      <c r="R186" s="164"/>
      <c r="S186" s="164"/>
      <c r="T186" s="164"/>
      <c r="U186" s="164"/>
      <c r="V186" s="164"/>
    </row>
    <row r="187" spans="1:22" ht="27" customHeight="1">
      <c r="A187" s="38"/>
      <c r="B187" s="4"/>
      <c r="C187" s="5"/>
      <c r="D187" s="34"/>
      <c r="E187" s="34"/>
      <c r="F187" s="6"/>
      <c r="G187" s="6"/>
      <c r="H187" s="7"/>
      <c r="I187" s="7"/>
      <c r="J187" s="2"/>
      <c r="K187" s="2"/>
      <c r="L187" s="2"/>
      <c r="M187" s="8"/>
      <c r="N187" s="163" t="str">
        <f t="shared" si="9"/>
        <v/>
      </c>
      <c r="O187" s="126" t="str">
        <f t="shared" si="11"/>
        <v>-</v>
      </c>
      <c r="P187" s="164"/>
      <c r="Q187" s="164"/>
      <c r="R187" s="164"/>
      <c r="S187" s="164"/>
      <c r="T187" s="164"/>
      <c r="U187" s="164"/>
      <c r="V187" s="164"/>
    </row>
    <row r="188" spans="1:22" ht="27" customHeight="1">
      <c r="A188" s="38"/>
      <c r="B188" s="4"/>
      <c r="C188" s="5"/>
      <c r="D188" s="34"/>
      <c r="E188" s="34"/>
      <c r="F188" s="6"/>
      <c r="G188" s="6"/>
      <c r="H188" s="7"/>
      <c r="I188" s="7"/>
      <c r="J188" s="2"/>
      <c r="K188" s="2"/>
      <c r="L188" s="2"/>
      <c r="M188" s="8"/>
      <c r="N188" s="163" t="str">
        <f t="shared" si="9"/>
        <v/>
      </c>
      <c r="O188" s="126" t="str">
        <f t="shared" si="11"/>
        <v>-</v>
      </c>
      <c r="P188" s="164"/>
      <c r="Q188" s="164"/>
      <c r="R188" s="164"/>
      <c r="S188" s="164"/>
      <c r="T188" s="164"/>
      <c r="U188" s="164"/>
      <c r="V188" s="164"/>
    </row>
    <row r="189" spans="1:22" ht="27" customHeight="1">
      <c r="A189" s="38"/>
      <c r="B189" s="4"/>
      <c r="C189" s="5"/>
      <c r="D189" s="34"/>
      <c r="E189" s="34"/>
      <c r="F189" s="6"/>
      <c r="G189" s="6"/>
      <c r="H189" s="7"/>
      <c r="I189" s="7"/>
      <c r="J189" s="2"/>
      <c r="K189" s="2"/>
      <c r="L189" s="2"/>
      <c r="M189" s="8"/>
      <c r="N189" s="163" t="str">
        <f t="shared" si="9"/>
        <v/>
      </c>
      <c r="O189" s="126" t="str">
        <f t="shared" si="11"/>
        <v>-</v>
      </c>
      <c r="P189" s="164"/>
      <c r="Q189" s="164"/>
      <c r="R189" s="164"/>
      <c r="S189" s="164"/>
      <c r="T189" s="164"/>
      <c r="U189" s="164"/>
      <c r="V189" s="165"/>
    </row>
    <row r="190" spans="1:22" ht="27" customHeight="1">
      <c r="A190" s="38"/>
      <c r="B190" s="4"/>
      <c r="C190" s="5"/>
      <c r="D190" s="34"/>
      <c r="E190" s="34"/>
      <c r="F190" s="6"/>
      <c r="G190" s="6"/>
      <c r="H190" s="7"/>
      <c r="I190" s="7"/>
      <c r="J190" s="2"/>
      <c r="K190" s="2"/>
      <c r="L190" s="2"/>
      <c r="M190" s="8"/>
      <c r="N190" s="163" t="str">
        <f t="shared" si="9"/>
        <v/>
      </c>
      <c r="O190" s="126" t="str">
        <f t="shared" si="11"/>
        <v>-</v>
      </c>
      <c r="P190" s="164"/>
      <c r="Q190" s="164"/>
      <c r="R190" s="164"/>
      <c r="S190" s="164"/>
      <c r="T190" s="164"/>
      <c r="U190" s="164"/>
      <c r="V190" s="165"/>
    </row>
    <row r="191" spans="1:22" ht="27" customHeight="1">
      <c r="A191" s="38"/>
      <c r="B191" s="4"/>
      <c r="C191" s="5"/>
      <c r="D191" s="34"/>
      <c r="E191" s="34"/>
      <c r="F191" s="6"/>
      <c r="G191" s="6"/>
      <c r="H191" s="7"/>
      <c r="I191" s="7"/>
      <c r="J191" s="2"/>
      <c r="K191" s="2"/>
      <c r="L191" s="2"/>
      <c r="M191" s="8"/>
      <c r="N191" s="163" t="str">
        <f t="shared" si="9"/>
        <v/>
      </c>
      <c r="O191" s="126" t="str">
        <f t="shared" si="11"/>
        <v>-</v>
      </c>
      <c r="P191" s="164"/>
      <c r="Q191" s="164"/>
      <c r="R191" s="164"/>
      <c r="S191" s="164"/>
      <c r="T191" s="164"/>
      <c r="U191" s="164"/>
      <c r="V191" s="165"/>
    </row>
    <row r="192" spans="1:22" ht="27" customHeight="1">
      <c r="A192" s="38"/>
      <c r="B192" s="4"/>
      <c r="C192" s="5"/>
      <c r="D192" s="34"/>
      <c r="E192" s="34"/>
      <c r="F192" s="6"/>
      <c r="G192" s="6"/>
      <c r="H192" s="7"/>
      <c r="I192" s="7"/>
      <c r="J192" s="2"/>
      <c r="K192" s="2"/>
      <c r="L192" s="2"/>
      <c r="M192" s="8"/>
      <c r="N192" s="163" t="str">
        <f t="shared" si="9"/>
        <v/>
      </c>
      <c r="O192" s="126" t="str">
        <f t="shared" si="11"/>
        <v>-</v>
      </c>
      <c r="P192" s="164"/>
      <c r="Q192" s="164"/>
      <c r="R192" s="164"/>
      <c r="S192" s="164"/>
      <c r="T192" s="164"/>
      <c r="U192" s="164"/>
      <c r="V192" s="165"/>
    </row>
    <row r="193" spans="1:25" ht="27" customHeight="1">
      <c r="A193" s="39"/>
      <c r="B193" s="14"/>
      <c r="C193" s="15"/>
      <c r="D193" s="35"/>
      <c r="E193" s="35"/>
      <c r="F193" s="16"/>
      <c r="G193" s="16"/>
      <c r="H193" s="17"/>
      <c r="I193" s="17"/>
      <c r="J193" s="3"/>
      <c r="K193" s="3"/>
      <c r="L193" s="3"/>
      <c r="M193" s="18"/>
      <c r="N193" s="163" t="str">
        <f t="shared" si="9"/>
        <v/>
      </c>
      <c r="O193" s="126" t="str">
        <f t="shared" si="11"/>
        <v>-</v>
      </c>
      <c r="P193" s="164"/>
      <c r="Q193" s="164"/>
      <c r="R193" s="164"/>
      <c r="S193" s="164"/>
      <c r="T193" s="164"/>
      <c r="U193" s="164"/>
      <c r="V193" s="166"/>
      <c r="W193" s="164"/>
      <c r="X193" s="164"/>
      <c r="Y193" s="164"/>
    </row>
    <row r="194" spans="1:25" ht="27" customHeight="1">
      <c r="A194" s="172" t="s">
        <v>44</v>
      </c>
      <c r="B194" s="173"/>
      <c r="C194" s="174"/>
      <c r="D194" s="175"/>
      <c r="E194" s="175">
        <f>SUM(E174:E193)</f>
        <v>0</v>
      </c>
      <c r="F194" s="176"/>
      <c r="G194" s="176"/>
      <c r="H194" s="176"/>
      <c r="I194" s="176"/>
      <c r="J194" s="176"/>
      <c r="K194" s="176"/>
      <c r="L194" s="176"/>
      <c r="M194" s="177"/>
      <c r="N194" s="163" t="str">
        <f t="shared" si="9"/>
        <v/>
      </c>
      <c r="O194" s="126"/>
      <c r="P194" s="164"/>
      <c r="Q194" s="164"/>
      <c r="R194" s="164"/>
      <c r="S194" s="164"/>
      <c r="T194" s="164"/>
      <c r="U194" s="164"/>
      <c r="V194" s="166"/>
      <c r="W194" s="164"/>
      <c r="X194" s="164"/>
      <c r="Y194" s="164"/>
    </row>
    <row r="195" spans="1:25" ht="27" customHeight="1">
      <c r="A195" s="37"/>
      <c r="B195" s="9"/>
      <c r="C195" s="10"/>
      <c r="D195" s="33"/>
      <c r="E195" s="33"/>
      <c r="F195" s="11"/>
      <c r="G195" s="11"/>
      <c r="H195" s="12"/>
      <c r="I195" s="12"/>
      <c r="J195" s="32"/>
      <c r="K195" s="32"/>
      <c r="L195" s="32"/>
      <c r="M195" s="13"/>
      <c r="N195" s="163" t="str">
        <f t="shared" si="9"/>
        <v/>
      </c>
      <c r="O195" s="126" t="str">
        <f>IF(D195&gt;=E195,"-","ERR")</f>
        <v>-</v>
      </c>
      <c r="P195" s="164"/>
      <c r="Q195" s="164"/>
      <c r="R195" s="164"/>
      <c r="S195" s="164"/>
      <c r="T195" s="164"/>
      <c r="U195" s="164"/>
      <c r="V195" s="164"/>
    </row>
    <row r="196" spans="1:25" ht="27" customHeight="1">
      <c r="A196" s="38"/>
      <c r="B196" s="4"/>
      <c r="C196" s="5"/>
      <c r="D196" s="34"/>
      <c r="E196" s="34"/>
      <c r="F196" s="6"/>
      <c r="G196" s="6"/>
      <c r="H196" s="7"/>
      <c r="I196" s="7"/>
      <c r="J196" s="2"/>
      <c r="K196" s="2"/>
      <c r="L196" s="2"/>
      <c r="M196" s="8"/>
      <c r="N196" s="163" t="str">
        <f t="shared" si="9"/>
        <v/>
      </c>
      <c r="O196" s="126" t="str">
        <f t="shared" ref="O196:O214" si="12">IF(D196&gt;=E196,"-","ERR")</f>
        <v>-</v>
      </c>
      <c r="P196" s="164"/>
      <c r="Q196" s="164"/>
      <c r="R196" s="164"/>
      <c r="S196" s="164"/>
      <c r="T196" s="164"/>
      <c r="U196" s="164"/>
      <c r="V196" s="164"/>
    </row>
    <row r="197" spans="1:25" ht="27" customHeight="1">
      <c r="A197" s="38"/>
      <c r="B197" s="4"/>
      <c r="C197" s="5"/>
      <c r="D197" s="34"/>
      <c r="E197" s="34"/>
      <c r="F197" s="6"/>
      <c r="G197" s="6"/>
      <c r="H197" s="7"/>
      <c r="I197" s="7"/>
      <c r="J197" s="2"/>
      <c r="K197" s="2"/>
      <c r="L197" s="2"/>
      <c r="M197" s="8"/>
      <c r="N197" s="163" t="str">
        <f t="shared" si="9"/>
        <v/>
      </c>
      <c r="O197" s="126" t="str">
        <f t="shared" si="12"/>
        <v>-</v>
      </c>
      <c r="P197" s="164"/>
      <c r="Q197" s="164"/>
      <c r="R197" s="164"/>
      <c r="S197" s="164"/>
      <c r="T197" s="164"/>
      <c r="U197" s="164"/>
      <c r="V197" s="164"/>
    </row>
    <row r="198" spans="1:25" ht="27" customHeight="1">
      <c r="A198" s="38"/>
      <c r="B198" s="4"/>
      <c r="C198" s="5"/>
      <c r="D198" s="34"/>
      <c r="E198" s="34"/>
      <c r="F198" s="6"/>
      <c r="G198" s="6"/>
      <c r="H198" s="7"/>
      <c r="I198" s="7"/>
      <c r="J198" s="2"/>
      <c r="K198" s="2"/>
      <c r="L198" s="2"/>
      <c r="M198" s="8"/>
      <c r="N198" s="163" t="str">
        <f t="shared" si="9"/>
        <v/>
      </c>
      <c r="O198" s="126" t="str">
        <f t="shared" si="12"/>
        <v>-</v>
      </c>
      <c r="P198" s="164"/>
      <c r="Q198" s="164"/>
      <c r="R198" s="164"/>
      <c r="S198" s="164"/>
      <c r="T198" s="164"/>
      <c r="U198" s="164"/>
      <c r="V198" s="164"/>
    </row>
    <row r="199" spans="1:25" ht="27" customHeight="1">
      <c r="A199" s="38"/>
      <c r="B199" s="4"/>
      <c r="C199" s="5"/>
      <c r="D199" s="34"/>
      <c r="E199" s="34"/>
      <c r="F199" s="6"/>
      <c r="G199" s="6"/>
      <c r="H199" s="7"/>
      <c r="I199" s="7"/>
      <c r="J199" s="2"/>
      <c r="K199" s="2"/>
      <c r="L199" s="2"/>
      <c r="M199" s="8"/>
      <c r="N199" s="163" t="str">
        <f t="shared" ref="N199:N232" si="13">CONCATENATE(C199,H199)</f>
        <v/>
      </c>
      <c r="O199" s="126" t="str">
        <f t="shared" si="12"/>
        <v>-</v>
      </c>
      <c r="P199" s="164"/>
      <c r="Q199" s="164"/>
      <c r="R199" s="164"/>
      <c r="S199" s="164"/>
      <c r="T199" s="164"/>
      <c r="U199" s="164"/>
      <c r="V199" s="164"/>
    </row>
    <row r="200" spans="1:25" ht="27" customHeight="1">
      <c r="A200" s="38"/>
      <c r="B200" s="4"/>
      <c r="C200" s="5"/>
      <c r="D200" s="34"/>
      <c r="E200" s="34"/>
      <c r="F200" s="6"/>
      <c r="G200" s="6"/>
      <c r="H200" s="7"/>
      <c r="I200" s="7"/>
      <c r="J200" s="2"/>
      <c r="K200" s="2"/>
      <c r="L200" s="2"/>
      <c r="M200" s="8"/>
      <c r="N200" s="163" t="str">
        <f t="shared" si="13"/>
        <v/>
      </c>
      <c r="O200" s="126" t="str">
        <f t="shared" si="12"/>
        <v>-</v>
      </c>
      <c r="P200" s="164"/>
      <c r="Q200" s="164"/>
      <c r="R200" s="164"/>
      <c r="S200" s="164"/>
      <c r="T200" s="164"/>
      <c r="U200" s="164"/>
      <c r="V200" s="164"/>
    </row>
    <row r="201" spans="1:25" ht="27" customHeight="1">
      <c r="A201" s="38"/>
      <c r="B201" s="4"/>
      <c r="C201" s="5"/>
      <c r="D201" s="34"/>
      <c r="E201" s="34"/>
      <c r="F201" s="6"/>
      <c r="G201" s="6"/>
      <c r="H201" s="7"/>
      <c r="I201" s="7"/>
      <c r="J201" s="2"/>
      <c r="K201" s="2"/>
      <c r="L201" s="2"/>
      <c r="M201" s="8"/>
      <c r="N201" s="163" t="str">
        <f t="shared" si="13"/>
        <v/>
      </c>
      <c r="O201" s="126" t="str">
        <f t="shared" si="12"/>
        <v>-</v>
      </c>
      <c r="P201" s="164"/>
      <c r="Q201" s="164"/>
      <c r="R201" s="164"/>
      <c r="S201" s="164"/>
      <c r="T201" s="164"/>
      <c r="U201" s="164"/>
      <c r="V201" s="164"/>
    </row>
    <row r="202" spans="1:25" ht="27" customHeight="1">
      <c r="A202" s="38"/>
      <c r="B202" s="4"/>
      <c r="C202" s="5"/>
      <c r="D202" s="34"/>
      <c r="E202" s="34"/>
      <c r="F202" s="6"/>
      <c r="G202" s="6"/>
      <c r="H202" s="7"/>
      <c r="I202" s="7"/>
      <c r="J202" s="2"/>
      <c r="K202" s="2"/>
      <c r="L202" s="2"/>
      <c r="M202" s="8"/>
      <c r="N202" s="163" t="str">
        <f t="shared" si="13"/>
        <v/>
      </c>
      <c r="O202" s="126" t="str">
        <f t="shared" si="12"/>
        <v>-</v>
      </c>
      <c r="P202" s="164"/>
      <c r="Q202" s="164"/>
      <c r="R202" s="164"/>
      <c r="S202" s="164"/>
      <c r="T202" s="164"/>
      <c r="U202" s="164"/>
      <c r="V202" s="164"/>
    </row>
    <row r="203" spans="1:25" ht="27" customHeight="1">
      <c r="A203" s="38"/>
      <c r="B203" s="4"/>
      <c r="C203" s="5"/>
      <c r="D203" s="34"/>
      <c r="E203" s="34"/>
      <c r="F203" s="6"/>
      <c r="G203" s="6"/>
      <c r="H203" s="7"/>
      <c r="I203" s="7"/>
      <c r="J203" s="2"/>
      <c r="K203" s="2"/>
      <c r="L203" s="2"/>
      <c r="M203" s="8"/>
      <c r="N203" s="163" t="str">
        <f t="shared" si="13"/>
        <v/>
      </c>
      <c r="O203" s="126" t="str">
        <f t="shared" si="12"/>
        <v>-</v>
      </c>
      <c r="P203" s="164"/>
      <c r="Q203" s="164"/>
      <c r="R203" s="164"/>
      <c r="S203" s="164"/>
      <c r="T203" s="164"/>
      <c r="U203" s="164"/>
      <c r="V203" s="164"/>
    </row>
    <row r="204" spans="1:25" ht="27" customHeight="1">
      <c r="A204" s="38"/>
      <c r="B204" s="4"/>
      <c r="C204" s="5"/>
      <c r="D204" s="34"/>
      <c r="E204" s="34"/>
      <c r="F204" s="6"/>
      <c r="G204" s="6"/>
      <c r="H204" s="7"/>
      <c r="I204" s="7"/>
      <c r="J204" s="2"/>
      <c r="K204" s="2"/>
      <c r="L204" s="2"/>
      <c r="M204" s="8"/>
      <c r="N204" s="163" t="str">
        <f t="shared" si="13"/>
        <v/>
      </c>
      <c r="O204" s="126" t="str">
        <f t="shared" si="12"/>
        <v>-</v>
      </c>
      <c r="P204" s="164"/>
      <c r="Q204" s="164"/>
      <c r="R204" s="164"/>
      <c r="S204" s="164"/>
      <c r="T204" s="164"/>
      <c r="U204" s="164"/>
      <c r="V204" s="164"/>
    </row>
    <row r="205" spans="1:25" ht="27" customHeight="1">
      <c r="A205" s="38"/>
      <c r="B205" s="4"/>
      <c r="C205" s="5"/>
      <c r="D205" s="34"/>
      <c r="E205" s="34"/>
      <c r="F205" s="6"/>
      <c r="G205" s="6"/>
      <c r="H205" s="7"/>
      <c r="I205" s="7"/>
      <c r="J205" s="2"/>
      <c r="K205" s="2"/>
      <c r="L205" s="2"/>
      <c r="M205" s="8"/>
      <c r="N205" s="163" t="str">
        <f t="shared" si="13"/>
        <v/>
      </c>
      <c r="O205" s="126" t="str">
        <f t="shared" si="12"/>
        <v>-</v>
      </c>
      <c r="P205" s="164"/>
      <c r="Q205" s="164"/>
      <c r="R205" s="164"/>
      <c r="S205" s="164"/>
      <c r="T205" s="164"/>
      <c r="U205" s="164"/>
      <c r="V205" s="164"/>
    </row>
    <row r="206" spans="1:25" ht="27" customHeight="1">
      <c r="A206" s="38"/>
      <c r="B206" s="4"/>
      <c r="C206" s="5"/>
      <c r="D206" s="34"/>
      <c r="E206" s="34"/>
      <c r="F206" s="6"/>
      <c r="G206" s="6"/>
      <c r="H206" s="7"/>
      <c r="I206" s="7"/>
      <c r="J206" s="2"/>
      <c r="K206" s="2"/>
      <c r="L206" s="2"/>
      <c r="M206" s="8"/>
      <c r="N206" s="163" t="str">
        <f t="shared" si="13"/>
        <v/>
      </c>
      <c r="O206" s="126" t="str">
        <f t="shared" si="12"/>
        <v>-</v>
      </c>
      <c r="P206" s="164"/>
      <c r="Q206" s="164"/>
      <c r="R206" s="164"/>
      <c r="S206" s="164"/>
      <c r="T206" s="164"/>
      <c r="U206" s="164"/>
      <c r="V206" s="164"/>
    </row>
    <row r="207" spans="1:25" ht="27" customHeight="1">
      <c r="A207" s="38"/>
      <c r="B207" s="4"/>
      <c r="C207" s="5"/>
      <c r="D207" s="34"/>
      <c r="E207" s="34"/>
      <c r="F207" s="6"/>
      <c r="G207" s="6"/>
      <c r="H207" s="7"/>
      <c r="I207" s="7"/>
      <c r="J207" s="2"/>
      <c r="K207" s="2"/>
      <c r="L207" s="2"/>
      <c r="M207" s="8"/>
      <c r="N207" s="163" t="str">
        <f t="shared" si="13"/>
        <v/>
      </c>
      <c r="O207" s="126" t="str">
        <f t="shared" si="12"/>
        <v>-</v>
      </c>
      <c r="P207" s="164"/>
      <c r="Q207" s="164"/>
      <c r="R207" s="164"/>
      <c r="S207" s="164"/>
      <c r="T207" s="164"/>
      <c r="U207" s="164"/>
      <c r="V207" s="164"/>
    </row>
    <row r="208" spans="1:25" ht="27" customHeight="1">
      <c r="A208" s="38"/>
      <c r="B208" s="4"/>
      <c r="C208" s="5"/>
      <c r="D208" s="34"/>
      <c r="E208" s="34"/>
      <c r="F208" s="6"/>
      <c r="G208" s="6"/>
      <c r="H208" s="7"/>
      <c r="I208" s="7"/>
      <c r="J208" s="2"/>
      <c r="K208" s="2"/>
      <c r="L208" s="2"/>
      <c r="M208" s="8"/>
      <c r="N208" s="163" t="str">
        <f t="shared" si="13"/>
        <v/>
      </c>
      <c r="O208" s="126" t="str">
        <f t="shared" si="12"/>
        <v>-</v>
      </c>
      <c r="P208" s="164"/>
      <c r="Q208" s="164"/>
      <c r="R208" s="164"/>
      <c r="S208" s="164"/>
      <c r="T208" s="164"/>
      <c r="U208" s="164"/>
      <c r="V208" s="164"/>
    </row>
    <row r="209" spans="1:25" ht="27" customHeight="1">
      <c r="A209" s="38"/>
      <c r="B209" s="4"/>
      <c r="C209" s="5"/>
      <c r="D209" s="34"/>
      <c r="E209" s="34"/>
      <c r="F209" s="6"/>
      <c r="G209" s="6"/>
      <c r="H209" s="7"/>
      <c r="I209" s="7"/>
      <c r="J209" s="2"/>
      <c r="K209" s="2"/>
      <c r="L209" s="2"/>
      <c r="M209" s="8"/>
      <c r="N209" s="163" t="str">
        <f t="shared" si="13"/>
        <v/>
      </c>
      <c r="O209" s="126" t="str">
        <f t="shared" si="12"/>
        <v>-</v>
      </c>
      <c r="P209" s="164"/>
      <c r="Q209" s="164"/>
      <c r="R209" s="164"/>
      <c r="S209" s="164"/>
      <c r="T209" s="164"/>
      <c r="U209" s="164"/>
      <c r="V209" s="164"/>
    </row>
    <row r="210" spans="1:25" ht="27" customHeight="1">
      <c r="A210" s="38"/>
      <c r="B210" s="4"/>
      <c r="C210" s="5"/>
      <c r="D210" s="34"/>
      <c r="E210" s="34"/>
      <c r="F210" s="6"/>
      <c r="G210" s="6"/>
      <c r="H210" s="7"/>
      <c r="I210" s="7"/>
      <c r="J210" s="2"/>
      <c r="K210" s="2"/>
      <c r="L210" s="2"/>
      <c r="M210" s="8"/>
      <c r="N210" s="163" t="str">
        <f t="shared" si="13"/>
        <v/>
      </c>
      <c r="O210" s="126" t="str">
        <f t="shared" si="12"/>
        <v>-</v>
      </c>
      <c r="P210" s="164"/>
      <c r="Q210" s="164"/>
      <c r="R210" s="164"/>
      <c r="S210" s="164"/>
      <c r="T210" s="164"/>
      <c r="U210" s="164"/>
      <c r="V210" s="165"/>
    </row>
    <row r="211" spans="1:25" ht="27" customHeight="1">
      <c r="A211" s="38"/>
      <c r="B211" s="4"/>
      <c r="C211" s="5"/>
      <c r="D211" s="34"/>
      <c r="E211" s="34"/>
      <c r="F211" s="6"/>
      <c r="G211" s="6"/>
      <c r="H211" s="7"/>
      <c r="I211" s="7"/>
      <c r="J211" s="2"/>
      <c r="K211" s="2"/>
      <c r="L211" s="2"/>
      <c r="M211" s="8"/>
      <c r="N211" s="163" t="str">
        <f t="shared" si="13"/>
        <v/>
      </c>
      <c r="O211" s="126" t="str">
        <f t="shared" si="12"/>
        <v>-</v>
      </c>
      <c r="P211" s="164"/>
      <c r="Q211" s="164"/>
      <c r="R211" s="164"/>
      <c r="S211" s="164"/>
      <c r="T211" s="164"/>
      <c r="U211" s="164"/>
      <c r="V211" s="165"/>
    </row>
    <row r="212" spans="1:25" ht="27" customHeight="1">
      <c r="A212" s="38"/>
      <c r="B212" s="178"/>
      <c r="C212" s="178"/>
      <c r="D212" s="179"/>
      <c r="E212" s="179"/>
      <c r="F212" s="180"/>
      <c r="G212" s="180"/>
      <c r="H212" s="180"/>
      <c r="I212" s="180"/>
      <c r="J212" s="180"/>
      <c r="K212" s="180"/>
      <c r="L212" s="180"/>
      <c r="M212" s="181"/>
      <c r="N212" s="163" t="str">
        <f t="shared" si="13"/>
        <v/>
      </c>
      <c r="O212" s="126" t="str">
        <f t="shared" si="12"/>
        <v>-</v>
      </c>
      <c r="P212" s="164"/>
      <c r="Q212" s="164"/>
      <c r="R212" s="164"/>
      <c r="S212" s="164"/>
      <c r="T212" s="164"/>
      <c r="U212" s="164"/>
      <c r="V212" s="165"/>
    </row>
    <row r="213" spans="1:25" ht="27" customHeight="1">
      <c r="A213" s="38"/>
      <c r="B213" s="178"/>
      <c r="C213" s="178"/>
      <c r="D213" s="179"/>
      <c r="E213" s="179"/>
      <c r="F213" s="180"/>
      <c r="G213" s="180"/>
      <c r="H213" s="180"/>
      <c r="I213" s="180"/>
      <c r="J213" s="180"/>
      <c r="K213" s="180"/>
      <c r="L213" s="180"/>
      <c r="M213" s="181"/>
      <c r="N213" s="163" t="str">
        <f t="shared" si="13"/>
        <v/>
      </c>
      <c r="O213" s="126" t="str">
        <f t="shared" si="12"/>
        <v>-</v>
      </c>
      <c r="P213" s="164"/>
      <c r="Q213" s="164"/>
      <c r="R213" s="164"/>
      <c r="S213" s="164"/>
      <c r="T213" s="164"/>
      <c r="U213" s="164"/>
      <c r="V213" s="165"/>
    </row>
    <row r="214" spans="1:25" ht="27" customHeight="1">
      <c r="A214" s="182"/>
      <c r="B214" s="183"/>
      <c r="C214" s="183"/>
      <c r="D214" s="184"/>
      <c r="E214" s="184"/>
      <c r="F214" s="185"/>
      <c r="G214" s="185"/>
      <c r="H214" s="180"/>
      <c r="I214" s="180"/>
      <c r="J214" s="185"/>
      <c r="K214" s="185"/>
      <c r="L214" s="185"/>
      <c r="M214" s="186"/>
      <c r="N214" s="163" t="str">
        <f t="shared" si="13"/>
        <v/>
      </c>
      <c r="O214" s="126" t="str">
        <f t="shared" si="12"/>
        <v>-</v>
      </c>
      <c r="P214" s="164"/>
      <c r="Q214" s="164"/>
      <c r="R214" s="164"/>
      <c r="S214" s="164"/>
      <c r="T214" s="164"/>
      <c r="U214" s="164"/>
      <c r="V214" s="166"/>
      <c r="W214" s="164"/>
      <c r="X214" s="164"/>
      <c r="Y214" s="164"/>
    </row>
    <row r="215" spans="1:25" ht="27" customHeight="1">
      <c r="A215" s="172" t="s">
        <v>44</v>
      </c>
      <c r="B215" s="173"/>
      <c r="C215" s="174"/>
      <c r="D215" s="175"/>
      <c r="E215" s="175">
        <f>SUM(E195:E214)</f>
        <v>0</v>
      </c>
      <c r="F215" s="176"/>
      <c r="G215" s="176"/>
      <c r="H215" s="176"/>
      <c r="I215" s="176"/>
      <c r="J215" s="176"/>
      <c r="K215" s="176"/>
      <c r="L215" s="176"/>
      <c r="M215" s="177"/>
      <c r="N215" s="163" t="str">
        <f t="shared" si="13"/>
        <v/>
      </c>
      <c r="O215" s="126"/>
      <c r="P215" s="164"/>
      <c r="Q215" s="164"/>
      <c r="R215" s="164"/>
      <c r="S215" s="164"/>
      <c r="T215" s="164"/>
      <c r="U215" s="164"/>
      <c r="V215" s="166"/>
      <c r="W215" s="164"/>
      <c r="X215" s="164"/>
      <c r="Y215" s="164"/>
    </row>
    <row r="216" spans="1:25" ht="27" customHeight="1">
      <c r="A216" s="187"/>
      <c r="B216" s="188"/>
      <c r="C216" s="188"/>
      <c r="D216" s="189"/>
      <c r="E216" s="189"/>
      <c r="F216" s="190"/>
      <c r="G216" s="190"/>
      <c r="H216" s="190"/>
      <c r="I216" s="190"/>
      <c r="J216" s="190"/>
      <c r="K216" s="190"/>
      <c r="L216" s="190"/>
      <c r="M216" s="191"/>
      <c r="N216" s="163" t="str">
        <f t="shared" si="13"/>
        <v/>
      </c>
      <c r="O216" s="126" t="str">
        <f>IF(D216&gt;=E216,"-","ERR")</f>
        <v>-</v>
      </c>
      <c r="P216" s="164"/>
      <c r="Q216" s="164"/>
      <c r="R216" s="164"/>
      <c r="S216" s="164"/>
      <c r="T216" s="164"/>
      <c r="U216" s="164"/>
      <c r="V216" s="164"/>
    </row>
    <row r="217" spans="1:25" ht="27" customHeight="1">
      <c r="A217" s="192"/>
      <c r="B217" s="178"/>
      <c r="C217" s="178"/>
      <c r="D217" s="193"/>
      <c r="E217" s="193"/>
      <c r="F217" s="180"/>
      <c r="G217" s="180"/>
      <c r="H217" s="180"/>
      <c r="I217" s="180"/>
      <c r="J217" s="180"/>
      <c r="K217" s="180"/>
      <c r="L217" s="180"/>
      <c r="M217" s="181"/>
      <c r="N217" s="163" t="str">
        <f t="shared" si="13"/>
        <v/>
      </c>
      <c r="O217" s="126" t="str">
        <f t="shared" ref="O217:O235" si="14">IF(D217&gt;=E217,"-","ERR")</f>
        <v>-</v>
      </c>
      <c r="P217" s="164"/>
      <c r="Q217" s="164"/>
      <c r="R217" s="164"/>
      <c r="S217" s="164"/>
      <c r="T217" s="164"/>
      <c r="U217" s="164"/>
      <c r="V217" s="164"/>
    </row>
    <row r="218" spans="1:25" ht="27" customHeight="1">
      <c r="A218" s="192"/>
      <c r="B218" s="178"/>
      <c r="C218" s="178"/>
      <c r="D218" s="193"/>
      <c r="E218" s="193"/>
      <c r="F218" s="180"/>
      <c r="G218" s="180"/>
      <c r="H218" s="180"/>
      <c r="I218" s="180"/>
      <c r="J218" s="180"/>
      <c r="K218" s="180"/>
      <c r="L218" s="180"/>
      <c r="M218" s="181"/>
      <c r="N218" s="163" t="str">
        <f t="shared" si="13"/>
        <v/>
      </c>
      <c r="O218" s="126" t="str">
        <f t="shared" si="14"/>
        <v>-</v>
      </c>
      <c r="P218" s="164"/>
      <c r="Q218" s="164"/>
      <c r="R218" s="164"/>
      <c r="S218" s="164"/>
      <c r="T218" s="164"/>
      <c r="U218" s="164"/>
      <c r="V218" s="164"/>
    </row>
    <row r="219" spans="1:25" ht="27" customHeight="1">
      <c r="A219" s="192"/>
      <c r="B219" s="178"/>
      <c r="C219" s="178"/>
      <c r="D219" s="193"/>
      <c r="E219" s="193"/>
      <c r="F219" s="180"/>
      <c r="G219" s="180"/>
      <c r="H219" s="180"/>
      <c r="I219" s="180"/>
      <c r="J219" s="180"/>
      <c r="K219" s="180"/>
      <c r="L219" s="180"/>
      <c r="M219" s="181"/>
      <c r="N219" s="163" t="str">
        <f t="shared" si="13"/>
        <v/>
      </c>
      <c r="O219" s="126" t="str">
        <f t="shared" si="14"/>
        <v>-</v>
      </c>
      <c r="P219" s="164"/>
      <c r="Q219" s="164"/>
      <c r="R219" s="164"/>
      <c r="S219" s="164"/>
      <c r="T219" s="164"/>
      <c r="U219" s="164"/>
      <c r="V219" s="164"/>
    </row>
    <row r="220" spans="1:25" ht="27" customHeight="1">
      <c r="A220" s="192"/>
      <c r="B220" s="178"/>
      <c r="C220" s="178"/>
      <c r="D220" s="193"/>
      <c r="E220" s="193"/>
      <c r="F220" s="180"/>
      <c r="G220" s="180"/>
      <c r="H220" s="180"/>
      <c r="I220" s="180"/>
      <c r="J220" s="180"/>
      <c r="K220" s="180"/>
      <c r="L220" s="180"/>
      <c r="M220" s="181"/>
      <c r="N220" s="163" t="str">
        <f t="shared" si="13"/>
        <v/>
      </c>
      <c r="O220" s="126" t="str">
        <f t="shared" si="14"/>
        <v>-</v>
      </c>
      <c r="P220" s="164"/>
      <c r="Q220" s="164"/>
      <c r="R220" s="164"/>
      <c r="S220" s="164"/>
      <c r="T220" s="164"/>
      <c r="U220" s="164"/>
      <c r="V220" s="164"/>
    </row>
    <row r="221" spans="1:25" ht="27" customHeight="1">
      <c r="A221" s="192"/>
      <c r="B221" s="178"/>
      <c r="C221" s="178"/>
      <c r="D221" s="193"/>
      <c r="E221" s="193"/>
      <c r="F221" s="180"/>
      <c r="G221" s="180"/>
      <c r="H221" s="180"/>
      <c r="I221" s="180"/>
      <c r="J221" s="180"/>
      <c r="K221" s="180"/>
      <c r="L221" s="180"/>
      <c r="M221" s="181"/>
      <c r="N221" s="163" t="str">
        <f t="shared" si="13"/>
        <v/>
      </c>
      <c r="O221" s="126" t="str">
        <f t="shared" si="14"/>
        <v>-</v>
      </c>
      <c r="P221" s="164"/>
      <c r="Q221" s="164"/>
      <c r="R221" s="164"/>
      <c r="S221" s="164"/>
      <c r="T221" s="164"/>
      <c r="U221" s="164"/>
      <c r="V221" s="164"/>
    </row>
    <row r="222" spans="1:25" ht="27" customHeight="1">
      <c r="A222" s="192"/>
      <c r="B222" s="178"/>
      <c r="C222" s="178"/>
      <c r="D222" s="193"/>
      <c r="E222" s="193"/>
      <c r="F222" s="180"/>
      <c r="G222" s="180"/>
      <c r="H222" s="180"/>
      <c r="I222" s="180"/>
      <c r="J222" s="180"/>
      <c r="K222" s="180"/>
      <c r="L222" s="180"/>
      <c r="M222" s="181"/>
      <c r="N222" s="163" t="str">
        <f t="shared" si="13"/>
        <v/>
      </c>
      <c r="O222" s="126" t="str">
        <f t="shared" si="14"/>
        <v>-</v>
      </c>
      <c r="P222" s="164"/>
      <c r="Q222" s="164"/>
      <c r="R222" s="164"/>
      <c r="S222" s="164"/>
      <c r="T222" s="164"/>
      <c r="U222" s="164"/>
      <c r="V222" s="164"/>
    </row>
    <row r="223" spans="1:25" ht="27" customHeight="1">
      <c r="A223" s="192"/>
      <c r="B223" s="178"/>
      <c r="C223" s="178"/>
      <c r="D223" s="193"/>
      <c r="E223" s="193"/>
      <c r="F223" s="180"/>
      <c r="G223" s="180"/>
      <c r="H223" s="180"/>
      <c r="I223" s="180"/>
      <c r="J223" s="180"/>
      <c r="K223" s="180"/>
      <c r="L223" s="180"/>
      <c r="M223" s="181"/>
      <c r="N223" s="163" t="str">
        <f t="shared" si="13"/>
        <v/>
      </c>
      <c r="O223" s="126" t="str">
        <f t="shared" si="14"/>
        <v>-</v>
      </c>
      <c r="P223" s="164"/>
      <c r="Q223" s="164"/>
      <c r="R223" s="164"/>
      <c r="S223" s="164"/>
      <c r="T223" s="164"/>
      <c r="U223" s="164"/>
      <c r="V223" s="164"/>
    </row>
    <row r="224" spans="1:25" ht="27" customHeight="1">
      <c r="A224" s="192"/>
      <c r="B224" s="178"/>
      <c r="C224" s="178"/>
      <c r="D224" s="193"/>
      <c r="E224" s="193"/>
      <c r="F224" s="180"/>
      <c r="G224" s="180"/>
      <c r="H224" s="180"/>
      <c r="I224" s="180"/>
      <c r="J224" s="180"/>
      <c r="K224" s="180"/>
      <c r="L224" s="180"/>
      <c r="M224" s="181"/>
      <c r="N224" s="163" t="str">
        <f t="shared" si="13"/>
        <v/>
      </c>
      <c r="O224" s="126" t="str">
        <f t="shared" si="14"/>
        <v>-</v>
      </c>
      <c r="P224" s="164"/>
      <c r="Q224" s="164"/>
      <c r="R224" s="164"/>
      <c r="S224" s="164"/>
      <c r="T224" s="164"/>
      <c r="U224" s="164"/>
      <c r="V224" s="164"/>
    </row>
    <row r="225" spans="1:25" ht="27" customHeight="1">
      <c r="A225" s="192"/>
      <c r="B225" s="178"/>
      <c r="C225" s="178"/>
      <c r="D225" s="193"/>
      <c r="E225" s="193"/>
      <c r="F225" s="180"/>
      <c r="G225" s="180"/>
      <c r="H225" s="180"/>
      <c r="I225" s="180"/>
      <c r="J225" s="180"/>
      <c r="K225" s="180"/>
      <c r="L225" s="180"/>
      <c r="M225" s="181"/>
      <c r="N225" s="163" t="str">
        <f t="shared" si="13"/>
        <v/>
      </c>
      <c r="O225" s="126" t="str">
        <f t="shared" si="14"/>
        <v>-</v>
      </c>
      <c r="P225" s="164"/>
      <c r="Q225" s="164"/>
      <c r="R225" s="164"/>
      <c r="S225" s="164"/>
      <c r="T225" s="164"/>
      <c r="U225" s="164"/>
      <c r="V225" s="164"/>
    </row>
    <row r="226" spans="1:25" ht="27" customHeight="1">
      <c r="A226" s="192"/>
      <c r="B226" s="178"/>
      <c r="C226" s="178"/>
      <c r="D226" s="193"/>
      <c r="E226" s="193"/>
      <c r="F226" s="180"/>
      <c r="G226" s="180"/>
      <c r="H226" s="180"/>
      <c r="I226" s="180"/>
      <c r="J226" s="180"/>
      <c r="K226" s="180"/>
      <c r="L226" s="180"/>
      <c r="M226" s="181"/>
      <c r="N226" s="163" t="str">
        <f t="shared" si="13"/>
        <v/>
      </c>
      <c r="O226" s="126" t="str">
        <f t="shared" si="14"/>
        <v>-</v>
      </c>
      <c r="P226" s="164"/>
      <c r="Q226" s="164"/>
      <c r="R226" s="164"/>
      <c r="S226" s="164"/>
      <c r="T226" s="164"/>
      <c r="U226" s="164"/>
      <c r="V226" s="164"/>
    </row>
    <row r="227" spans="1:25" ht="27" customHeight="1">
      <c r="A227" s="192"/>
      <c r="B227" s="178"/>
      <c r="C227" s="178"/>
      <c r="D227" s="193"/>
      <c r="E227" s="193"/>
      <c r="F227" s="180"/>
      <c r="G227" s="180"/>
      <c r="H227" s="180"/>
      <c r="I227" s="180"/>
      <c r="J227" s="180"/>
      <c r="K227" s="180"/>
      <c r="L227" s="180"/>
      <c r="M227" s="181"/>
      <c r="N227" s="163" t="str">
        <f t="shared" si="13"/>
        <v/>
      </c>
      <c r="O227" s="126" t="str">
        <f t="shared" si="14"/>
        <v>-</v>
      </c>
      <c r="P227" s="164"/>
      <c r="Q227" s="164"/>
      <c r="R227" s="164"/>
      <c r="S227" s="164"/>
      <c r="T227" s="164"/>
      <c r="U227" s="164"/>
      <c r="V227" s="164"/>
    </row>
    <row r="228" spans="1:25" ht="27" customHeight="1">
      <c r="A228" s="192"/>
      <c r="B228" s="178"/>
      <c r="C228" s="178"/>
      <c r="D228" s="193"/>
      <c r="E228" s="193"/>
      <c r="F228" s="180"/>
      <c r="G228" s="180"/>
      <c r="H228" s="180"/>
      <c r="I228" s="180"/>
      <c r="J228" s="180"/>
      <c r="K228" s="180"/>
      <c r="L228" s="180"/>
      <c r="M228" s="181"/>
      <c r="N228" s="163" t="str">
        <f t="shared" si="13"/>
        <v/>
      </c>
      <c r="O228" s="126" t="str">
        <f t="shared" si="14"/>
        <v>-</v>
      </c>
      <c r="P228" s="164"/>
      <c r="Q228" s="164"/>
      <c r="R228" s="164"/>
      <c r="S228" s="164"/>
      <c r="T228" s="164"/>
      <c r="U228" s="164"/>
      <c r="V228" s="164"/>
    </row>
    <row r="229" spans="1:25" ht="27" customHeight="1">
      <c r="A229" s="192"/>
      <c r="B229" s="178"/>
      <c r="C229" s="178"/>
      <c r="D229" s="193"/>
      <c r="E229" s="193"/>
      <c r="F229" s="180"/>
      <c r="G229" s="180"/>
      <c r="H229" s="180"/>
      <c r="I229" s="180"/>
      <c r="J229" s="180"/>
      <c r="K229" s="180"/>
      <c r="L229" s="180"/>
      <c r="M229" s="181"/>
      <c r="N229" s="163" t="str">
        <f t="shared" si="13"/>
        <v/>
      </c>
      <c r="O229" s="126" t="str">
        <f t="shared" si="14"/>
        <v>-</v>
      </c>
      <c r="P229" s="164"/>
      <c r="Q229" s="164"/>
      <c r="R229" s="164"/>
      <c r="S229" s="164"/>
      <c r="T229" s="164"/>
      <c r="U229" s="164"/>
      <c r="V229" s="164"/>
    </row>
    <row r="230" spans="1:25" ht="27" customHeight="1">
      <c r="A230" s="192"/>
      <c r="B230" s="178"/>
      <c r="C230" s="178"/>
      <c r="D230" s="193"/>
      <c r="E230" s="193"/>
      <c r="F230" s="180"/>
      <c r="G230" s="180"/>
      <c r="H230" s="180"/>
      <c r="I230" s="180"/>
      <c r="J230" s="180"/>
      <c r="K230" s="180"/>
      <c r="L230" s="180"/>
      <c r="M230" s="181"/>
      <c r="N230" s="163" t="str">
        <f t="shared" si="13"/>
        <v/>
      </c>
      <c r="O230" s="126" t="str">
        <f t="shared" si="14"/>
        <v>-</v>
      </c>
      <c r="P230" s="164"/>
      <c r="Q230" s="164"/>
      <c r="R230" s="164"/>
      <c r="S230" s="164"/>
      <c r="T230" s="164"/>
      <c r="U230" s="164"/>
      <c r="V230" s="164"/>
    </row>
    <row r="231" spans="1:25" ht="27" customHeight="1">
      <c r="A231" s="192"/>
      <c r="B231" s="178"/>
      <c r="C231" s="178"/>
      <c r="D231" s="193"/>
      <c r="E231" s="193"/>
      <c r="F231" s="180"/>
      <c r="G231" s="180"/>
      <c r="H231" s="180"/>
      <c r="I231" s="180"/>
      <c r="J231" s="180"/>
      <c r="K231" s="180"/>
      <c r="L231" s="180"/>
      <c r="M231" s="181"/>
      <c r="N231" s="163" t="str">
        <f t="shared" si="13"/>
        <v/>
      </c>
      <c r="O231" s="126" t="str">
        <f t="shared" si="14"/>
        <v>-</v>
      </c>
      <c r="P231" s="164"/>
      <c r="Q231" s="164"/>
      <c r="R231" s="164"/>
      <c r="S231" s="164"/>
      <c r="T231" s="164"/>
      <c r="U231" s="164"/>
      <c r="V231" s="165"/>
    </row>
    <row r="232" spans="1:25" ht="27" customHeight="1">
      <c r="A232" s="192"/>
      <c r="B232" s="178"/>
      <c r="C232" s="178"/>
      <c r="D232" s="193"/>
      <c r="E232" s="193"/>
      <c r="F232" s="180"/>
      <c r="G232" s="180"/>
      <c r="H232" s="180"/>
      <c r="I232" s="180"/>
      <c r="J232" s="180"/>
      <c r="K232" s="180"/>
      <c r="L232" s="180"/>
      <c r="M232" s="181"/>
      <c r="N232" s="163" t="str">
        <f t="shared" si="13"/>
        <v/>
      </c>
      <c r="O232" s="126" t="str">
        <f t="shared" si="14"/>
        <v>-</v>
      </c>
      <c r="P232" s="164"/>
      <c r="Q232" s="164"/>
      <c r="R232" s="164"/>
      <c r="S232" s="164"/>
      <c r="T232" s="164"/>
      <c r="U232" s="164"/>
      <c r="V232" s="165"/>
    </row>
    <row r="233" spans="1:25" ht="27" customHeight="1">
      <c r="A233" s="192"/>
      <c r="B233" s="178"/>
      <c r="C233" s="178"/>
      <c r="D233" s="193"/>
      <c r="E233" s="193"/>
      <c r="F233" s="180"/>
      <c r="G233" s="180"/>
      <c r="H233" s="180"/>
      <c r="I233" s="180"/>
      <c r="J233" s="180"/>
      <c r="K233" s="180"/>
      <c r="L233" s="180"/>
      <c r="M233" s="181"/>
      <c r="N233" s="163" t="str">
        <f>CONCATENATE(C233,H233)</f>
        <v/>
      </c>
      <c r="O233" s="126" t="str">
        <f t="shared" si="14"/>
        <v>-</v>
      </c>
      <c r="P233" s="164"/>
      <c r="Q233" s="164"/>
      <c r="R233" s="164"/>
      <c r="S233" s="164"/>
      <c r="T233" s="164"/>
      <c r="U233" s="164"/>
      <c r="V233" s="165"/>
    </row>
    <row r="234" spans="1:25" ht="27" customHeight="1">
      <c r="A234" s="192"/>
      <c r="B234" s="178"/>
      <c r="C234" s="178"/>
      <c r="D234" s="193"/>
      <c r="E234" s="193"/>
      <c r="F234" s="180"/>
      <c r="G234" s="180"/>
      <c r="H234" s="180"/>
      <c r="I234" s="180"/>
      <c r="J234" s="180"/>
      <c r="K234" s="180"/>
      <c r="L234" s="180"/>
      <c r="M234" s="181"/>
      <c r="N234" s="163" t="str">
        <f>CONCATENATE(C234,H234)</f>
        <v/>
      </c>
      <c r="O234" s="126" t="str">
        <f t="shared" si="14"/>
        <v>-</v>
      </c>
      <c r="P234" s="164"/>
      <c r="Q234" s="164"/>
      <c r="R234" s="164"/>
      <c r="S234" s="164"/>
      <c r="T234" s="164"/>
      <c r="U234" s="164"/>
      <c r="V234" s="165"/>
    </row>
    <row r="235" spans="1:25" ht="27" customHeight="1">
      <c r="A235" s="192"/>
      <c r="B235" s="178"/>
      <c r="C235" s="178"/>
      <c r="D235" s="193"/>
      <c r="E235" s="193"/>
      <c r="F235" s="180"/>
      <c r="G235" s="180"/>
      <c r="H235" s="180"/>
      <c r="I235" s="180"/>
      <c r="J235" s="180"/>
      <c r="K235" s="180"/>
      <c r="L235" s="180"/>
      <c r="M235" s="181"/>
      <c r="N235" s="163" t="str">
        <f>CONCATENATE(C235,H235)</f>
        <v/>
      </c>
      <c r="O235" s="126" t="str">
        <f t="shared" si="14"/>
        <v>-</v>
      </c>
      <c r="P235" s="164"/>
      <c r="Q235" s="164"/>
      <c r="R235" s="164"/>
      <c r="S235" s="164"/>
      <c r="T235" s="164"/>
      <c r="U235" s="164"/>
      <c r="V235" s="166"/>
      <c r="W235" s="164"/>
      <c r="X235" s="164"/>
      <c r="Y235" s="164"/>
    </row>
    <row r="236" spans="1:25" ht="27" customHeight="1">
      <c r="A236" s="172" t="s">
        <v>44</v>
      </c>
      <c r="B236" s="173"/>
      <c r="C236" s="174"/>
      <c r="D236" s="194"/>
      <c r="E236" s="194">
        <f>SUM(E216:E235)</f>
        <v>0</v>
      </c>
      <c r="F236" s="176"/>
      <c r="G236" s="176"/>
      <c r="H236" s="176"/>
      <c r="I236" s="176"/>
      <c r="J236" s="176"/>
      <c r="K236" s="176"/>
      <c r="L236" s="176"/>
      <c r="M236" s="177"/>
      <c r="N236" s="163" t="str">
        <f>CONCATENATE(C236,H236)</f>
        <v/>
      </c>
      <c r="O236" s="126"/>
      <c r="P236" s="164"/>
      <c r="Q236" s="164"/>
      <c r="R236" s="164"/>
      <c r="S236" s="164"/>
      <c r="T236" s="164"/>
      <c r="U236" s="164"/>
      <c r="V236" s="166"/>
      <c r="W236" s="164"/>
      <c r="X236" s="164"/>
      <c r="Y236" s="164"/>
    </row>
    <row r="237" spans="1:25" ht="27" customHeight="1">
      <c r="A237" s="187"/>
      <c r="B237" s="188"/>
      <c r="C237" s="188"/>
      <c r="D237" s="189"/>
      <c r="E237" s="189"/>
      <c r="F237" s="190"/>
      <c r="G237" s="190"/>
      <c r="H237" s="190"/>
      <c r="I237" s="190"/>
      <c r="J237" s="190"/>
      <c r="K237" s="190"/>
      <c r="L237" s="190"/>
      <c r="M237" s="191"/>
      <c r="N237" s="163" t="str">
        <f>CONCATENATE(C237,H237)</f>
        <v/>
      </c>
      <c r="O237" s="126" t="str">
        <f>IF(D237&gt;=E237,"-","ERR")</f>
        <v>-</v>
      </c>
      <c r="P237" s="164"/>
      <c r="Q237" s="164"/>
      <c r="R237" s="164"/>
      <c r="S237" s="164"/>
      <c r="T237" s="164"/>
      <c r="U237" s="164"/>
      <c r="V237" s="164"/>
    </row>
    <row r="238" spans="1:25" ht="27" customHeight="1">
      <c r="A238" s="192"/>
      <c r="B238" s="178"/>
      <c r="C238" s="178"/>
      <c r="D238" s="193"/>
      <c r="E238" s="193"/>
      <c r="F238" s="180"/>
      <c r="G238" s="180"/>
      <c r="H238" s="180"/>
      <c r="I238" s="180"/>
      <c r="J238" s="180"/>
      <c r="K238" s="180"/>
      <c r="L238" s="180"/>
      <c r="M238" s="181"/>
      <c r="N238" s="163" t="str">
        <f t="shared" ref="N238:N257" si="15">CONCATENATE(C238,H238)</f>
        <v/>
      </c>
      <c r="O238" s="126" t="str">
        <f t="shared" ref="O238:O256" si="16">IF(D238&gt;=E238,"-","ERR")</f>
        <v>-</v>
      </c>
      <c r="P238" s="164"/>
      <c r="Q238" s="164"/>
      <c r="R238" s="164"/>
      <c r="S238" s="164"/>
      <c r="T238" s="164"/>
      <c r="U238" s="164"/>
      <c r="V238" s="164"/>
    </row>
    <row r="239" spans="1:25" ht="27" customHeight="1">
      <c r="A239" s="192"/>
      <c r="B239" s="178"/>
      <c r="C239" s="178"/>
      <c r="D239" s="193"/>
      <c r="E239" s="193"/>
      <c r="F239" s="180"/>
      <c r="G239" s="180"/>
      <c r="H239" s="180"/>
      <c r="I239" s="180"/>
      <c r="J239" s="180"/>
      <c r="K239" s="180"/>
      <c r="L239" s="180"/>
      <c r="M239" s="181"/>
      <c r="N239" s="163" t="str">
        <f t="shared" si="15"/>
        <v/>
      </c>
      <c r="O239" s="126" t="str">
        <f t="shared" si="16"/>
        <v>-</v>
      </c>
      <c r="P239" s="164"/>
      <c r="Q239" s="164"/>
      <c r="R239" s="164"/>
      <c r="S239" s="164"/>
      <c r="T239" s="164"/>
      <c r="U239" s="164"/>
      <c r="V239" s="164"/>
    </row>
    <row r="240" spans="1:25" ht="27" customHeight="1">
      <c r="A240" s="192"/>
      <c r="B240" s="178"/>
      <c r="C240" s="178"/>
      <c r="D240" s="193"/>
      <c r="E240" s="193"/>
      <c r="F240" s="180"/>
      <c r="G240" s="180"/>
      <c r="H240" s="180"/>
      <c r="I240" s="180"/>
      <c r="J240" s="180"/>
      <c r="K240" s="180"/>
      <c r="L240" s="180"/>
      <c r="M240" s="181"/>
      <c r="N240" s="163" t="str">
        <f t="shared" si="15"/>
        <v/>
      </c>
      <c r="O240" s="126" t="str">
        <f t="shared" si="16"/>
        <v>-</v>
      </c>
      <c r="P240" s="164"/>
      <c r="Q240" s="164"/>
      <c r="R240" s="164"/>
      <c r="S240" s="164"/>
      <c r="T240" s="164"/>
      <c r="U240" s="164"/>
      <c r="V240" s="164"/>
    </row>
    <row r="241" spans="1:25" ht="27" customHeight="1">
      <c r="A241" s="192"/>
      <c r="B241" s="178"/>
      <c r="C241" s="178"/>
      <c r="D241" s="193"/>
      <c r="E241" s="193"/>
      <c r="F241" s="180"/>
      <c r="G241" s="180"/>
      <c r="H241" s="180"/>
      <c r="I241" s="180"/>
      <c r="J241" s="180"/>
      <c r="K241" s="180"/>
      <c r="L241" s="180"/>
      <c r="M241" s="181"/>
      <c r="N241" s="163" t="str">
        <f t="shared" si="15"/>
        <v/>
      </c>
      <c r="O241" s="126" t="str">
        <f t="shared" si="16"/>
        <v>-</v>
      </c>
      <c r="P241" s="164"/>
      <c r="Q241" s="164"/>
      <c r="R241" s="164"/>
      <c r="S241" s="164"/>
      <c r="T241" s="164"/>
      <c r="U241" s="164"/>
      <c r="V241" s="164"/>
    </row>
    <row r="242" spans="1:25" ht="27" customHeight="1">
      <c r="A242" s="192" t="str">
        <f>IF(ISBLANK(C242)," ",237-COUNTBLANK($C$6:C242))</f>
        <v xml:space="preserve"> </v>
      </c>
      <c r="B242" s="178"/>
      <c r="C242" s="178"/>
      <c r="D242" s="193"/>
      <c r="E242" s="193"/>
      <c r="F242" s="180"/>
      <c r="G242" s="180"/>
      <c r="H242" s="180"/>
      <c r="I242" s="180"/>
      <c r="J242" s="180"/>
      <c r="K242" s="180"/>
      <c r="L242" s="180"/>
      <c r="M242" s="181"/>
      <c r="N242" s="163" t="str">
        <f t="shared" si="15"/>
        <v/>
      </c>
      <c r="O242" s="126" t="str">
        <f t="shared" si="16"/>
        <v>-</v>
      </c>
      <c r="P242" s="164"/>
      <c r="Q242" s="164"/>
      <c r="R242" s="164"/>
      <c r="S242" s="164"/>
      <c r="T242" s="164"/>
      <c r="U242" s="164"/>
      <c r="V242" s="164"/>
    </row>
    <row r="243" spans="1:25" ht="27" customHeight="1">
      <c r="A243" s="192" t="str">
        <f>IF(ISBLANK(C243)," ",238-COUNTBLANK($C$6:C243))</f>
        <v xml:space="preserve"> </v>
      </c>
      <c r="B243" s="178"/>
      <c r="C243" s="178"/>
      <c r="D243" s="193"/>
      <c r="E243" s="193"/>
      <c r="F243" s="180"/>
      <c r="G243" s="180"/>
      <c r="H243" s="180"/>
      <c r="I243" s="180"/>
      <c r="J243" s="180"/>
      <c r="K243" s="180"/>
      <c r="L243" s="180"/>
      <c r="M243" s="181"/>
      <c r="N243" s="163" t="str">
        <f t="shared" si="15"/>
        <v/>
      </c>
      <c r="O243" s="126" t="str">
        <f t="shared" si="16"/>
        <v>-</v>
      </c>
      <c r="P243" s="164"/>
      <c r="Q243" s="164"/>
      <c r="R243" s="164"/>
      <c r="S243" s="164"/>
      <c r="T243" s="164"/>
      <c r="U243" s="164"/>
      <c r="V243" s="164"/>
    </row>
    <row r="244" spans="1:25" ht="27" customHeight="1">
      <c r="A244" s="192" t="str">
        <f>IF(ISBLANK(C244)," ",239-COUNTBLANK($C$6:C244))</f>
        <v xml:space="preserve"> </v>
      </c>
      <c r="B244" s="178"/>
      <c r="C244" s="178"/>
      <c r="D244" s="193"/>
      <c r="E244" s="193"/>
      <c r="F244" s="180"/>
      <c r="G244" s="180"/>
      <c r="H244" s="180"/>
      <c r="I244" s="180"/>
      <c r="J244" s="180"/>
      <c r="K244" s="180"/>
      <c r="L244" s="180"/>
      <c r="M244" s="181"/>
      <c r="N244" s="163" t="str">
        <f t="shared" si="15"/>
        <v/>
      </c>
      <c r="O244" s="126" t="str">
        <f t="shared" si="16"/>
        <v>-</v>
      </c>
      <c r="P244" s="164"/>
      <c r="Q244" s="164"/>
      <c r="R244" s="164"/>
      <c r="S244" s="164"/>
      <c r="T244" s="164"/>
      <c r="U244" s="164"/>
      <c r="V244" s="164"/>
    </row>
    <row r="245" spans="1:25" ht="27" customHeight="1">
      <c r="A245" s="192" t="str">
        <f>IF(ISBLANK(C245)," ",240-COUNTBLANK($C$6:C245))</f>
        <v xml:space="preserve"> </v>
      </c>
      <c r="B245" s="178"/>
      <c r="C245" s="178"/>
      <c r="D245" s="193"/>
      <c r="E245" s="193"/>
      <c r="F245" s="180"/>
      <c r="G245" s="180"/>
      <c r="H245" s="180"/>
      <c r="I245" s="180"/>
      <c r="J245" s="180"/>
      <c r="K245" s="180"/>
      <c r="L245" s="180"/>
      <c r="M245" s="181"/>
      <c r="N245" s="163" t="str">
        <f t="shared" si="15"/>
        <v/>
      </c>
      <c r="O245" s="126" t="str">
        <f t="shared" si="16"/>
        <v>-</v>
      </c>
      <c r="P245" s="164"/>
      <c r="Q245" s="164"/>
      <c r="R245" s="164"/>
      <c r="S245" s="164"/>
      <c r="T245" s="164"/>
      <c r="U245" s="164"/>
      <c r="V245" s="164"/>
    </row>
    <row r="246" spans="1:25" ht="27" customHeight="1">
      <c r="A246" s="192" t="str">
        <f>IF(ISBLANK(C246)," ",241-COUNTBLANK($C$6:C246))</f>
        <v xml:space="preserve"> </v>
      </c>
      <c r="B246" s="178"/>
      <c r="C246" s="178"/>
      <c r="D246" s="193"/>
      <c r="E246" s="193"/>
      <c r="F246" s="180"/>
      <c r="G246" s="180"/>
      <c r="H246" s="180"/>
      <c r="I246" s="180"/>
      <c r="J246" s="180"/>
      <c r="K246" s="180"/>
      <c r="L246" s="180"/>
      <c r="M246" s="181"/>
      <c r="N246" s="163" t="str">
        <f t="shared" si="15"/>
        <v/>
      </c>
      <c r="O246" s="126" t="str">
        <f t="shared" si="16"/>
        <v>-</v>
      </c>
      <c r="P246" s="164"/>
      <c r="Q246" s="164"/>
      <c r="R246" s="164"/>
      <c r="S246" s="164"/>
      <c r="T246" s="164"/>
      <c r="U246" s="164"/>
      <c r="V246" s="164"/>
    </row>
    <row r="247" spans="1:25" ht="27" customHeight="1">
      <c r="A247" s="192" t="str">
        <f>IF(ISBLANK(C247)," ",242-COUNTBLANK($C$6:C247))</f>
        <v xml:space="preserve"> </v>
      </c>
      <c r="B247" s="178"/>
      <c r="C247" s="178"/>
      <c r="D247" s="193"/>
      <c r="E247" s="193"/>
      <c r="F247" s="180"/>
      <c r="G247" s="180"/>
      <c r="H247" s="180"/>
      <c r="I247" s="180"/>
      <c r="J247" s="180"/>
      <c r="K247" s="180"/>
      <c r="L247" s="180"/>
      <c r="M247" s="181"/>
      <c r="N247" s="163" t="str">
        <f t="shared" si="15"/>
        <v/>
      </c>
      <c r="O247" s="126" t="str">
        <f t="shared" si="16"/>
        <v>-</v>
      </c>
      <c r="P247" s="164"/>
      <c r="Q247" s="164"/>
      <c r="R247" s="164"/>
      <c r="S247" s="164"/>
      <c r="T247" s="164"/>
      <c r="U247" s="164"/>
      <c r="V247" s="164"/>
    </row>
    <row r="248" spans="1:25" ht="27" customHeight="1">
      <c r="A248" s="192" t="str">
        <f>IF(ISBLANK(C248)," ",243-COUNTBLANK($C$6:C248))</f>
        <v xml:space="preserve"> </v>
      </c>
      <c r="B248" s="178"/>
      <c r="C248" s="178"/>
      <c r="D248" s="193"/>
      <c r="E248" s="193"/>
      <c r="F248" s="180"/>
      <c r="G248" s="180"/>
      <c r="H248" s="180"/>
      <c r="I248" s="180"/>
      <c r="J248" s="180"/>
      <c r="K248" s="180"/>
      <c r="L248" s="180"/>
      <c r="M248" s="181"/>
      <c r="N248" s="163" t="str">
        <f t="shared" si="15"/>
        <v/>
      </c>
      <c r="O248" s="126" t="str">
        <f t="shared" si="16"/>
        <v>-</v>
      </c>
      <c r="P248" s="164"/>
      <c r="Q248" s="164"/>
      <c r="R248" s="164"/>
      <c r="S248" s="164"/>
      <c r="T248" s="164"/>
      <c r="U248" s="164"/>
      <c r="V248" s="164"/>
    </row>
    <row r="249" spans="1:25" ht="27" customHeight="1">
      <c r="A249" s="192" t="str">
        <f>IF(ISBLANK(C249)," ",244-COUNTBLANK($C$6:C249))</f>
        <v xml:space="preserve"> </v>
      </c>
      <c r="B249" s="178"/>
      <c r="C249" s="178"/>
      <c r="D249" s="193"/>
      <c r="E249" s="193"/>
      <c r="F249" s="180"/>
      <c r="G249" s="180"/>
      <c r="H249" s="180"/>
      <c r="I249" s="180"/>
      <c r="J249" s="180"/>
      <c r="K249" s="180"/>
      <c r="L249" s="180"/>
      <c r="M249" s="181"/>
      <c r="N249" s="163" t="str">
        <f t="shared" si="15"/>
        <v/>
      </c>
      <c r="O249" s="126" t="str">
        <f t="shared" si="16"/>
        <v>-</v>
      </c>
      <c r="P249" s="164"/>
      <c r="Q249" s="164"/>
      <c r="R249" s="164"/>
      <c r="S249" s="164"/>
      <c r="T249" s="164"/>
      <c r="U249" s="164"/>
      <c r="V249" s="164"/>
    </row>
    <row r="250" spans="1:25" ht="27" customHeight="1">
      <c r="A250" s="192" t="str">
        <f>IF(ISBLANK(C250)," ",245-COUNTBLANK($C$6:C250))</f>
        <v xml:space="preserve"> </v>
      </c>
      <c r="B250" s="178"/>
      <c r="C250" s="178"/>
      <c r="D250" s="193"/>
      <c r="E250" s="193"/>
      <c r="F250" s="180"/>
      <c r="G250" s="180"/>
      <c r="H250" s="180"/>
      <c r="I250" s="180"/>
      <c r="J250" s="180"/>
      <c r="K250" s="180"/>
      <c r="L250" s="180"/>
      <c r="M250" s="181"/>
      <c r="N250" s="163" t="str">
        <f t="shared" si="15"/>
        <v/>
      </c>
      <c r="O250" s="126" t="str">
        <f t="shared" si="16"/>
        <v>-</v>
      </c>
      <c r="P250" s="164"/>
      <c r="Q250" s="164"/>
      <c r="R250" s="164"/>
      <c r="S250" s="164"/>
      <c r="T250" s="164"/>
      <c r="U250" s="164"/>
      <c r="V250" s="164"/>
    </row>
    <row r="251" spans="1:25" ht="27" customHeight="1">
      <c r="A251" s="192" t="str">
        <f>IF(ISBLANK(C251)," ",246-COUNTBLANK($C$6:C251))</f>
        <v xml:space="preserve"> </v>
      </c>
      <c r="B251" s="178"/>
      <c r="C251" s="178"/>
      <c r="D251" s="193"/>
      <c r="E251" s="193"/>
      <c r="F251" s="180"/>
      <c r="G251" s="180"/>
      <c r="H251" s="180"/>
      <c r="I251" s="180"/>
      <c r="J251" s="180"/>
      <c r="K251" s="180"/>
      <c r="L251" s="180"/>
      <c r="M251" s="181"/>
      <c r="N251" s="163" t="str">
        <f t="shared" si="15"/>
        <v/>
      </c>
      <c r="O251" s="126" t="str">
        <f t="shared" si="16"/>
        <v>-</v>
      </c>
      <c r="P251" s="164"/>
      <c r="Q251" s="164"/>
      <c r="R251" s="164"/>
      <c r="S251" s="164"/>
      <c r="T251" s="164"/>
      <c r="U251" s="164"/>
      <c r="V251" s="164"/>
    </row>
    <row r="252" spans="1:25" ht="27" customHeight="1">
      <c r="A252" s="192" t="str">
        <f>IF(ISBLANK(C252)," ",247-COUNTBLANK($C$6:C252))</f>
        <v xml:space="preserve"> </v>
      </c>
      <c r="B252" s="178"/>
      <c r="C252" s="178"/>
      <c r="D252" s="193"/>
      <c r="E252" s="193"/>
      <c r="F252" s="180"/>
      <c r="G252" s="180"/>
      <c r="H252" s="180"/>
      <c r="I252" s="180"/>
      <c r="J252" s="180"/>
      <c r="K252" s="180"/>
      <c r="L252" s="180"/>
      <c r="M252" s="181"/>
      <c r="N252" s="163" t="str">
        <f t="shared" si="15"/>
        <v/>
      </c>
      <c r="O252" s="126" t="str">
        <f t="shared" si="16"/>
        <v>-</v>
      </c>
      <c r="P252" s="164"/>
      <c r="Q252" s="164"/>
      <c r="R252" s="164"/>
      <c r="S252" s="164"/>
      <c r="T252" s="164"/>
      <c r="U252" s="164"/>
      <c r="V252" s="165"/>
    </row>
    <row r="253" spans="1:25" ht="27" customHeight="1">
      <c r="A253" s="192" t="str">
        <f>IF(ISBLANK(C253)," ",248-COUNTBLANK($C$6:C253))</f>
        <v xml:space="preserve"> </v>
      </c>
      <c r="B253" s="178"/>
      <c r="C253" s="178"/>
      <c r="D253" s="193"/>
      <c r="E253" s="193"/>
      <c r="F253" s="180"/>
      <c r="G253" s="180"/>
      <c r="H253" s="180"/>
      <c r="I253" s="180"/>
      <c r="J253" s="180"/>
      <c r="K253" s="180"/>
      <c r="L253" s="180"/>
      <c r="M253" s="181"/>
      <c r="N253" s="163" t="str">
        <f t="shared" si="15"/>
        <v/>
      </c>
      <c r="O253" s="126" t="str">
        <f t="shared" si="16"/>
        <v>-</v>
      </c>
      <c r="P253" s="164"/>
      <c r="Q253" s="164"/>
      <c r="R253" s="164"/>
      <c r="S253" s="164"/>
      <c r="T253" s="164"/>
      <c r="U253" s="164"/>
      <c r="V253" s="165"/>
    </row>
    <row r="254" spans="1:25" ht="27" customHeight="1">
      <c r="A254" s="192" t="str">
        <f>IF(ISBLANK(C254)," ",249-COUNTBLANK($C$6:C254))</f>
        <v xml:space="preserve"> </v>
      </c>
      <c r="B254" s="178"/>
      <c r="C254" s="178"/>
      <c r="D254" s="193"/>
      <c r="E254" s="193"/>
      <c r="F254" s="180"/>
      <c r="G254" s="180"/>
      <c r="H254" s="180"/>
      <c r="I254" s="180"/>
      <c r="J254" s="180"/>
      <c r="K254" s="180"/>
      <c r="L254" s="180"/>
      <c r="M254" s="181"/>
      <c r="N254" s="163" t="str">
        <f t="shared" si="15"/>
        <v/>
      </c>
      <c r="O254" s="126" t="str">
        <f t="shared" si="16"/>
        <v>-</v>
      </c>
      <c r="P254" s="164"/>
      <c r="Q254" s="164"/>
      <c r="R254" s="164"/>
      <c r="S254" s="164"/>
      <c r="T254" s="164"/>
      <c r="U254" s="164"/>
      <c r="V254" s="165"/>
    </row>
    <row r="255" spans="1:25" ht="27" customHeight="1">
      <c r="A255" s="192" t="str">
        <f>IF(ISBLANK(C255)," ",250-COUNTBLANK($C$6:C255))</f>
        <v xml:space="preserve"> </v>
      </c>
      <c r="B255" s="178"/>
      <c r="C255" s="178"/>
      <c r="D255" s="193"/>
      <c r="E255" s="193"/>
      <c r="F255" s="180"/>
      <c r="G255" s="180"/>
      <c r="H255" s="180"/>
      <c r="I255" s="180"/>
      <c r="J255" s="180"/>
      <c r="K255" s="180"/>
      <c r="L255" s="180"/>
      <c r="M255" s="181"/>
      <c r="N255" s="163" t="str">
        <f t="shared" si="15"/>
        <v/>
      </c>
      <c r="O255" s="126" t="str">
        <f t="shared" si="16"/>
        <v>-</v>
      </c>
      <c r="P255" s="164"/>
      <c r="Q255" s="164"/>
      <c r="R255" s="164"/>
      <c r="S255" s="164"/>
      <c r="T255" s="164"/>
      <c r="U255" s="164"/>
      <c r="V255" s="165"/>
    </row>
    <row r="256" spans="1:25" ht="27" customHeight="1">
      <c r="A256" s="192" t="str">
        <f>IF(ISBLANK(C256)," ",251-COUNTBLANK($C$6:C256))</f>
        <v xml:space="preserve"> </v>
      </c>
      <c r="B256" s="178"/>
      <c r="C256" s="178"/>
      <c r="D256" s="193"/>
      <c r="E256" s="193"/>
      <c r="F256" s="180"/>
      <c r="G256" s="180"/>
      <c r="H256" s="180"/>
      <c r="I256" s="180"/>
      <c r="J256" s="180"/>
      <c r="K256" s="180"/>
      <c r="L256" s="180"/>
      <c r="M256" s="181"/>
      <c r="N256" s="163" t="str">
        <f t="shared" si="15"/>
        <v/>
      </c>
      <c r="O256" s="126" t="str">
        <f t="shared" si="16"/>
        <v>-</v>
      </c>
      <c r="P256" s="164"/>
      <c r="Q256" s="164"/>
      <c r="R256" s="164"/>
      <c r="S256" s="164"/>
      <c r="T256" s="164"/>
      <c r="U256" s="164"/>
      <c r="V256" s="166"/>
      <c r="W256" s="164"/>
      <c r="X256" s="164"/>
      <c r="Y256" s="164"/>
    </row>
    <row r="257" spans="1:25" ht="27" customHeight="1">
      <c r="A257" s="172" t="s">
        <v>44</v>
      </c>
      <c r="B257" s="173"/>
      <c r="C257" s="174"/>
      <c r="D257" s="194"/>
      <c r="E257" s="194">
        <f>SUM(E237:E256)</f>
        <v>0</v>
      </c>
      <c r="F257" s="176"/>
      <c r="G257" s="176"/>
      <c r="H257" s="176"/>
      <c r="I257" s="176"/>
      <c r="J257" s="176"/>
      <c r="K257" s="176"/>
      <c r="L257" s="176"/>
      <c r="M257" s="177"/>
      <c r="N257" s="163" t="str">
        <f t="shared" si="15"/>
        <v/>
      </c>
      <c r="O257" s="126"/>
      <c r="P257" s="164"/>
      <c r="Q257" s="164"/>
      <c r="R257" s="164"/>
      <c r="S257" s="164"/>
      <c r="T257" s="164"/>
      <c r="U257" s="164"/>
      <c r="V257" s="166"/>
      <c r="W257" s="164"/>
      <c r="X257" s="164"/>
      <c r="Y257" s="164"/>
    </row>
    <row r="258" spans="1:25" ht="27" customHeight="1">
      <c r="A258" s="187" t="str">
        <f>IF(ISBLANK(C258)," ",253-COUNTBLANK($C$6:C258))</f>
        <v xml:space="preserve"> </v>
      </c>
      <c r="B258" s="188"/>
      <c r="C258" s="188"/>
      <c r="D258" s="189"/>
      <c r="E258" s="189"/>
      <c r="F258" s="190"/>
      <c r="G258" s="190"/>
      <c r="H258" s="190"/>
      <c r="I258" s="190"/>
      <c r="J258" s="190"/>
      <c r="K258" s="190"/>
      <c r="L258" s="190"/>
      <c r="M258" s="191"/>
      <c r="N258" s="163" t="str">
        <f>CONCATENATE(C258,H258)</f>
        <v/>
      </c>
      <c r="O258" s="126" t="str">
        <f>IF(D258&gt;=E258,"-","ERR")</f>
        <v>-</v>
      </c>
      <c r="P258" s="164"/>
      <c r="Q258" s="164"/>
      <c r="R258" s="164"/>
      <c r="S258" s="164"/>
      <c r="T258" s="164"/>
      <c r="U258" s="164"/>
      <c r="V258" s="164"/>
    </row>
    <row r="259" spans="1:25" ht="27" customHeight="1">
      <c r="A259" s="192" t="str">
        <f>IF(ISBLANK(C259)," ",254-COUNTBLANK($C$6:C259))</f>
        <v xml:space="preserve"> </v>
      </c>
      <c r="B259" s="178"/>
      <c r="C259" s="178"/>
      <c r="D259" s="193"/>
      <c r="E259" s="193"/>
      <c r="F259" s="180"/>
      <c r="G259" s="180"/>
      <c r="H259" s="180"/>
      <c r="I259" s="180"/>
      <c r="J259" s="180"/>
      <c r="K259" s="180"/>
      <c r="L259" s="180"/>
      <c r="M259" s="181"/>
      <c r="N259" s="163" t="str">
        <f t="shared" ref="N259:N278" si="17">CONCATENATE(C259,H259)</f>
        <v/>
      </c>
      <c r="O259" s="126" t="str">
        <f t="shared" ref="O259:O277" si="18">IF(D259&gt;=E259,"-","ERR")</f>
        <v>-</v>
      </c>
      <c r="P259" s="164"/>
      <c r="Q259" s="164"/>
      <c r="R259" s="164"/>
      <c r="S259" s="164"/>
      <c r="T259" s="164"/>
      <c r="U259" s="164"/>
      <c r="V259" s="164"/>
    </row>
    <row r="260" spans="1:25" ht="27" customHeight="1">
      <c r="A260" s="192" t="str">
        <f>IF(ISBLANK(C260)," ",255-COUNTBLANK($C$6:C260))</f>
        <v xml:space="preserve"> </v>
      </c>
      <c r="B260" s="178"/>
      <c r="C260" s="178"/>
      <c r="D260" s="193"/>
      <c r="E260" s="193"/>
      <c r="F260" s="180"/>
      <c r="G260" s="180"/>
      <c r="H260" s="180"/>
      <c r="I260" s="180"/>
      <c r="J260" s="180"/>
      <c r="K260" s="180"/>
      <c r="L260" s="180"/>
      <c r="M260" s="181"/>
      <c r="N260" s="163" t="str">
        <f t="shared" si="17"/>
        <v/>
      </c>
      <c r="O260" s="126" t="str">
        <f t="shared" si="18"/>
        <v>-</v>
      </c>
      <c r="P260" s="164"/>
      <c r="Q260" s="164"/>
      <c r="R260" s="164"/>
      <c r="S260" s="164"/>
      <c r="T260" s="164"/>
      <c r="U260" s="164"/>
      <c r="V260" s="164"/>
    </row>
    <row r="261" spans="1:25" ht="27" customHeight="1">
      <c r="A261" s="192" t="str">
        <f>IF(ISBLANK(C261)," ",256-COUNTBLANK($C$6:C261))</f>
        <v xml:space="preserve"> </v>
      </c>
      <c r="B261" s="178"/>
      <c r="C261" s="178"/>
      <c r="D261" s="193"/>
      <c r="E261" s="193"/>
      <c r="F261" s="180"/>
      <c r="G261" s="180"/>
      <c r="H261" s="180"/>
      <c r="I261" s="180"/>
      <c r="J261" s="180"/>
      <c r="K261" s="180"/>
      <c r="L261" s="180"/>
      <c r="M261" s="181"/>
      <c r="N261" s="163" t="str">
        <f t="shared" si="17"/>
        <v/>
      </c>
      <c r="O261" s="126" t="str">
        <f t="shared" si="18"/>
        <v>-</v>
      </c>
      <c r="P261" s="164"/>
      <c r="Q261" s="164"/>
      <c r="R261" s="164"/>
      <c r="S261" s="164"/>
      <c r="T261" s="164"/>
      <c r="U261" s="164"/>
      <c r="V261" s="164"/>
    </row>
    <row r="262" spans="1:25" ht="27" customHeight="1">
      <c r="A262" s="192" t="str">
        <f>IF(ISBLANK(C262)," ",257-COUNTBLANK($C$6:C262))</f>
        <v xml:space="preserve"> </v>
      </c>
      <c r="B262" s="178"/>
      <c r="C262" s="178"/>
      <c r="D262" s="193"/>
      <c r="E262" s="193"/>
      <c r="F262" s="180"/>
      <c r="G262" s="180"/>
      <c r="H262" s="180"/>
      <c r="I262" s="180"/>
      <c r="J262" s="180"/>
      <c r="K262" s="180"/>
      <c r="L262" s="180"/>
      <c r="M262" s="181"/>
      <c r="N262" s="163" t="str">
        <f t="shared" si="17"/>
        <v/>
      </c>
      <c r="O262" s="126" t="str">
        <f t="shared" si="18"/>
        <v>-</v>
      </c>
      <c r="P262" s="164"/>
      <c r="Q262" s="164"/>
      <c r="R262" s="164"/>
      <c r="S262" s="164"/>
      <c r="T262" s="164"/>
      <c r="U262" s="164"/>
      <c r="V262" s="164"/>
    </row>
    <row r="263" spans="1:25" ht="27" customHeight="1">
      <c r="A263" s="192" t="str">
        <f>IF(ISBLANK(C263)," ",258-COUNTBLANK($C$6:C263))</f>
        <v xml:space="preserve"> </v>
      </c>
      <c r="B263" s="178"/>
      <c r="C263" s="178"/>
      <c r="D263" s="193"/>
      <c r="E263" s="193"/>
      <c r="F263" s="180"/>
      <c r="G263" s="180"/>
      <c r="H263" s="180"/>
      <c r="I263" s="180"/>
      <c r="J263" s="180"/>
      <c r="K263" s="180"/>
      <c r="L263" s="180"/>
      <c r="M263" s="181"/>
      <c r="N263" s="163" t="str">
        <f t="shared" si="17"/>
        <v/>
      </c>
      <c r="O263" s="126" t="str">
        <f t="shared" si="18"/>
        <v>-</v>
      </c>
      <c r="P263" s="164"/>
      <c r="Q263" s="164"/>
      <c r="R263" s="164"/>
      <c r="S263" s="164"/>
      <c r="T263" s="164"/>
      <c r="U263" s="164"/>
      <c r="V263" s="164"/>
    </row>
    <row r="264" spans="1:25" ht="27" customHeight="1">
      <c r="A264" s="192" t="str">
        <f>IF(ISBLANK(C264)," ",259-COUNTBLANK($C$6:C264))</f>
        <v xml:space="preserve"> </v>
      </c>
      <c r="B264" s="178"/>
      <c r="C264" s="178"/>
      <c r="D264" s="193"/>
      <c r="E264" s="193"/>
      <c r="F264" s="180"/>
      <c r="G264" s="180"/>
      <c r="H264" s="180"/>
      <c r="I264" s="180"/>
      <c r="J264" s="180"/>
      <c r="K264" s="180"/>
      <c r="L264" s="180"/>
      <c r="M264" s="181"/>
      <c r="N264" s="163" t="str">
        <f t="shared" si="17"/>
        <v/>
      </c>
      <c r="O264" s="126" t="str">
        <f t="shared" si="18"/>
        <v>-</v>
      </c>
      <c r="P264" s="164"/>
      <c r="Q264" s="164"/>
      <c r="R264" s="164"/>
      <c r="S264" s="164"/>
      <c r="T264" s="164"/>
      <c r="U264" s="164"/>
      <c r="V264" s="164"/>
    </row>
    <row r="265" spans="1:25" ht="27" customHeight="1">
      <c r="A265" s="192" t="str">
        <f>IF(ISBLANK(C265)," ",260-COUNTBLANK($C$6:C265))</f>
        <v xml:space="preserve"> </v>
      </c>
      <c r="B265" s="178"/>
      <c r="C265" s="178"/>
      <c r="D265" s="193"/>
      <c r="E265" s="193"/>
      <c r="F265" s="180"/>
      <c r="G265" s="180"/>
      <c r="H265" s="180"/>
      <c r="I265" s="180"/>
      <c r="J265" s="180"/>
      <c r="K265" s="180"/>
      <c r="L265" s="180"/>
      <c r="M265" s="181"/>
      <c r="N265" s="163" t="str">
        <f t="shared" si="17"/>
        <v/>
      </c>
      <c r="O265" s="126" t="str">
        <f t="shared" si="18"/>
        <v>-</v>
      </c>
      <c r="P265" s="164"/>
      <c r="Q265" s="164"/>
      <c r="R265" s="164"/>
      <c r="S265" s="164"/>
      <c r="T265" s="164"/>
      <c r="U265" s="164"/>
      <c r="V265" s="164"/>
    </row>
    <row r="266" spans="1:25" ht="27" customHeight="1">
      <c r="A266" s="192" t="str">
        <f>IF(ISBLANK(C266)," ",261-COUNTBLANK($C$6:C266))</f>
        <v xml:space="preserve"> </v>
      </c>
      <c r="B266" s="178"/>
      <c r="C266" s="178"/>
      <c r="D266" s="193"/>
      <c r="E266" s="193"/>
      <c r="F266" s="180"/>
      <c r="G266" s="180"/>
      <c r="H266" s="180"/>
      <c r="I266" s="180"/>
      <c r="J266" s="180"/>
      <c r="K266" s="180"/>
      <c r="L266" s="180"/>
      <c r="M266" s="181"/>
      <c r="N266" s="163" t="str">
        <f t="shared" si="17"/>
        <v/>
      </c>
      <c r="O266" s="126" t="str">
        <f t="shared" si="18"/>
        <v>-</v>
      </c>
      <c r="P266" s="164"/>
      <c r="Q266" s="164"/>
      <c r="R266" s="164"/>
      <c r="S266" s="164"/>
      <c r="T266" s="164"/>
      <c r="U266" s="164"/>
      <c r="V266" s="164"/>
    </row>
    <row r="267" spans="1:25" ht="27" customHeight="1">
      <c r="A267" s="192" t="str">
        <f>IF(ISBLANK(C267)," ",262-COUNTBLANK($C$6:C267))</f>
        <v xml:space="preserve"> </v>
      </c>
      <c r="B267" s="178"/>
      <c r="C267" s="178"/>
      <c r="D267" s="193"/>
      <c r="E267" s="193"/>
      <c r="F267" s="180"/>
      <c r="G267" s="180"/>
      <c r="H267" s="180"/>
      <c r="I267" s="180"/>
      <c r="J267" s="180"/>
      <c r="K267" s="180"/>
      <c r="L267" s="180"/>
      <c r="M267" s="181"/>
      <c r="N267" s="163" t="str">
        <f t="shared" si="17"/>
        <v/>
      </c>
      <c r="O267" s="126" t="str">
        <f t="shared" si="18"/>
        <v>-</v>
      </c>
      <c r="P267" s="164"/>
      <c r="Q267" s="164"/>
      <c r="R267" s="164"/>
      <c r="S267" s="164"/>
      <c r="T267" s="164"/>
      <c r="U267" s="164"/>
      <c r="V267" s="164"/>
    </row>
    <row r="268" spans="1:25" ht="27" customHeight="1">
      <c r="A268" s="192" t="str">
        <f>IF(ISBLANK(C268)," ",263-COUNTBLANK($C$6:C268))</f>
        <v xml:space="preserve"> </v>
      </c>
      <c r="B268" s="178"/>
      <c r="C268" s="178"/>
      <c r="D268" s="193"/>
      <c r="E268" s="193"/>
      <c r="F268" s="180"/>
      <c r="G268" s="180"/>
      <c r="H268" s="180"/>
      <c r="I268" s="180"/>
      <c r="J268" s="180"/>
      <c r="K268" s="180"/>
      <c r="L268" s="180"/>
      <c r="M268" s="181"/>
      <c r="N268" s="163" t="str">
        <f t="shared" si="17"/>
        <v/>
      </c>
      <c r="O268" s="126" t="str">
        <f t="shared" si="18"/>
        <v>-</v>
      </c>
      <c r="P268" s="164"/>
      <c r="Q268" s="164"/>
      <c r="R268" s="164"/>
      <c r="S268" s="164"/>
      <c r="T268" s="164"/>
      <c r="U268" s="164"/>
      <c r="V268" s="164"/>
    </row>
    <row r="269" spans="1:25" ht="27" customHeight="1">
      <c r="A269" s="192" t="str">
        <f>IF(ISBLANK(C269)," ",264-COUNTBLANK($C$6:C269))</f>
        <v xml:space="preserve"> </v>
      </c>
      <c r="B269" s="178"/>
      <c r="C269" s="178"/>
      <c r="D269" s="193"/>
      <c r="E269" s="193"/>
      <c r="F269" s="180"/>
      <c r="G269" s="180"/>
      <c r="H269" s="180"/>
      <c r="I269" s="180"/>
      <c r="J269" s="180"/>
      <c r="K269" s="180"/>
      <c r="L269" s="180"/>
      <c r="M269" s="181"/>
      <c r="N269" s="163" t="str">
        <f t="shared" si="17"/>
        <v/>
      </c>
      <c r="O269" s="126" t="str">
        <f t="shared" si="18"/>
        <v>-</v>
      </c>
      <c r="P269" s="164"/>
      <c r="Q269" s="164"/>
      <c r="R269" s="164"/>
      <c r="S269" s="164"/>
      <c r="T269" s="164"/>
      <c r="U269" s="164"/>
      <c r="V269" s="164"/>
    </row>
    <row r="270" spans="1:25" ht="27" customHeight="1">
      <c r="A270" s="192" t="str">
        <f>IF(ISBLANK(C270)," ",265-COUNTBLANK($C$6:C270))</f>
        <v xml:space="preserve"> </v>
      </c>
      <c r="B270" s="178"/>
      <c r="C270" s="178"/>
      <c r="D270" s="193"/>
      <c r="E270" s="193"/>
      <c r="F270" s="180"/>
      <c r="G270" s="180"/>
      <c r="H270" s="180"/>
      <c r="I270" s="180"/>
      <c r="J270" s="180"/>
      <c r="K270" s="180"/>
      <c r="L270" s="180"/>
      <c r="M270" s="181"/>
      <c r="N270" s="163" t="str">
        <f t="shared" si="17"/>
        <v/>
      </c>
      <c r="O270" s="126" t="str">
        <f t="shared" si="18"/>
        <v>-</v>
      </c>
      <c r="P270" s="164"/>
      <c r="Q270" s="164"/>
      <c r="R270" s="164"/>
      <c r="S270" s="164"/>
      <c r="T270" s="164"/>
      <c r="U270" s="164"/>
      <c r="V270" s="164"/>
    </row>
    <row r="271" spans="1:25" ht="27" customHeight="1">
      <c r="A271" s="192" t="str">
        <f>IF(ISBLANK(C271)," ",266-COUNTBLANK($C$6:C271))</f>
        <v xml:space="preserve"> </v>
      </c>
      <c r="B271" s="178"/>
      <c r="C271" s="178"/>
      <c r="D271" s="193"/>
      <c r="E271" s="193"/>
      <c r="F271" s="180"/>
      <c r="G271" s="180"/>
      <c r="H271" s="180"/>
      <c r="I271" s="180"/>
      <c r="J271" s="180"/>
      <c r="K271" s="180"/>
      <c r="L271" s="180"/>
      <c r="M271" s="181"/>
      <c r="N271" s="163" t="str">
        <f t="shared" si="17"/>
        <v/>
      </c>
      <c r="O271" s="126" t="str">
        <f t="shared" si="18"/>
        <v>-</v>
      </c>
      <c r="P271" s="164"/>
      <c r="Q271" s="164"/>
      <c r="R271" s="164"/>
      <c r="S271" s="164"/>
      <c r="T271" s="164"/>
      <c r="U271" s="164"/>
      <c r="V271" s="164"/>
    </row>
    <row r="272" spans="1:25" ht="27" customHeight="1">
      <c r="A272" s="192" t="str">
        <f>IF(ISBLANK(C272)," ",267-COUNTBLANK($C$6:C272))</f>
        <v xml:space="preserve"> </v>
      </c>
      <c r="B272" s="178"/>
      <c r="C272" s="178"/>
      <c r="D272" s="193"/>
      <c r="E272" s="193"/>
      <c r="F272" s="180"/>
      <c r="G272" s="180"/>
      <c r="H272" s="180"/>
      <c r="I272" s="180"/>
      <c r="J272" s="180"/>
      <c r="K272" s="180"/>
      <c r="L272" s="180"/>
      <c r="M272" s="181"/>
      <c r="N272" s="163" t="str">
        <f t="shared" si="17"/>
        <v/>
      </c>
      <c r="O272" s="126" t="str">
        <f t="shared" si="18"/>
        <v>-</v>
      </c>
      <c r="P272" s="164"/>
      <c r="Q272" s="164"/>
      <c r="R272" s="164"/>
      <c r="S272" s="164"/>
      <c r="T272" s="164"/>
      <c r="U272" s="164"/>
      <c r="V272" s="164"/>
    </row>
    <row r="273" spans="1:25" ht="27" customHeight="1">
      <c r="A273" s="192" t="str">
        <f>IF(ISBLANK(C273)," ",268-COUNTBLANK($C$6:C273))</f>
        <v xml:space="preserve"> </v>
      </c>
      <c r="B273" s="178"/>
      <c r="C273" s="178"/>
      <c r="D273" s="193"/>
      <c r="E273" s="193"/>
      <c r="F273" s="180"/>
      <c r="G273" s="180"/>
      <c r="H273" s="180"/>
      <c r="I273" s="180"/>
      <c r="J273" s="180"/>
      <c r="K273" s="180"/>
      <c r="L273" s="180"/>
      <c r="M273" s="181"/>
      <c r="N273" s="163" t="str">
        <f t="shared" si="17"/>
        <v/>
      </c>
      <c r="O273" s="126" t="str">
        <f t="shared" si="18"/>
        <v>-</v>
      </c>
      <c r="P273" s="164"/>
      <c r="Q273" s="164"/>
      <c r="R273" s="164"/>
      <c r="S273" s="164"/>
      <c r="T273" s="164"/>
      <c r="U273" s="164"/>
      <c r="V273" s="165"/>
    </row>
    <row r="274" spans="1:25" ht="27" customHeight="1">
      <c r="A274" s="192" t="str">
        <f>IF(ISBLANK(C274)," ",269-COUNTBLANK($C$6:C274))</f>
        <v xml:space="preserve"> </v>
      </c>
      <c r="B274" s="178"/>
      <c r="C274" s="178"/>
      <c r="D274" s="193"/>
      <c r="E274" s="193"/>
      <c r="F274" s="180"/>
      <c r="G274" s="180"/>
      <c r="H274" s="180"/>
      <c r="I274" s="180"/>
      <c r="J274" s="180"/>
      <c r="K274" s="180"/>
      <c r="L274" s="180"/>
      <c r="M274" s="181"/>
      <c r="N274" s="163" t="str">
        <f t="shared" si="17"/>
        <v/>
      </c>
      <c r="O274" s="126" t="str">
        <f t="shared" si="18"/>
        <v>-</v>
      </c>
      <c r="P274" s="164"/>
      <c r="Q274" s="164"/>
      <c r="R274" s="164"/>
      <c r="S274" s="164"/>
      <c r="T274" s="164"/>
      <c r="U274" s="164"/>
      <c r="V274" s="165"/>
    </row>
    <row r="275" spans="1:25" ht="27" customHeight="1">
      <c r="A275" s="192" t="str">
        <f>IF(ISBLANK(C275)," ",270-COUNTBLANK($C$6:C275))</f>
        <v xml:space="preserve"> </v>
      </c>
      <c r="B275" s="178"/>
      <c r="C275" s="178"/>
      <c r="D275" s="193"/>
      <c r="E275" s="193"/>
      <c r="F275" s="180"/>
      <c r="G275" s="180"/>
      <c r="H275" s="180"/>
      <c r="I275" s="180"/>
      <c r="J275" s="180"/>
      <c r="K275" s="180"/>
      <c r="L275" s="180"/>
      <c r="M275" s="181"/>
      <c r="N275" s="163" t="str">
        <f t="shared" si="17"/>
        <v/>
      </c>
      <c r="O275" s="126" t="str">
        <f t="shared" si="18"/>
        <v>-</v>
      </c>
      <c r="P275" s="164"/>
      <c r="Q275" s="164"/>
      <c r="R275" s="164"/>
      <c r="S275" s="164"/>
      <c r="T275" s="164"/>
      <c r="U275" s="164"/>
      <c r="V275" s="165"/>
    </row>
    <row r="276" spans="1:25" ht="27" customHeight="1">
      <c r="A276" s="192" t="str">
        <f>IF(ISBLANK(C276)," ",271-COUNTBLANK($C$6:C276))</f>
        <v xml:space="preserve"> </v>
      </c>
      <c r="B276" s="178"/>
      <c r="C276" s="178"/>
      <c r="D276" s="193"/>
      <c r="E276" s="193"/>
      <c r="F276" s="180"/>
      <c r="G276" s="180"/>
      <c r="H276" s="180"/>
      <c r="I276" s="180"/>
      <c r="J276" s="180"/>
      <c r="K276" s="180"/>
      <c r="L276" s="180"/>
      <c r="M276" s="181"/>
      <c r="N276" s="163" t="str">
        <f t="shared" si="17"/>
        <v/>
      </c>
      <c r="O276" s="126" t="str">
        <f t="shared" si="18"/>
        <v>-</v>
      </c>
      <c r="P276" s="164"/>
      <c r="Q276" s="164"/>
      <c r="R276" s="164"/>
      <c r="S276" s="164"/>
      <c r="T276" s="164"/>
      <c r="U276" s="164"/>
      <c r="V276" s="165"/>
    </row>
    <row r="277" spans="1:25" ht="27" customHeight="1">
      <c r="A277" s="192" t="str">
        <f>IF(ISBLANK(C277)," ",272-COUNTBLANK($C$6:C277))</f>
        <v xml:space="preserve"> </v>
      </c>
      <c r="B277" s="178"/>
      <c r="C277" s="178"/>
      <c r="D277" s="193"/>
      <c r="E277" s="193"/>
      <c r="F277" s="180"/>
      <c r="G277" s="180"/>
      <c r="H277" s="180"/>
      <c r="I277" s="180"/>
      <c r="J277" s="180"/>
      <c r="K277" s="180"/>
      <c r="L277" s="180"/>
      <c r="M277" s="181"/>
      <c r="N277" s="163" t="str">
        <f t="shared" si="17"/>
        <v/>
      </c>
      <c r="O277" s="126" t="str">
        <f t="shared" si="18"/>
        <v>-</v>
      </c>
      <c r="P277" s="164"/>
      <c r="Q277" s="164"/>
      <c r="R277" s="164"/>
      <c r="S277" s="164"/>
      <c r="T277" s="164"/>
      <c r="U277" s="164"/>
      <c r="V277" s="166"/>
      <c r="W277" s="164"/>
      <c r="X277" s="164"/>
      <c r="Y277" s="164"/>
    </row>
    <row r="278" spans="1:25" ht="27" customHeight="1">
      <c r="A278" s="172" t="s">
        <v>44</v>
      </c>
      <c r="B278" s="173"/>
      <c r="C278" s="174"/>
      <c r="D278" s="194"/>
      <c r="E278" s="194">
        <f>SUM(E258:E277)</f>
        <v>0</v>
      </c>
      <c r="F278" s="176"/>
      <c r="G278" s="176"/>
      <c r="H278" s="176"/>
      <c r="I278" s="176"/>
      <c r="J278" s="176"/>
      <c r="K278" s="176"/>
      <c r="L278" s="176"/>
      <c r="M278" s="177"/>
      <c r="N278" s="163" t="str">
        <f t="shared" si="17"/>
        <v/>
      </c>
      <c r="O278" s="126"/>
      <c r="P278" s="164"/>
      <c r="Q278" s="164"/>
      <c r="R278" s="164"/>
      <c r="S278" s="164"/>
      <c r="T278" s="164"/>
      <c r="U278" s="164"/>
      <c r="V278" s="166"/>
      <c r="W278" s="164"/>
      <c r="X278" s="164"/>
      <c r="Y278" s="164"/>
    </row>
    <row r="279" spans="1:25" ht="27" customHeight="1">
      <c r="A279" s="187" t="str">
        <f>IF(ISBLANK(C279)," ",274-COUNTBLANK($C$6:C279))</f>
        <v xml:space="preserve"> </v>
      </c>
      <c r="B279" s="188"/>
      <c r="C279" s="188"/>
      <c r="D279" s="189"/>
      <c r="E279" s="189"/>
      <c r="F279" s="190"/>
      <c r="G279" s="190"/>
      <c r="H279" s="190"/>
      <c r="I279" s="190"/>
      <c r="J279" s="190"/>
      <c r="K279" s="190"/>
      <c r="L279" s="190"/>
      <c r="M279" s="191"/>
      <c r="N279" s="163" t="str">
        <f>CONCATENATE(C279,H279)</f>
        <v/>
      </c>
      <c r="O279" s="126" t="str">
        <f>IF(D279&gt;=E279,"-","ERR")</f>
        <v>-</v>
      </c>
      <c r="P279" s="164"/>
      <c r="Q279" s="164"/>
      <c r="R279" s="164"/>
      <c r="S279" s="164"/>
      <c r="T279" s="164"/>
      <c r="U279" s="164"/>
      <c r="V279" s="164"/>
    </row>
    <row r="280" spans="1:25" ht="27" customHeight="1">
      <c r="A280" s="192" t="str">
        <f>IF(ISBLANK(C280)," ",275-COUNTBLANK($C$6:C280))</f>
        <v xml:space="preserve"> </v>
      </c>
      <c r="B280" s="178"/>
      <c r="C280" s="178"/>
      <c r="D280" s="193"/>
      <c r="E280" s="193"/>
      <c r="F280" s="180"/>
      <c r="G280" s="180"/>
      <c r="H280" s="180"/>
      <c r="I280" s="180"/>
      <c r="J280" s="180"/>
      <c r="K280" s="180"/>
      <c r="L280" s="180"/>
      <c r="M280" s="181"/>
      <c r="N280" s="163" t="str">
        <f t="shared" ref="N280:N299" si="19">CONCATENATE(C280,H280)</f>
        <v/>
      </c>
      <c r="O280" s="126" t="str">
        <f t="shared" ref="O280:O298" si="20">IF(D280&gt;=E280,"-","ERR")</f>
        <v>-</v>
      </c>
      <c r="P280" s="164"/>
      <c r="Q280" s="164"/>
      <c r="R280" s="164"/>
      <c r="S280" s="164"/>
      <c r="T280" s="164"/>
      <c r="U280" s="164"/>
      <c r="V280" s="164"/>
    </row>
    <row r="281" spans="1:25" ht="27" customHeight="1">
      <c r="A281" s="192" t="str">
        <f>IF(ISBLANK(C281)," ",276-COUNTBLANK($C$6:C281))</f>
        <v xml:space="preserve"> </v>
      </c>
      <c r="B281" s="178"/>
      <c r="C281" s="178"/>
      <c r="D281" s="193"/>
      <c r="E281" s="193"/>
      <c r="F281" s="180"/>
      <c r="G281" s="180"/>
      <c r="H281" s="180"/>
      <c r="I281" s="180"/>
      <c r="J281" s="180"/>
      <c r="K281" s="180"/>
      <c r="L281" s="180"/>
      <c r="M281" s="181"/>
      <c r="N281" s="163" t="str">
        <f t="shared" si="19"/>
        <v/>
      </c>
      <c r="O281" s="126" t="str">
        <f t="shared" si="20"/>
        <v>-</v>
      </c>
      <c r="P281" s="164"/>
      <c r="Q281" s="164"/>
      <c r="R281" s="164"/>
      <c r="S281" s="164"/>
      <c r="T281" s="164"/>
      <c r="U281" s="164"/>
      <c r="V281" s="164"/>
    </row>
    <row r="282" spans="1:25" ht="27" customHeight="1">
      <c r="A282" s="192" t="str">
        <f>IF(ISBLANK(C282)," ",277-COUNTBLANK($C$6:C282))</f>
        <v xml:space="preserve"> </v>
      </c>
      <c r="B282" s="178"/>
      <c r="C282" s="178"/>
      <c r="D282" s="193"/>
      <c r="E282" s="193"/>
      <c r="F282" s="180"/>
      <c r="G282" s="180"/>
      <c r="H282" s="180"/>
      <c r="I282" s="180"/>
      <c r="J282" s="180"/>
      <c r="K282" s="180"/>
      <c r="L282" s="180"/>
      <c r="M282" s="181"/>
      <c r="N282" s="163" t="str">
        <f t="shared" si="19"/>
        <v/>
      </c>
      <c r="O282" s="126" t="str">
        <f t="shared" si="20"/>
        <v>-</v>
      </c>
      <c r="P282" s="164"/>
      <c r="Q282" s="164"/>
      <c r="R282" s="164"/>
      <c r="S282" s="164"/>
      <c r="T282" s="164"/>
      <c r="U282" s="164"/>
      <c r="V282" s="164"/>
    </row>
    <row r="283" spans="1:25" ht="27" customHeight="1">
      <c r="A283" s="192" t="str">
        <f>IF(ISBLANK(C283)," ",278-COUNTBLANK($C$6:C283))</f>
        <v xml:space="preserve"> </v>
      </c>
      <c r="B283" s="178"/>
      <c r="C283" s="178"/>
      <c r="D283" s="193"/>
      <c r="E283" s="193"/>
      <c r="F283" s="180"/>
      <c r="G283" s="180"/>
      <c r="H283" s="180"/>
      <c r="I283" s="180"/>
      <c r="J283" s="180"/>
      <c r="K283" s="180"/>
      <c r="L283" s="180"/>
      <c r="M283" s="181"/>
      <c r="N283" s="163" t="str">
        <f t="shared" si="19"/>
        <v/>
      </c>
      <c r="O283" s="126" t="str">
        <f t="shared" si="20"/>
        <v>-</v>
      </c>
      <c r="P283" s="164"/>
      <c r="Q283" s="164"/>
      <c r="R283" s="164"/>
      <c r="S283" s="164"/>
      <c r="T283" s="164"/>
      <c r="U283" s="164"/>
      <c r="V283" s="164"/>
    </row>
    <row r="284" spans="1:25" ht="27" customHeight="1">
      <c r="A284" s="192" t="str">
        <f>IF(ISBLANK(C284)," ",279-COUNTBLANK($C$6:C284))</f>
        <v xml:space="preserve"> </v>
      </c>
      <c r="B284" s="178"/>
      <c r="C284" s="178"/>
      <c r="D284" s="193"/>
      <c r="E284" s="193"/>
      <c r="F284" s="180"/>
      <c r="G284" s="180"/>
      <c r="H284" s="180"/>
      <c r="I284" s="180"/>
      <c r="J284" s="180"/>
      <c r="K284" s="180"/>
      <c r="L284" s="180"/>
      <c r="M284" s="181"/>
      <c r="N284" s="163" t="str">
        <f t="shared" si="19"/>
        <v/>
      </c>
      <c r="O284" s="126" t="str">
        <f t="shared" si="20"/>
        <v>-</v>
      </c>
      <c r="P284" s="164"/>
      <c r="Q284" s="164"/>
      <c r="R284" s="164"/>
      <c r="S284" s="164"/>
      <c r="T284" s="164"/>
      <c r="U284" s="164"/>
      <c r="V284" s="164"/>
    </row>
    <row r="285" spans="1:25" ht="27" customHeight="1">
      <c r="A285" s="192" t="str">
        <f>IF(ISBLANK(C285)," ",280-COUNTBLANK($C$6:C285))</f>
        <v xml:space="preserve"> </v>
      </c>
      <c r="B285" s="178"/>
      <c r="C285" s="178"/>
      <c r="D285" s="193"/>
      <c r="E285" s="193"/>
      <c r="F285" s="180"/>
      <c r="G285" s="180"/>
      <c r="H285" s="180"/>
      <c r="I285" s="180"/>
      <c r="J285" s="180"/>
      <c r="K285" s="180"/>
      <c r="L285" s="180"/>
      <c r="M285" s="181"/>
      <c r="N285" s="163" t="str">
        <f t="shared" si="19"/>
        <v/>
      </c>
      <c r="O285" s="126" t="str">
        <f t="shared" si="20"/>
        <v>-</v>
      </c>
      <c r="P285" s="164"/>
      <c r="Q285" s="164"/>
      <c r="R285" s="164"/>
      <c r="S285" s="164"/>
      <c r="T285" s="164"/>
      <c r="U285" s="164"/>
      <c r="V285" s="164"/>
    </row>
    <row r="286" spans="1:25" ht="27" customHeight="1">
      <c r="A286" s="192" t="str">
        <f>IF(ISBLANK(C286)," ",281-COUNTBLANK($C$6:C286))</f>
        <v xml:space="preserve"> </v>
      </c>
      <c r="B286" s="178"/>
      <c r="C286" s="178"/>
      <c r="D286" s="193"/>
      <c r="E286" s="193"/>
      <c r="F286" s="180"/>
      <c r="G286" s="180"/>
      <c r="H286" s="180"/>
      <c r="I286" s="180"/>
      <c r="J286" s="180"/>
      <c r="K286" s="180"/>
      <c r="L286" s="180"/>
      <c r="M286" s="181"/>
      <c r="N286" s="163" t="str">
        <f t="shared" si="19"/>
        <v/>
      </c>
      <c r="O286" s="126" t="str">
        <f t="shared" si="20"/>
        <v>-</v>
      </c>
      <c r="P286" s="164"/>
      <c r="Q286" s="164"/>
      <c r="R286" s="164"/>
      <c r="S286" s="164"/>
      <c r="T286" s="164"/>
      <c r="U286" s="164"/>
      <c r="V286" s="164"/>
    </row>
    <row r="287" spans="1:25" ht="27" customHeight="1">
      <c r="A287" s="192" t="str">
        <f>IF(ISBLANK(C287)," ",282-COUNTBLANK($C$6:C287))</f>
        <v xml:space="preserve"> </v>
      </c>
      <c r="B287" s="178"/>
      <c r="C287" s="178"/>
      <c r="D287" s="193"/>
      <c r="E287" s="193"/>
      <c r="F287" s="180"/>
      <c r="G287" s="180"/>
      <c r="H287" s="180"/>
      <c r="I287" s="180"/>
      <c r="J287" s="180"/>
      <c r="K287" s="180"/>
      <c r="L287" s="180"/>
      <c r="M287" s="181"/>
      <c r="N287" s="163" t="str">
        <f t="shared" si="19"/>
        <v/>
      </c>
      <c r="O287" s="126" t="str">
        <f t="shared" si="20"/>
        <v>-</v>
      </c>
      <c r="P287" s="164"/>
      <c r="Q287" s="164"/>
      <c r="R287" s="164"/>
      <c r="S287" s="164"/>
      <c r="T287" s="164"/>
      <c r="U287" s="164"/>
      <c r="V287" s="164"/>
    </row>
    <row r="288" spans="1:25" ht="27" customHeight="1">
      <c r="A288" s="192" t="str">
        <f>IF(ISBLANK(C288)," ",283-COUNTBLANK($C$6:C288))</f>
        <v xml:space="preserve"> </v>
      </c>
      <c r="B288" s="178"/>
      <c r="C288" s="178"/>
      <c r="D288" s="193"/>
      <c r="E288" s="193"/>
      <c r="F288" s="180"/>
      <c r="G288" s="180"/>
      <c r="H288" s="180"/>
      <c r="I288" s="180"/>
      <c r="J288" s="180"/>
      <c r="K288" s="180"/>
      <c r="L288" s="180"/>
      <c r="M288" s="181"/>
      <c r="N288" s="163" t="str">
        <f t="shared" si="19"/>
        <v/>
      </c>
      <c r="O288" s="126" t="str">
        <f t="shared" si="20"/>
        <v>-</v>
      </c>
      <c r="P288" s="164"/>
      <c r="Q288" s="164"/>
      <c r="R288" s="164"/>
      <c r="S288" s="164"/>
      <c r="T288" s="164"/>
      <c r="U288" s="164"/>
      <c r="V288" s="164"/>
    </row>
    <row r="289" spans="1:25" ht="27" customHeight="1">
      <c r="A289" s="192" t="str">
        <f>IF(ISBLANK(C289)," ",284-COUNTBLANK($C$6:C289))</f>
        <v xml:space="preserve"> </v>
      </c>
      <c r="B289" s="178"/>
      <c r="C289" s="178"/>
      <c r="D289" s="193"/>
      <c r="E289" s="193"/>
      <c r="F289" s="180"/>
      <c r="G289" s="180"/>
      <c r="H289" s="180"/>
      <c r="I289" s="180"/>
      <c r="J289" s="180"/>
      <c r="K289" s="180"/>
      <c r="L289" s="180"/>
      <c r="M289" s="181"/>
      <c r="N289" s="163" t="str">
        <f t="shared" si="19"/>
        <v/>
      </c>
      <c r="O289" s="126" t="str">
        <f t="shared" si="20"/>
        <v>-</v>
      </c>
      <c r="P289" s="164"/>
      <c r="Q289" s="164"/>
      <c r="R289" s="164"/>
      <c r="S289" s="164"/>
      <c r="T289" s="164"/>
      <c r="U289" s="164"/>
      <c r="V289" s="164"/>
    </row>
    <row r="290" spans="1:25" ht="27" customHeight="1">
      <c r="A290" s="192" t="str">
        <f>IF(ISBLANK(C290)," ",285-COUNTBLANK($C$6:C290))</f>
        <v xml:space="preserve"> </v>
      </c>
      <c r="B290" s="178"/>
      <c r="C290" s="178"/>
      <c r="D290" s="193"/>
      <c r="E290" s="193"/>
      <c r="F290" s="180"/>
      <c r="G290" s="180"/>
      <c r="H290" s="180"/>
      <c r="I290" s="180"/>
      <c r="J290" s="180"/>
      <c r="K290" s="180"/>
      <c r="L290" s="180"/>
      <c r="M290" s="181"/>
      <c r="N290" s="163" t="str">
        <f t="shared" si="19"/>
        <v/>
      </c>
      <c r="O290" s="126" t="str">
        <f t="shared" si="20"/>
        <v>-</v>
      </c>
      <c r="P290" s="164"/>
      <c r="Q290" s="164"/>
      <c r="R290" s="164"/>
      <c r="S290" s="164"/>
      <c r="T290" s="164"/>
      <c r="U290" s="164"/>
      <c r="V290" s="164"/>
    </row>
    <row r="291" spans="1:25" ht="27" customHeight="1">
      <c r="A291" s="192" t="str">
        <f>IF(ISBLANK(C291)," ",286-COUNTBLANK($C$6:C291))</f>
        <v xml:space="preserve"> </v>
      </c>
      <c r="B291" s="178"/>
      <c r="C291" s="178"/>
      <c r="D291" s="193"/>
      <c r="E291" s="193"/>
      <c r="F291" s="180"/>
      <c r="G291" s="180"/>
      <c r="H291" s="180"/>
      <c r="I291" s="180"/>
      <c r="J291" s="180"/>
      <c r="K291" s="180"/>
      <c r="L291" s="180"/>
      <c r="M291" s="181"/>
      <c r="N291" s="163" t="str">
        <f t="shared" si="19"/>
        <v/>
      </c>
      <c r="O291" s="126" t="str">
        <f t="shared" si="20"/>
        <v>-</v>
      </c>
      <c r="P291" s="164"/>
      <c r="Q291" s="164"/>
      <c r="R291" s="164"/>
      <c r="S291" s="164"/>
      <c r="T291" s="164"/>
      <c r="U291" s="164"/>
      <c r="V291" s="164"/>
    </row>
    <row r="292" spans="1:25" ht="27" customHeight="1">
      <c r="A292" s="192" t="str">
        <f>IF(ISBLANK(C292)," ",287-COUNTBLANK($C$6:C292))</f>
        <v xml:space="preserve"> </v>
      </c>
      <c r="B292" s="178"/>
      <c r="C292" s="178"/>
      <c r="D292" s="193"/>
      <c r="E292" s="193"/>
      <c r="F292" s="180"/>
      <c r="G292" s="180"/>
      <c r="H292" s="180"/>
      <c r="I292" s="180"/>
      <c r="J292" s="180"/>
      <c r="K292" s="180"/>
      <c r="L292" s="180"/>
      <c r="M292" s="181"/>
      <c r="N292" s="163" t="str">
        <f t="shared" si="19"/>
        <v/>
      </c>
      <c r="O292" s="126" t="str">
        <f t="shared" si="20"/>
        <v>-</v>
      </c>
      <c r="P292" s="164"/>
      <c r="Q292" s="164"/>
      <c r="R292" s="164"/>
      <c r="S292" s="164"/>
      <c r="T292" s="164"/>
      <c r="U292" s="164"/>
      <c r="V292" s="164"/>
    </row>
    <row r="293" spans="1:25" ht="27" customHeight="1">
      <c r="A293" s="192" t="str">
        <f>IF(ISBLANK(C293)," ",288-COUNTBLANK($C$6:C293))</f>
        <v xml:space="preserve"> </v>
      </c>
      <c r="B293" s="178"/>
      <c r="C293" s="178"/>
      <c r="D293" s="193"/>
      <c r="E293" s="193"/>
      <c r="F293" s="180"/>
      <c r="G293" s="180"/>
      <c r="H293" s="180"/>
      <c r="I293" s="180"/>
      <c r="J293" s="180"/>
      <c r="K293" s="180"/>
      <c r="L293" s="180"/>
      <c r="M293" s="181"/>
      <c r="N293" s="163" t="str">
        <f t="shared" si="19"/>
        <v/>
      </c>
      <c r="O293" s="126" t="str">
        <f t="shared" si="20"/>
        <v>-</v>
      </c>
      <c r="P293" s="164"/>
      <c r="Q293" s="164"/>
      <c r="R293" s="164"/>
      <c r="S293" s="164"/>
      <c r="T293" s="164"/>
      <c r="U293" s="164"/>
      <c r="V293" s="164"/>
    </row>
    <row r="294" spans="1:25" ht="27" customHeight="1">
      <c r="A294" s="192" t="str">
        <f>IF(ISBLANK(C294)," ",289-COUNTBLANK($C$6:C294))</f>
        <v xml:space="preserve"> </v>
      </c>
      <c r="B294" s="178"/>
      <c r="C294" s="178"/>
      <c r="D294" s="193"/>
      <c r="E294" s="193"/>
      <c r="F294" s="180"/>
      <c r="G294" s="180"/>
      <c r="H294" s="180"/>
      <c r="I294" s="180"/>
      <c r="J294" s="180"/>
      <c r="K294" s="180"/>
      <c r="L294" s="180"/>
      <c r="M294" s="181"/>
      <c r="N294" s="163" t="str">
        <f t="shared" si="19"/>
        <v/>
      </c>
      <c r="O294" s="126" t="str">
        <f t="shared" si="20"/>
        <v>-</v>
      </c>
      <c r="P294" s="164"/>
      <c r="Q294" s="164"/>
      <c r="R294" s="164"/>
      <c r="S294" s="164"/>
      <c r="T294" s="164"/>
      <c r="U294" s="164"/>
      <c r="V294" s="165"/>
    </row>
    <row r="295" spans="1:25" ht="27" customHeight="1">
      <c r="A295" s="192" t="str">
        <f>IF(ISBLANK(C295)," ",290-COUNTBLANK($C$6:C295))</f>
        <v xml:space="preserve"> </v>
      </c>
      <c r="B295" s="178"/>
      <c r="C295" s="178"/>
      <c r="D295" s="193"/>
      <c r="E295" s="193"/>
      <c r="F295" s="180"/>
      <c r="G295" s="180"/>
      <c r="H295" s="180"/>
      <c r="I295" s="180"/>
      <c r="J295" s="180"/>
      <c r="K295" s="180"/>
      <c r="L295" s="180"/>
      <c r="M295" s="181"/>
      <c r="N295" s="163" t="str">
        <f t="shared" si="19"/>
        <v/>
      </c>
      <c r="O295" s="126" t="str">
        <f t="shared" si="20"/>
        <v>-</v>
      </c>
      <c r="P295" s="164"/>
      <c r="Q295" s="164"/>
      <c r="R295" s="164"/>
      <c r="S295" s="164"/>
      <c r="T295" s="164"/>
      <c r="U295" s="164"/>
      <c r="V295" s="165"/>
    </row>
    <row r="296" spans="1:25" ht="27" customHeight="1">
      <c r="A296" s="192" t="str">
        <f>IF(ISBLANK(C296)," ",291-COUNTBLANK($C$6:C296))</f>
        <v xml:space="preserve"> </v>
      </c>
      <c r="B296" s="178"/>
      <c r="C296" s="178"/>
      <c r="D296" s="193"/>
      <c r="E296" s="193"/>
      <c r="F296" s="180"/>
      <c r="G296" s="180"/>
      <c r="H296" s="180"/>
      <c r="I296" s="180"/>
      <c r="J296" s="180"/>
      <c r="K296" s="180"/>
      <c r="L296" s="180"/>
      <c r="M296" s="181"/>
      <c r="N296" s="163" t="str">
        <f t="shared" si="19"/>
        <v/>
      </c>
      <c r="O296" s="126" t="str">
        <f t="shared" si="20"/>
        <v>-</v>
      </c>
      <c r="P296" s="164"/>
      <c r="Q296" s="164"/>
      <c r="R296" s="164"/>
      <c r="S296" s="164"/>
      <c r="T296" s="164"/>
      <c r="U296" s="164"/>
      <c r="V296" s="165"/>
    </row>
    <row r="297" spans="1:25" ht="27" customHeight="1">
      <c r="A297" s="192" t="str">
        <f>IF(ISBLANK(C297)," ",292-COUNTBLANK($C$6:C297))</f>
        <v xml:space="preserve"> </v>
      </c>
      <c r="B297" s="178"/>
      <c r="C297" s="178"/>
      <c r="D297" s="193"/>
      <c r="E297" s="193"/>
      <c r="F297" s="180"/>
      <c r="G297" s="180"/>
      <c r="H297" s="180"/>
      <c r="I297" s="180"/>
      <c r="J297" s="180"/>
      <c r="K297" s="180"/>
      <c r="L297" s="180"/>
      <c r="M297" s="181"/>
      <c r="N297" s="163" t="str">
        <f t="shared" si="19"/>
        <v/>
      </c>
      <c r="O297" s="126" t="str">
        <f t="shared" si="20"/>
        <v>-</v>
      </c>
      <c r="P297" s="164"/>
      <c r="Q297" s="164"/>
      <c r="R297" s="164"/>
      <c r="S297" s="164"/>
      <c r="T297" s="164"/>
      <c r="U297" s="164"/>
      <c r="V297" s="165"/>
    </row>
    <row r="298" spans="1:25" ht="27" customHeight="1">
      <c r="A298" s="192" t="str">
        <f>IF(ISBLANK(C298)," ",293-COUNTBLANK($C$6:C298))</f>
        <v xml:space="preserve"> </v>
      </c>
      <c r="B298" s="178"/>
      <c r="C298" s="178"/>
      <c r="D298" s="193"/>
      <c r="E298" s="193"/>
      <c r="F298" s="180"/>
      <c r="G298" s="180"/>
      <c r="H298" s="180"/>
      <c r="I298" s="180"/>
      <c r="J298" s="180"/>
      <c r="K298" s="180"/>
      <c r="L298" s="180"/>
      <c r="M298" s="181"/>
      <c r="N298" s="163" t="str">
        <f t="shared" si="19"/>
        <v/>
      </c>
      <c r="O298" s="126" t="str">
        <f t="shared" si="20"/>
        <v>-</v>
      </c>
      <c r="P298" s="164"/>
      <c r="Q298" s="164"/>
      <c r="R298" s="164"/>
      <c r="S298" s="164"/>
      <c r="T298" s="164"/>
      <c r="U298" s="164"/>
      <c r="V298" s="166"/>
      <c r="W298" s="164"/>
      <c r="X298" s="164"/>
      <c r="Y298" s="164"/>
    </row>
    <row r="299" spans="1:25" ht="27" customHeight="1">
      <c r="A299" s="172" t="s">
        <v>44</v>
      </c>
      <c r="B299" s="173"/>
      <c r="C299" s="174"/>
      <c r="D299" s="194"/>
      <c r="E299" s="194">
        <f>SUM(E279:E298)</f>
        <v>0</v>
      </c>
      <c r="F299" s="176"/>
      <c r="G299" s="176"/>
      <c r="H299" s="176"/>
      <c r="I299" s="176"/>
      <c r="J299" s="176"/>
      <c r="K299" s="176"/>
      <c r="L299" s="176"/>
      <c r="M299" s="177"/>
      <c r="N299" s="163" t="str">
        <f t="shared" si="19"/>
        <v/>
      </c>
      <c r="O299" s="126"/>
      <c r="P299" s="164"/>
      <c r="Q299" s="164"/>
      <c r="R299" s="164"/>
      <c r="S299" s="164"/>
      <c r="T299" s="164"/>
      <c r="U299" s="164"/>
      <c r="V299" s="166"/>
      <c r="W299" s="164"/>
      <c r="X299" s="164"/>
      <c r="Y299" s="164"/>
    </row>
    <row r="300" spans="1:25" ht="27" customHeight="1">
      <c r="A300" s="187" t="str">
        <f>IF(ISBLANK(C300)," ",295-COUNTBLANK($C$6:C300))</f>
        <v xml:space="preserve"> </v>
      </c>
      <c r="B300" s="188"/>
      <c r="C300" s="188"/>
      <c r="D300" s="189"/>
      <c r="E300" s="189"/>
      <c r="F300" s="190"/>
      <c r="G300" s="190"/>
      <c r="H300" s="190"/>
      <c r="I300" s="190"/>
      <c r="J300" s="190"/>
      <c r="K300" s="190"/>
      <c r="L300" s="190"/>
      <c r="M300" s="191"/>
      <c r="N300" s="163" t="str">
        <f>CONCATENATE(C300,H300)</f>
        <v/>
      </c>
      <c r="O300" s="126" t="str">
        <f>IF(D300&gt;=E300,"-","ERR")</f>
        <v>-</v>
      </c>
      <c r="P300" s="164"/>
      <c r="Q300" s="164"/>
      <c r="R300" s="164"/>
      <c r="S300" s="164"/>
      <c r="T300" s="164"/>
      <c r="U300" s="164"/>
      <c r="V300" s="164"/>
    </row>
    <row r="301" spans="1:25" ht="27" customHeight="1">
      <c r="A301" s="192" t="str">
        <f>IF(ISBLANK(C301)," ",296-COUNTBLANK($C$6:C301))</f>
        <v xml:space="preserve"> </v>
      </c>
      <c r="B301" s="178"/>
      <c r="C301" s="178"/>
      <c r="D301" s="193"/>
      <c r="E301" s="193"/>
      <c r="F301" s="180"/>
      <c r="G301" s="180"/>
      <c r="H301" s="180"/>
      <c r="I301" s="180"/>
      <c r="J301" s="180"/>
      <c r="K301" s="180"/>
      <c r="L301" s="180"/>
      <c r="M301" s="181"/>
      <c r="N301" s="163" t="str">
        <f t="shared" ref="N301:N320" si="21">CONCATENATE(C301,H301)</f>
        <v/>
      </c>
      <c r="O301" s="126" t="str">
        <f t="shared" ref="O301:O319" si="22">IF(D301&gt;=E301,"-","ERR")</f>
        <v>-</v>
      </c>
      <c r="P301" s="164"/>
      <c r="Q301" s="164"/>
      <c r="R301" s="164"/>
      <c r="S301" s="164"/>
      <c r="T301" s="164"/>
      <c r="U301" s="164"/>
      <c r="V301" s="164"/>
    </row>
    <row r="302" spans="1:25" ht="27" customHeight="1">
      <c r="A302" s="192" t="str">
        <f>IF(ISBLANK(C302)," ",297-COUNTBLANK($C$6:C302))</f>
        <v xml:space="preserve"> </v>
      </c>
      <c r="B302" s="178"/>
      <c r="C302" s="178"/>
      <c r="D302" s="193"/>
      <c r="E302" s="193"/>
      <c r="F302" s="180"/>
      <c r="G302" s="180"/>
      <c r="H302" s="180"/>
      <c r="I302" s="180"/>
      <c r="J302" s="180"/>
      <c r="K302" s="180"/>
      <c r="L302" s="180"/>
      <c r="M302" s="181"/>
      <c r="N302" s="163" t="str">
        <f t="shared" si="21"/>
        <v/>
      </c>
      <c r="O302" s="126" t="str">
        <f t="shared" si="22"/>
        <v>-</v>
      </c>
      <c r="P302" s="164"/>
      <c r="Q302" s="164"/>
      <c r="R302" s="164"/>
      <c r="S302" s="164"/>
      <c r="T302" s="164"/>
      <c r="U302" s="164"/>
      <c r="V302" s="164"/>
    </row>
    <row r="303" spans="1:25" ht="27" customHeight="1">
      <c r="A303" s="192" t="str">
        <f>IF(ISBLANK(C303)," ",298-COUNTBLANK($C$6:C303))</f>
        <v xml:space="preserve"> </v>
      </c>
      <c r="B303" s="178"/>
      <c r="C303" s="178"/>
      <c r="D303" s="193"/>
      <c r="E303" s="193"/>
      <c r="F303" s="180"/>
      <c r="G303" s="180"/>
      <c r="H303" s="180"/>
      <c r="I303" s="180"/>
      <c r="J303" s="180"/>
      <c r="K303" s="180"/>
      <c r="L303" s="180"/>
      <c r="M303" s="181"/>
      <c r="N303" s="163" t="str">
        <f t="shared" si="21"/>
        <v/>
      </c>
      <c r="O303" s="126" t="str">
        <f t="shared" si="22"/>
        <v>-</v>
      </c>
      <c r="P303" s="164"/>
      <c r="Q303" s="164"/>
      <c r="R303" s="164"/>
      <c r="S303" s="164"/>
      <c r="T303" s="164"/>
      <c r="U303" s="164"/>
      <c r="V303" s="164"/>
    </row>
    <row r="304" spans="1:25" ht="27" customHeight="1">
      <c r="A304" s="192" t="str">
        <f>IF(ISBLANK(C304)," ",299-COUNTBLANK($C$6:C304))</f>
        <v xml:space="preserve"> </v>
      </c>
      <c r="B304" s="178"/>
      <c r="C304" s="178"/>
      <c r="D304" s="193"/>
      <c r="E304" s="193"/>
      <c r="F304" s="180"/>
      <c r="G304" s="180"/>
      <c r="H304" s="180"/>
      <c r="I304" s="180"/>
      <c r="J304" s="180"/>
      <c r="K304" s="180"/>
      <c r="L304" s="180"/>
      <c r="M304" s="181"/>
      <c r="N304" s="163" t="str">
        <f t="shared" si="21"/>
        <v/>
      </c>
      <c r="O304" s="126" t="str">
        <f t="shared" si="22"/>
        <v>-</v>
      </c>
      <c r="P304" s="164"/>
      <c r="Q304" s="164"/>
      <c r="R304" s="164"/>
      <c r="S304" s="164"/>
      <c r="T304" s="164"/>
      <c r="U304" s="164"/>
      <c r="V304" s="164"/>
    </row>
    <row r="305" spans="1:25" ht="27" customHeight="1">
      <c r="A305" s="192" t="str">
        <f>IF(ISBLANK(C305)," ",300-COUNTBLANK($C$6:C305))</f>
        <v xml:space="preserve"> </v>
      </c>
      <c r="B305" s="178"/>
      <c r="C305" s="178"/>
      <c r="D305" s="193"/>
      <c r="E305" s="193"/>
      <c r="F305" s="180"/>
      <c r="G305" s="180"/>
      <c r="H305" s="180"/>
      <c r="I305" s="180"/>
      <c r="J305" s="180"/>
      <c r="K305" s="180"/>
      <c r="L305" s="180"/>
      <c r="M305" s="181"/>
      <c r="N305" s="163" t="str">
        <f t="shared" si="21"/>
        <v/>
      </c>
      <c r="O305" s="126" t="str">
        <f t="shared" si="22"/>
        <v>-</v>
      </c>
      <c r="P305" s="164"/>
      <c r="Q305" s="164"/>
      <c r="R305" s="164"/>
      <c r="S305" s="164"/>
      <c r="T305" s="164"/>
      <c r="U305" s="164"/>
      <c r="V305" s="164"/>
    </row>
    <row r="306" spans="1:25" ht="27" customHeight="1">
      <c r="A306" s="192" t="str">
        <f>IF(ISBLANK(C306)," ",301-COUNTBLANK($C$6:C306))</f>
        <v xml:space="preserve"> </v>
      </c>
      <c r="B306" s="178"/>
      <c r="C306" s="178"/>
      <c r="D306" s="193"/>
      <c r="E306" s="193"/>
      <c r="F306" s="180"/>
      <c r="G306" s="180"/>
      <c r="H306" s="180"/>
      <c r="I306" s="180"/>
      <c r="J306" s="180"/>
      <c r="K306" s="180"/>
      <c r="L306" s="180"/>
      <c r="M306" s="181"/>
      <c r="N306" s="163" t="str">
        <f t="shared" si="21"/>
        <v/>
      </c>
      <c r="O306" s="126" t="str">
        <f t="shared" si="22"/>
        <v>-</v>
      </c>
      <c r="P306" s="164"/>
      <c r="Q306" s="164"/>
      <c r="R306" s="164"/>
      <c r="S306" s="164"/>
      <c r="T306" s="164"/>
      <c r="U306" s="164"/>
      <c r="V306" s="164"/>
    </row>
    <row r="307" spans="1:25" ht="27" customHeight="1">
      <c r="A307" s="192" t="str">
        <f>IF(ISBLANK(C307)," ",302-COUNTBLANK($C$6:C307))</f>
        <v xml:space="preserve"> </v>
      </c>
      <c r="B307" s="178"/>
      <c r="C307" s="178"/>
      <c r="D307" s="193"/>
      <c r="E307" s="193"/>
      <c r="F307" s="180"/>
      <c r="G307" s="180"/>
      <c r="H307" s="180"/>
      <c r="I307" s="180"/>
      <c r="J307" s="180"/>
      <c r="K307" s="180"/>
      <c r="L307" s="180"/>
      <c r="M307" s="181"/>
      <c r="N307" s="163" t="str">
        <f t="shared" si="21"/>
        <v/>
      </c>
      <c r="O307" s="126" t="str">
        <f t="shared" si="22"/>
        <v>-</v>
      </c>
      <c r="P307" s="164"/>
      <c r="Q307" s="164"/>
      <c r="R307" s="164"/>
      <c r="S307" s="164"/>
      <c r="T307" s="164"/>
      <c r="U307" s="164"/>
      <c r="V307" s="164"/>
    </row>
    <row r="308" spans="1:25" ht="27" customHeight="1">
      <c r="A308" s="192" t="str">
        <f>IF(ISBLANK(C308)," ",303-COUNTBLANK($C$6:C308))</f>
        <v xml:space="preserve"> </v>
      </c>
      <c r="B308" s="178"/>
      <c r="C308" s="178"/>
      <c r="D308" s="193"/>
      <c r="E308" s="193"/>
      <c r="F308" s="180"/>
      <c r="G308" s="180"/>
      <c r="H308" s="180"/>
      <c r="I308" s="180"/>
      <c r="J308" s="180"/>
      <c r="K308" s="180"/>
      <c r="L308" s="180"/>
      <c r="M308" s="181"/>
      <c r="N308" s="163" t="str">
        <f t="shared" si="21"/>
        <v/>
      </c>
      <c r="O308" s="126" t="str">
        <f t="shared" si="22"/>
        <v>-</v>
      </c>
      <c r="P308" s="164"/>
      <c r="Q308" s="164"/>
      <c r="R308" s="164"/>
      <c r="S308" s="164"/>
      <c r="T308" s="164"/>
      <c r="U308" s="164"/>
      <c r="V308" s="164"/>
    </row>
    <row r="309" spans="1:25" ht="27" customHeight="1">
      <c r="A309" s="192" t="str">
        <f>IF(ISBLANK(C309)," ",304-COUNTBLANK($C$6:C309))</f>
        <v xml:space="preserve"> </v>
      </c>
      <c r="B309" s="178"/>
      <c r="C309" s="178"/>
      <c r="D309" s="193"/>
      <c r="E309" s="193"/>
      <c r="F309" s="180"/>
      <c r="G309" s="180"/>
      <c r="H309" s="180"/>
      <c r="I309" s="180"/>
      <c r="J309" s="180"/>
      <c r="K309" s="180"/>
      <c r="L309" s="180"/>
      <c r="M309" s="181"/>
      <c r="N309" s="163" t="str">
        <f t="shared" si="21"/>
        <v/>
      </c>
      <c r="O309" s="126" t="str">
        <f t="shared" si="22"/>
        <v>-</v>
      </c>
      <c r="P309" s="164"/>
      <c r="Q309" s="164"/>
      <c r="R309" s="164"/>
      <c r="S309" s="164"/>
      <c r="T309" s="164"/>
      <c r="U309" s="164"/>
      <c r="V309" s="164"/>
    </row>
    <row r="310" spans="1:25" ht="27" customHeight="1">
      <c r="A310" s="192" t="str">
        <f>IF(ISBLANK(C310)," ",305-COUNTBLANK($C$6:C310))</f>
        <v xml:space="preserve"> </v>
      </c>
      <c r="B310" s="178"/>
      <c r="C310" s="178"/>
      <c r="D310" s="193"/>
      <c r="E310" s="193"/>
      <c r="F310" s="180"/>
      <c r="G310" s="180"/>
      <c r="H310" s="180"/>
      <c r="I310" s="180"/>
      <c r="J310" s="180"/>
      <c r="K310" s="180"/>
      <c r="L310" s="180"/>
      <c r="M310" s="181"/>
      <c r="N310" s="163" t="str">
        <f t="shared" si="21"/>
        <v/>
      </c>
      <c r="O310" s="126" t="str">
        <f t="shared" si="22"/>
        <v>-</v>
      </c>
      <c r="P310" s="164"/>
      <c r="Q310" s="164"/>
      <c r="R310" s="164"/>
      <c r="S310" s="164"/>
      <c r="T310" s="164"/>
      <c r="U310" s="164"/>
      <c r="V310" s="164"/>
    </row>
    <row r="311" spans="1:25" ht="27" customHeight="1">
      <c r="A311" s="192" t="str">
        <f>IF(ISBLANK(C311)," ",306-COUNTBLANK($C$6:C311))</f>
        <v xml:space="preserve"> </v>
      </c>
      <c r="B311" s="178"/>
      <c r="C311" s="178"/>
      <c r="D311" s="193"/>
      <c r="E311" s="193"/>
      <c r="F311" s="180"/>
      <c r="G311" s="180"/>
      <c r="H311" s="180"/>
      <c r="I311" s="180"/>
      <c r="J311" s="180"/>
      <c r="K311" s="180"/>
      <c r="L311" s="180"/>
      <c r="M311" s="181"/>
      <c r="N311" s="163" t="str">
        <f t="shared" si="21"/>
        <v/>
      </c>
      <c r="O311" s="126" t="str">
        <f t="shared" si="22"/>
        <v>-</v>
      </c>
      <c r="P311" s="164"/>
      <c r="Q311" s="164"/>
      <c r="R311" s="164"/>
      <c r="S311" s="164"/>
      <c r="T311" s="164"/>
      <c r="U311" s="164"/>
      <c r="V311" s="164"/>
    </row>
    <row r="312" spans="1:25" ht="27" customHeight="1">
      <c r="A312" s="192" t="str">
        <f>IF(ISBLANK(C312)," ",307-COUNTBLANK($C$6:C312))</f>
        <v xml:space="preserve"> </v>
      </c>
      <c r="B312" s="178"/>
      <c r="C312" s="178"/>
      <c r="D312" s="193"/>
      <c r="E312" s="193"/>
      <c r="F312" s="180"/>
      <c r="G312" s="180"/>
      <c r="H312" s="180"/>
      <c r="I312" s="180"/>
      <c r="J312" s="180"/>
      <c r="K312" s="180"/>
      <c r="L312" s="180"/>
      <c r="M312" s="181"/>
      <c r="N312" s="163" t="str">
        <f t="shared" si="21"/>
        <v/>
      </c>
      <c r="O312" s="126" t="str">
        <f t="shared" si="22"/>
        <v>-</v>
      </c>
      <c r="P312" s="164"/>
      <c r="Q312" s="164"/>
      <c r="R312" s="164"/>
      <c r="S312" s="164"/>
      <c r="T312" s="164"/>
      <c r="U312" s="164"/>
      <c r="V312" s="164"/>
    </row>
    <row r="313" spans="1:25" ht="27" customHeight="1">
      <c r="A313" s="192" t="str">
        <f>IF(ISBLANK(C313)," ",308-COUNTBLANK($C$6:C313))</f>
        <v xml:space="preserve"> </v>
      </c>
      <c r="B313" s="178"/>
      <c r="C313" s="178"/>
      <c r="D313" s="193"/>
      <c r="E313" s="193"/>
      <c r="F313" s="180"/>
      <c r="G313" s="180"/>
      <c r="H313" s="180"/>
      <c r="I313" s="180"/>
      <c r="J313" s="180"/>
      <c r="K313" s="180"/>
      <c r="L313" s="180"/>
      <c r="M313" s="181"/>
      <c r="N313" s="163" t="str">
        <f t="shared" si="21"/>
        <v/>
      </c>
      <c r="O313" s="126" t="str">
        <f t="shared" si="22"/>
        <v>-</v>
      </c>
      <c r="P313" s="164"/>
      <c r="Q313" s="164"/>
      <c r="R313" s="164"/>
      <c r="S313" s="164"/>
      <c r="T313" s="164"/>
      <c r="U313" s="164"/>
      <c r="V313" s="164"/>
    </row>
    <row r="314" spans="1:25" ht="27" customHeight="1">
      <c r="A314" s="192" t="str">
        <f>IF(ISBLANK(C314)," ",309-COUNTBLANK($C$6:C314))</f>
        <v xml:space="preserve"> </v>
      </c>
      <c r="B314" s="178"/>
      <c r="C314" s="178"/>
      <c r="D314" s="193"/>
      <c r="E314" s="193"/>
      <c r="F314" s="180"/>
      <c r="G314" s="180"/>
      <c r="H314" s="180"/>
      <c r="I314" s="180"/>
      <c r="J314" s="180"/>
      <c r="K314" s="180"/>
      <c r="L314" s="180"/>
      <c r="M314" s="181"/>
      <c r="N314" s="163" t="str">
        <f t="shared" si="21"/>
        <v/>
      </c>
      <c r="O314" s="126" t="str">
        <f t="shared" si="22"/>
        <v>-</v>
      </c>
      <c r="P314" s="164"/>
      <c r="Q314" s="164"/>
      <c r="R314" s="164"/>
      <c r="S314" s="164"/>
      <c r="T314" s="164"/>
      <c r="U314" s="164"/>
      <c r="V314" s="164"/>
    </row>
    <row r="315" spans="1:25" ht="27" customHeight="1">
      <c r="A315" s="192" t="str">
        <f>IF(ISBLANK(C315)," ",310-COUNTBLANK($C$6:C315))</f>
        <v xml:space="preserve"> </v>
      </c>
      <c r="B315" s="178"/>
      <c r="C315" s="178"/>
      <c r="D315" s="193"/>
      <c r="E315" s="193"/>
      <c r="F315" s="180"/>
      <c r="G315" s="180"/>
      <c r="H315" s="180"/>
      <c r="I315" s="180"/>
      <c r="J315" s="180"/>
      <c r="K315" s="180"/>
      <c r="L315" s="180"/>
      <c r="M315" s="181"/>
      <c r="N315" s="163" t="str">
        <f t="shared" si="21"/>
        <v/>
      </c>
      <c r="O315" s="126" t="str">
        <f t="shared" si="22"/>
        <v>-</v>
      </c>
      <c r="P315" s="164"/>
      <c r="Q315" s="164"/>
      <c r="R315" s="164"/>
      <c r="S315" s="164"/>
      <c r="T315" s="164"/>
      <c r="U315" s="164"/>
      <c r="V315" s="165"/>
    </row>
    <row r="316" spans="1:25" ht="27" customHeight="1">
      <c r="A316" s="192" t="str">
        <f>IF(ISBLANK(C316)," ",311-COUNTBLANK($C$6:C316))</f>
        <v xml:space="preserve"> </v>
      </c>
      <c r="B316" s="178"/>
      <c r="C316" s="178"/>
      <c r="D316" s="193"/>
      <c r="E316" s="193"/>
      <c r="F316" s="180"/>
      <c r="G316" s="180"/>
      <c r="H316" s="180"/>
      <c r="I316" s="180"/>
      <c r="J316" s="180"/>
      <c r="K316" s="180"/>
      <c r="L316" s="180"/>
      <c r="M316" s="181"/>
      <c r="N316" s="163" t="str">
        <f t="shared" si="21"/>
        <v/>
      </c>
      <c r="O316" s="126" t="str">
        <f t="shared" si="22"/>
        <v>-</v>
      </c>
      <c r="P316" s="164"/>
      <c r="Q316" s="164"/>
      <c r="R316" s="164"/>
      <c r="S316" s="164"/>
      <c r="T316" s="164"/>
      <c r="U316" s="164"/>
      <c r="V316" s="165"/>
    </row>
    <row r="317" spans="1:25" ht="27" customHeight="1">
      <c r="A317" s="192" t="str">
        <f>IF(ISBLANK(C317)," ",312-COUNTBLANK($C$6:C317))</f>
        <v xml:space="preserve"> </v>
      </c>
      <c r="B317" s="178"/>
      <c r="C317" s="178"/>
      <c r="D317" s="193"/>
      <c r="E317" s="193"/>
      <c r="F317" s="180"/>
      <c r="G317" s="180"/>
      <c r="H317" s="180"/>
      <c r="I317" s="180"/>
      <c r="J317" s="180"/>
      <c r="K317" s="180"/>
      <c r="L317" s="180"/>
      <c r="M317" s="181"/>
      <c r="N317" s="163" t="str">
        <f t="shared" si="21"/>
        <v/>
      </c>
      <c r="O317" s="126" t="str">
        <f t="shared" si="22"/>
        <v>-</v>
      </c>
      <c r="P317" s="164"/>
      <c r="Q317" s="164"/>
      <c r="R317" s="164"/>
      <c r="S317" s="164"/>
      <c r="T317" s="164"/>
      <c r="U317" s="164"/>
      <c r="V317" s="165"/>
    </row>
    <row r="318" spans="1:25" ht="27" customHeight="1">
      <c r="A318" s="192" t="str">
        <f>IF(ISBLANK(C318)," ",313-COUNTBLANK($C$6:C318))</f>
        <v xml:space="preserve"> </v>
      </c>
      <c r="B318" s="178"/>
      <c r="C318" s="178"/>
      <c r="D318" s="193"/>
      <c r="E318" s="193"/>
      <c r="F318" s="180"/>
      <c r="G318" s="180"/>
      <c r="H318" s="180"/>
      <c r="I318" s="180"/>
      <c r="J318" s="180"/>
      <c r="K318" s="180"/>
      <c r="L318" s="180"/>
      <c r="M318" s="181"/>
      <c r="N318" s="163" t="str">
        <f t="shared" si="21"/>
        <v/>
      </c>
      <c r="O318" s="126" t="str">
        <f t="shared" si="22"/>
        <v>-</v>
      </c>
      <c r="P318" s="164"/>
      <c r="Q318" s="164"/>
      <c r="R318" s="164"/>
      <c r="S318" s="164"/>
      <c r="T318" s="164"/>
      <c r="U318" s="164"/>
      <c r="V318" s="165"/>
    </row>
    <row r="319" spans="1:25" ht="27" customHeight="1">
      <c r="A319" s="192" t="str">
        <f>IF(ISBLANK(C319)," ",314-COUNTBLANK($C$6:C319))</f>
        <v xml:space="preserve"> </v>
      </c>
      <c r="B319" s="178"/>
      <c r="C319" s="178"/>
      <c r="D319" s="193"/>
      <c r="E319" s="193"/>
      <c r="F319" s="180"/>
      <c r="G319" s="180"/>
      <c r="H319" s="180"/>
      <c r="I319" s="180"/>
      <c r="J319" s="180"/>
      <c r="K319" s="180"/>
      <c r="L319" s="180"/>
      <c r="M319" s="181"/>
      <c r="N319" s="163" t="str">
        <f t="shared" si="21"/>
        <v/>
      </c>
      <c r="O319" s="126" t="str">
        <f t="shared" si="22"/>
        <v>-</v>
      </c>
      <c r="P319" s="164"/>
      <c r="Q319" s="164"/>
      <c r="R319" s="164"/>
      <c r="S319" s="164"/>
      <c r="T319" s="164"/>
      <c r="U319" s="164"/>
      <c r="V319" s="166"/>
      <c r="W319" s="164"/>
      <c r="X319" s="164"/>
      <c r="Y319" s="164"/>
    </row>
    <row r="320" spans="1:25" ht="27" customHeight="1">
      <c r="A320" s="172" t="s">
        <v>44</v>
      </c>
      <c r="B320" s="173"/>
      <c r="C320" s="174"/>
      <c r="D320" s="194"/>
      <c r="E320" s="194">
        <f>SUM(E300:E319)</f>
        <v>0</v>
      </c>
      <c r="F320" s="176"/>
      <c r="G320" s="176"/>
      <c r="H320" s="176"/>
      <c r="I320" s="176"/>
      <c r="J320" s="176"/>
      <c r="K320" s="176"/>
      <c r="L320" s="176"/>
      <c r="M320" s="177"/>
      <c r="N320" s="163" t="str">
        <f t="shared" si="21"/>
        <v/>
      </c>
      <c r="O320" s="126"/>
      <c r="P320" s="164"/>
      <c r="Q320" s="164"/>
      <c r="R320" s="164"/>
      <c r="S320" s="164"/>
      <c r="T320" s="164"/>
      <c r="U320" s="164"/>
      <c r="V320" s="166"/>
      <c r="W320" s="164"/>
      <c r="X320" s="164"/>
      <c r="Y320" s="164"/>
    </row>
    <row r="321" spans="1:22" ht="27" customHeight="1">
      <c r="A321" s="187" t="str">
        <f>IF(ISBLANK(C321)," ",316-COUNTBLANK($C$6:C321))</f>
        <v xml:space="preserve"> </v>
      </c>
      <c r="B321" s="188"/>
      <c r="C321" s="188"/>
      <c r="D321" s="189"/>
      <c r="E321" s="189"/>
      <c r="F321" s="190"/>
      <c r="G321" s="190"/>
      <c r="H321" s="190"/>
      <c r="I321" s="190"/>
      <c r="J321" s="190"/>
      <c r="K321" s="190"/>
      <c r="L321" s="190"/>
      <c r="M321" s="191"/>
      <c r="N321" s="163" t="str">
        <f>CONCATENATE(C321,H321)</f>
        <v/>
      </c>
      <c r="O321" s="126" t="str">
        <f>IF(D321&gt;=E321,"-","ERR")</f>
        <v>-</v>
      </c>
      <c r="P321" s="164"/>
      <c r="Q321" s="164"/>
      <c r="R321" s="164"/>
      <c r="S321" s="164"/>
      <c r="T321" s="164"/>
      <c r="U321" s="164"/>
      <c r="V321" s="164"/>
    </row>
    <row r="322" spans="1:22" ht="27" customHeight="1">
      <c r="A322" s="192" t="str">
        <f>IF(ISBLANK(C322)," ",317-COUNTBLANK($C$6:C322))</f>
        <v xml:space="preserve"> </v>
      </c>
      <c r="B322" s="178"/>
      <c r="C322" s="178"/>
      <c r="D322" s="193"/>
      <c r="E322" s="193"/>
      <c r="F322" s="180"/>
      <c r="G322" s="180"/>
      <c r="H322" s="180"/>
      <c r="I322" s="180"/>
      <c r="J322" s="180"/>
      <c r="K322" s="180"/>
      <c r="L322" s="180"/>
      <c r="M322" s="181"/>
      <c r="N322" s="163" t="str">
        <f t="shared" ref="N322:N341" si="23">CONCATENATE(C322,H322)</f>
        <v/>
      </c>
      <c r="O322" s="126" t="str">
        <f t="shared" ref="O322:O340" si="24">IF(D322&gt;=E322,"-","ERR")</f>
        <v>-</v>
      </c>
      <c r="P322" s="164"/>
      <c r="Q322" s="164"/>
      <c r="R322" s="164"/>
      <c r="S322" s="164"/>
      <c r="T322" s="164"/>
      <c r="U322" s="164"/>
      <c r="V322" s="164"/>
    </row>
    <row r="323" spans="1:22" ht="27" customHeight="1">
      <c r="A323" s="192" t="str">
        <f>IF(ISBLANK(C323)," ",318-COUNTBLANK($C$6:C323))</f>
        <v xml:space="preserve"> </v>
      </c>
      <c r="B323" s="178"/>
      <c r="C323" s="178"/>
      <c r="D323" s="193"/>
      <c r="E323" s="193"/>
      <c r="F323" s="180"/>
      <c r="G323" s="180"/>
      <c r="H323" s="180"/>
      <c r="I323" s="180"/>
      <c r="J323" s="180"/>
      <c r="K323" s="180"/>
      <c r="L323" s="180"/>
      <c r="M323" s="181"/>
      <c r="N323" s="163" t="str">
        <f t="shared" si="23"/>
        <v/>
      </c>
      <c r="O323" s="126" t="str">
        <f t="shared" si="24"/>
        <v>-</v>
      </c>
      <c r="P323" s="164"/>
      <c r="Q323" s="164"/>
      <c r="R323" s="164"/>
      <c r="S323" s="164"/>
      <c r="T323" s="164"/>
      <c r="U323" s="164"/>
      <c r="V323" s="164"/>
    </row>
    <row r="324" spans="1:22" ht="27" customHeight="1">
      <c r="A324" s="192" t="str">
        <f>IF(ISBLANK(C324)," ",319-COUNTBLANK($C$6:C324))</f>
        <v xml:space="preserve"> </v>
      </c>
      <c r="B324" s="178"/>
      <c r="C324" s="178"/>
      <c r="D324" s="193"/>
      <c r="E324" s="193"/>
      <c r="F324" s="180"/>
      <c r="G324" s="180"/>
      <c r="H324" s="180"/>
      <c r="I324" s="180"/>
      <c r="J324" s="180"/>
      <c r="K324" s="180"/>
      <c r="L324" s="180"/>
      <c r="M324" s="181"/>
      <c r="N324" s="163" t="str">
        <f t="shared" si="23"/>
        <v/>
      </c>
      <c r="O324" s="126" t="str">
        <f t="shared" si="24"/>
        <v>-</v>
      </c>
      <c r="P324" s="164"/>
      <c r="Q324" s="164"/>
      <c r="R324" s="164"/>
      <c r="S324" s="164"/>
      <c r="T324" s="164"/>
      <c r="U324" s="164"/>
      <c r="V324" s="164"/>
    </row>
    <row r="325" spans="1:22" ht="27" customHeight="1">
      <c r="A325" s="192" t="str">
        <f>IF(ISBLANK(C325)," ",320-COUNTBLANK($C$6:C325))</f>
        <v xml:space="preserve"> </v>
      </c>
      <c r="B325" s="178"/>
      <c r="C325" s="178"/>
      <c r="D325" s="193"/>
      <c r="E325" s="193"/>
      <c r="F325" s="180"/>
      <c r="G325" s="180"/>
      <c r="H325" s="180"/>
      <c r="I325" s="180"/>
      <c r="J325" s="180"/>
      <c r="K325" s="180"/>
      <c r="L325" s="180"/>
      <c r="M325" s="181"/>
      <c r="N325" s="163" t="str">
        <f t="shared" si="23"/>
        <v/>
      </c>
      <c r="O325" s="126" t="str">
        <f t="shared" si="24"/>
        <v>-</v>
      </c>
      <c r="P325" s="164"/>
      <c r="Q325" s="164"/>
      <c r="R325" s="164"/>
      <c r="S325" s="164"/>
      <c r="T325" s="164"/>
      <c r="U325" s="164"/>
      <c r="V325" s="164"/>
    </row>
    <row r="326" spans="1:22" ht="27" customHeight="1">
      <c r="A326" s="192" t="str">
        <f>IF(ISBLANK(C326)," ",321-COUNTBLANK($C$6:C326))</f>
        <v xml:space="preserve"> </v>
      </c>
      <c r="B326" s="178"/>
      <c r="C326" s="178"/>
      <c r="D326" s="193"/>
      <c r="E326" s="193"/>
      <c r="F326" s="180"/>
      <c r="G326" s="180"/>
      <c r="H326" s="180"/>
      <c r="I326" s="180"/>
      <c r="J326" s="180"/>
      <c r="K326" s="180"/>
      <c r="L326" s="180"/>
      <c r="M326" s="181"/>
      <c r="N326" s="163" t="str">
        <f t="shared" si="23"/>
        <v/>
      </c>
      <c r="O326" s="126" t="str">
        <f t="shared" si="24"/>
        <v>-</v>
      </c>
      <c r="P326" s="164"/>
      <c r="Q326" s="164"/>
      <c r="R326" s="164"/>
      <c r="S326" s="164"/>
      <c r="T326" s="164"/>
      <c r="U326" s="164"/>
      <c r="V326" s="164"/>
    </row>
    <row r="327" spans="1:22" ht="27" customHeight="1">
      <c r="A327" s="192" t="str">
        <f>IF(ISBLANK(C327)," ",322-COUNTBLANK($C$6:C327))</f>
        <v xml:space="preserve"> </v>
      </c>
      <c r="B327" s="178"/>
      <c r="C327" s="178"/>
      <c r="D327" s="193"/>
      <c r="E327" s="193"/>
      <c r="F327" s="180"/>
      <c r="G327" s="180"/>
      <c r="H327" s="180"/>
      <c r="I327" s="180"/>
      <c r="J327" s="180"/>
      <c r="K327" s="180"/>
      <c r="L327" s="180"/>
      <c r="M327" s="181"/>
      <c r="N327" s="163" t="str">
        <f t="shared" si="23"/>
        <v/>
      </c>
      <c r="O327" s="126" t="str">
        <f t="shared" si="24"/>
        <v>-</v>
      </c>
      <c r="P327" s="164"/>
      <c r="Q327" s="164"/>
      <c r="R327" s="164"/>
      <c r="S327" s="164"/>
      <c r="T327" s="164"/>
      <c r="U327" s="164"/>
      <c r="V327" s="164"/>
    </row>
    <row r="328" spans="1:22" ht="27" customHeight="1">
      <c r="A328" s="192" t="str">
        <f>IF(ISBLANK(C328)," ",323-COUNTBLANK($C$6:C328))</f>
        <v xml:space="preserve"> </v>
      </c>
      <c r="B328" s="178"/>
      <c r="C328" s="178"/>
      <c r="D328" s="193"/>
      <c r="E328" s="193"/>
      <c r="F328" s="180"/>
      <c r="G328" s="180"/>
      <c r="H328" s="180"/>
      <c r="I328" s="180"/>
      <c r="J328" s="180"/>
      <c r="K328" s="180"/>
      <c r="L328" s="180"/>
      <c r="M328" s="181"/>
      <c r="N328" s="163" t="str">
        <f t="shared" si="23"/>
        <v/>
      </c>
      <c r="O328" s="126" t="str">
        <f t="shared" si="24"/>
        <v>-</v>
      </c>
      <c r="P328" s="164"/>
      <c r="Q328" s="164"/>
      <c r="R328" s="164"/>
      <c r="S328" s="164"/>
      <c r="T328" s="164"/>
      <c r="U328" s="164"/>
      <c r="V328" s="164"/>
    </row>
    <row r="329" spans="1:22" ht="27" customHeight="1">
      <c r="A329" s="192" t="str">
        <f>IF(ISBLANK(C329)," ",324-COUNTBLANK($C$6:C329))</f>
        <v xml:space="preserve"> </v>
      </c>
      <c r="B329" s="178"/>
      <c r="C329" s="178"/>
      <c r="D329" s="193"/>
      <c r="E329" s="193"/>
      <c r="F329" s="180"/>
      <c r="G329" s="180"/>
      <c r="H329" s="180"/>
      <c r="I329" s="180"/>
      <c r="J329" s="180"/>
      <c r="K329" s="180"/>
      <c r="L329" s="180"/>
      <c r="M329" s="181"/>
      <c r="N329" s="163" t="str">
        <f t="shared" si="23"/>
        <v/>
      </c>
      <c r="O329" s="126" t="str">
        <f t="shared" si="24"/>
        <v>-</v>
      </c>
      <c r="P329" s="164"/>
      <c r="Q329" s="164"/>
      <c r="R329" s="164"/>
      <c r="S329" s="164"/>
      <c r="T329" s="164"/>
      <c r="U329" s="164"/>
      <c r="V329" s="164"/>
    </row>
    <row r="330" spans="1:22" ht="27" customHeight="1">
      <c r="A330" s="192" t="str">
        <f>IF(ISBLANK(C330)," ",325-COUNTBLANK($C$6:C330))</f>
        <v xml:space="preserve"> </v>
      </c>
      <c r="B330" s="178"/>
      <c r="C330" s="178"/>
      <c r="D330" s="193"/>
      <c r="E330" s="193"/>
      <c r="F330" s="180"/>
      <c r="G330" s="180"/>
      <c r="H330" s="180"/>
      <c r="I330" s="180"/>
      <c r="J330" s="180"/>
      <c r="K330" s="180"/>
      <c r="L330" s="180"/>
      <c r="M330" s="181"/>
      <c r="N330" s="163" t="str">
        <f t="shared" si="23"/>
        <v/>
      </c>
      <c r="O330" s="126" t="str">
        <f t="shared" si="24"/>
        <v>-</v>
      </c>
      <c r="P330" s="164"/>
      <c r="Q330" s="164"/>
      <c r="R330" s="164"/>
      <c r="S330" s="164"/>
      <c r="T330" s="164"/>
      <c r="U330" s="164"/>
      <c r="V330" s="164"/>
    </row>
    <row r="331" spans="1:22" ht="27" customHeight="1">
      <c r="A331" s="192" t="str">
        <f>IF(ISBLANK(C331)," ",326-COUNTBLANK($C$6:C331))</f>
        <v xml:space="preserve"> </v>
      </c>
      <c r="B331" s="178"/>
      <c r="C331" s="178"/>
      <c r="D331" s="193"/>
      <c r="E331" s="193"/>
      <c r="F331" s="180"/>
      <c r="G331" s="180"/>
      <c r="H331" s="180"/>
      <c r="I331" s="180"/>
      <c r="J331" s="180"/>
      <c r="K331" s="180"/>
      <c r="L331" s="180"/>
      <c r="M331" s="181"/>
      <c r="N331" s="163" t="str">
        <f t="shared" si="23"/>
        <v/>
      </c>
      <c r="O331" s="126" t="str">
        <f t="shared" si="24"/>
        <v>-</v>
      </c>
      <c r="P331" s="164"/>
      <c r="Q331" s="164"/>
      <c r="R331" s="164"/>
      <c r="S331" s="164"/>
      <c r="T331" s="164"/>
      <c r="U331" s="164"/>
      <c r="V331" s="164"/>
    </row>
    <row r="332" spans="1:22" ht="27" customHeight="1">
      <c r="A332" s="192" t="str">
        <f>IF(ISBLANK(C332)," ",327-COUNTBLANK($C$6:C332))</f>
        <v xml:space="preserve"> </v>
      </c>
      <c r="B332" s="178"/>
      <c r="C332" s="178"/>
      <c r="D332" s="193"/>
      <c r="E332" s="193"/>
      <c r="F332" s="180"/>
      <c r="G332" s="180"/>
      <c r="H332" s="180"/>
      <c r="I332" s="180"/>
      <c r="J332" s="180"/>
      <c r="K332" s="180"/>
      <c r="L332" s="180"/>
      <c r="M332" s="181"/>
      <c r="N332" s="163" t="str">
        <f t="shared" si="23"/>
        <v/>
      </c>
      <c r="O332" s="126" t="str">
        <f t="shared" si="24"/>
        <v>-</v>
      </c>
      <c r="P332" s="164"/>
      <c r="Q332" s="164"/>
      <c r="R332" s="164"/>
      <c r="S332" s="164"/>
      <c r="T332" s="164"/>
      <c r="U332" s="164"/>
      <c r="V332" s="164"/>
    </row>
    <row r="333" spans="1:22" ht="27" customHeight="1">
      <c r="A333" s="192" t="str">
        <f>IF(ISBLANK(C333)," ",328-COUNTBLANK($C$6:C333))</f>
        <v xml:space="preserve"> </v>
      </c>
      <c r="B333" s="178"/>
      <c r="C333" s="178"/>
      <c r="D333" s="193"/>
      <c r="E333" s="193"/>
      <c r="F333" s="180"/>
      <c r="G333" s="180"/>
      <c r="H333" s="180"/>
      <c r="I333" s="180"/>
      <c r="J333" s="180"/>
      <c r="K333" s="180"/>
      <c r="L333" s="180"/>
      <c r="M333" s="181"/>
      <c r="N333" s="163" t="str">
        <f t="shared" si="23"/>
        <v/>
      </c>
      <c r="O333" s="126" t="str">
        <f t="shared" si="24"/>
        <v>-</v>
      </c>
      <c r="P333" s="164"/>
      <c r="Q333" s="164"/>
      <c r="R333" s="164"/>
      <c r="S333" s="164"/>
      <c r="T333" s="164"/>
      <c r="U333" s="164"/>
      <c r="V333" s="164"/>
    </row>
    <row r="334" spans="1:22" ht="27" customHeight="1">
      <c r="A334" s="192" t="str">
        <f>IF(ISBLANK(C334)," ",329-COUNTBLANK($C$6:C334))</f>
        <v xml:space="preserve"> </v>
      </c>
      <c r="B334" s="178"/>
      <c r="C334" s="178"/>
      <c r="D334" s="193"/>
      <c r="E334" s="193"/>
      <c r="F334" s="180"/>
      <c r="G334" s="180"/>
      <c r="H334" s="180"/>
      <c r="I334" s="180"/>
      <c r="J334" s="180"/>
      <c r="K334" s="180"/>
      <c r="L334" s="180"/>
      <c r="M334" s="181"/>
      <c r="N334" s="163" t="str">
        <f t="shared" si="23"/>
        <v/>
      </c>
      <c r="O334" s="126" t="str">
        <f t="shared" si="24"/>
        <v>-</v>
      </c>
      <c r="P334" s="164"/>
      <c r="Q334" s="164"/>
      <c r="R334" s="164"/>
      <c r="S334" s="164"/>
      <c r="T334" s="164"/>
      <c r="U334" s="164"/>
      <c r="V334" s="164"/>
    </row>
    <row r="335" spans="1:22" ht="27" customHeight="1">
      <c r="A335" s="192" t="str">
        <f>IF(ISBLANK(C335)," ",330-COUNTBLANK($C$6:C335))</f>
        <v xml:space="preserve"> </v>
      </c>
      <c r="B335" s="178"/>
      <c r="C335" s="178"/>
      <c r="D335" s="193"/>
      <c r="E335" s="193"/>
      <c r="F335" s="180"/>
      <c r="G335" s="180"/>
      <c r="H335" s="180"/>
      <c r="I335" s="180"/>
      <c r="J335" s="180"/>
      <c r="K335" s="180"/>
      <c r="L335" s="180"/>
      <c r="M335" s="181"/>
      <c r="N335" s="163" t="str">
        <f t="shared" si="23"/>
        <v/>
      </c>
      <c r="O335" s="126" t="str">
        <f t="shared" si="24"/>
        <v>-</v>
      </c>
      <c r="P335" s="164"/>
      <c r="Q335" s="164"/>
      <c r="R335" s="164"/>
      <c r="S335" s="164"/>
      <c r="T335" s="164"/>
      <c r="U335" s="164"/>
      <c r="V335" s="164"/>
    </row>
    <row r="336" spans="1:22" ht="27" customHeight="1">
      <c r="A336" s="192" t="str">
        <f>IF(ISBLANK(C336)," ",331-COUNTBLANK($C$6:C336))</f>
        <v xml:space="preserve"> </v>
      </c>
      <c r="B336" s="178"/>
      <c r="C336" s="178"/>
      <c r="D336" s="193"/>
      <c r="E336" s="193"/>
      <c r="F336" s="180"/>
      <c r="G336" s="180"/>
      <c r="H336" s="180"/>
      <c r="I336" s="180"/>
      <c r="J336" s="180"/>
      <c r="K336" s="180"/>
      <c r="L336" s="180"/>
      <c r="M336" s="181"/>
      <c r="N336" s="163" t="str">
        <f t="shared" si="23"/>
        <v/>
      </c>
      <c r="O336" s="126" t="str">
        <f t="shared" si="24"/>
        <v>-</v>
      </c>
      <c r="P336" s="164"/>
      <c r="Q336" s="164"/>
      <c r="R336" s="164"/>
      <c r="S336" s="164"/>
      <c r="T336" s="164"/>
      <c r="U336" s="164"/>
      <c r="V336" s="165"/>
    </row>
    <row r="337" spans="1:25" ht="27" customHeight="1">
      <c r="A337" s="192" t="str">
        <f>IF(ISBLANK(C337)," ",332-COUNTBLANK($C$6:C337))</f>
        <v xml:space="preserve"> </v>
      </c>
      <c r="B337" s="178"/>
      <c r="C337" s="178"/>
      <c r="D337" s="193"/>
      <c r="E337" s="193"/>
      <c r="F337" s="180"/>
      <c r="G337" s="180"/>
      <c r="H337" s="180"/>
      <c r="I337" s="180"/>
      <c r="J337" s="180"/>
      <c r="K337" s="180"/>
      <c r="L337" s="180"/>
      <c r="M337" s="181"/>
      <c r="N337" s="163" t="str">
        <f t="shared" si="23"/>
        <v/>
      </c>
      <c r="O337" s="126" t="str">
        <f t="shared" si="24"/>
        <v>-</v>
      </c>
      <c r="P337" s="164"/>
      <c r="Q337" s="164"/>
      <c r="R337" s="164"/>
      <c r="S337" s="164"/>
      <c r="T337" s="164"/>
      <c r="U337" s="164"/>
      <c r="V337" s="165"/>
    </row>
    <row r="338" spans="1:25" ht="27" customHeight="1">
      <c r="A338" s="192" t="str">
        <f>IF(ISBLANK(C338)," ",333-COUNTBLANK($C$6:C338))</f>
        <v xml:space="preserve"> </v>
      </c>
      <c r="B338" s="178"/>
      <c r="C338" s="178"/>
      <c r="D338" s="193"/>
      <c r="E338" s="193"/>
      <c r="F338" s="180"/>
      <c r="G338" s="180"/>
      <c r="H338" s="180"/>
      <c r="I338" s="180"/>
      <c r="J338" s="180"/>
      <c r="K338" s="180"/>
      <c r="L338" s="180"/>
      <c r="M338" s="181"/>
      <c r="N338" s="163" t="str">
        <f t="shared" si="23"/>
        <v/>
      </c>
      <c r="O338" s="126" t="str">
        <f t="shared" si="24"/>
        <v>-</v>
      </c>
      <c r="P338" s="164"/>
      <c r="Q338" s="164"/>
      <c r="R338" s="164"/>
      <c r="S338" s="164"/>
      <c r="T338" s="164"/>
      <c r="U338" s="164"/>
      <c r="V338" s="165"/>
    </row>
    <row r="339" spans="1:25" ht="27" customHeight="1">
      <c r="A339" s="192" t="str">
        <f>IF(ISBLANK(C339)," ",334-COUNTBLANK($C$6:C339))</f>
        <v xml:space="preserve"> </v>
      </c>
      <c r="B339" s="178"/>
      <c r="C339" s="178"/>
      <c r="D339" s="193"/>
      <c r="E339" s="193"/>
      <c r="F339" s="180"/>
      <c r="G339" s="180"/>
      <c r="H339" s="180"/>
      <c r="I339" s="180"/>
      <c r="J339" s="180"/>
      <c r="K339" s="180"/>
      <c r="L339" s="180"/>
      <c r="M339" s="181"/>
      <c r="N339" s="163" t="str">
        <f t="shared" si="23"/>
        <v/>
      </c>
      <c r="O339" s="126" t="str">
        <f t="shared" si="24"/>
        <v>-</v>
      </c>
      <c r="P339" s="164"/>
      <c r="Q339" s="164"/>
      <c r="R339" s="164"/>
      <c r="S339" s="164"/>
      <c r="T339" s="164"/>
      <c r="U339" s="164"/>
      <c r="V339" s="165"/>
    </row>
    <row r="340" spans="1:25" ht="27" customHeight="1">
      <c r="A340" s="192" t="str">
        <f>IF(ISBLANK(C340)," ",335-COUNTBLANK($C$6:C340))</f>
        <v xml:space="preserve"> </v>
      </c>
      <c r="B340" s="178"/>
      <c r="C340" s="178"/>
      <c r="D340" s="193"/>
      <c r="E340" s="193"/>
      <c r="F340" s="180"/>
      <c r="G340" s="180"/>
      <c r="H340" s="180"/>
      <c r="I340" s="180"/>
      <c r="J340" s="180"/>
      <c r="K340" s="180"/>
      <c r="L340" s="180"/>
      <c r="M340" s="181"/>
      <c r="N340" s="163" t="str">
        <f t="shared" si="23"/>
        <v/>
      </c>
      <c r="O340" s="126" t="str">
        <f t="shared" si="24"/>
        <v>-</v>
      </c>
      <c r="P340" s="164"/>
      <c r="Q340" s="164"/>
      <c r="R340" s="164"/>
      <c r="S340" s="164"/>
      <c r="T340" s="164"/>
      <c r="U340" s="164"/>
      <c r="V340" s="166"/>
      <c r="W340" s="164"/>
      <c r="X340" s="164"/>
      <c r="Y340" s="164"/>
    </row>
    <row r="341" spans="1:25" ht="27" customHeight="1">
      <c r="A341" s="172" t="s">
        <v>44</v>
      </c>
      <c r="B341" s="173"/>
      <c r="C341" s="174"/>
      <c r="D341" s="194"/>
      <c r="E341" s="194">
        <f>SUM(E321:E340)</f>
        <v>0</v>
      </c>
      <c r="F341" s="176"/>
      <c r="G341" s="176"/>
      <c r="H341" s="176"/>
      <c r="I341" s="176"/>
      <c r="J341" s="176"/>
      <c r="K341" s="176"/>
      <c r="L341" s="176"/>
      <c r="M341" s="177"/>
      <c r="N341" s="163" t="str">
        <f t="shared" si="23"/>
        <v/>
      </c>
      <c r="O341" s="126"/>
      <c r="P341" s="164"/>
      <c r="Q341" s="164"/>
      <c r="R341" s="164"/>
      <c r="S341" s="164"/>
      <c r="T341" s="164"/>
      <c r="U341" s="164"/>
      <c r="V341" s="166"/>
      <c r="W341" s="164"/>
      <c r="X341" s="164"/>
      <c r="Y341" s="164"/>
    </row>
    <row r="342" spans="1:25" ht="27" customHeight="1">
      <c r="A342" s="187" t="str">
        <f>IF(ISBLANK(C342)," ",337-COUNTBLANK($C$6:C342))</f>
        <v xml:space="preserve"> </v>
      </c>
      <c r="B342" s="188"/>
      <c r="C342" s="188"/>
      <c r="D342" s="189"/>
      <c r="E342" s="189"/>
      <c r="F342" s="190"/>
      <c r="G342" s="190"/>
      <c r="H342" s="190"/>
      <c r="I342" s="190"/>
      <c r="J342" s="190"/>
      <c r="K342" s="190"/>
      <c r="L342" s="190"/>
      <c r="M342" s="191"/>
      <c r="N342" s="163" t="str">
        <f>CONCATENATE(C342,H342)</f>
        <v/>
      </c>
      <c r="O342" s="126" t="str">
        <f>IF(D342&gt;=E342,"-","ERR")</f>
        <v>-</v>
      </c>
      <c r="P342" s="164"/>
      <c r="Q342" s="164"/>
      <c r="R342" s="164"/>
      <c r="S342" s="164"/>
      <c r="T342" s="164"/>
      <c r="U342" s="164"/>
      <c r="V342" s="164"/>
    </row>
    <row r="343" spans="1:25" ht="27" customHeight="1">
      <c r="A343" s="192" t="str">
        <f>IF(ISBLANK(C343)," ",338-COUNTBLANK($C$6:C343))</f>
        <v xml:space="preserve"> </v>
      </c>
      <c r="B343" s="178"/>
      <c r="C343" s="178"/>
      <c r="D343" s="193"/>
      <c r="E343" s="193"/>
      <c r="F343" s="180"/>
      <c r="G343" s="180"/>
      <c r="H343" s="180"/>
      <c r="I343" s="180"/>
      <c r="J343" s="180"/>
      <c r="K343" s="180"/>
      <c r="L343" s="180"/>
      <c r="M343" s="181"/>
      <c r="N343" s="163" t="str">
        <f t="shared" ref="N343:N362" si="25">CONCATENATE(C343,H343)</f>
        <v/>
      </c>
      <c r="O343" s="126" t="str">
        <f t="shared" ref="O343:O361" si="26">IF(D343&gt;=E343,"-","ERR")</f>
        <v>-</v>
      </c>
      <c r="P343" s="164"/>
      <c r="Q343" s="164"/>
      <c r="R343" s="164"/>
      <c r="S343" s="164"/>
      <c r="T343" s="164"/>
      <c r="U343" s="164"/>
      <c r="V343" s="164"/>
    </row>
    <row r="344" spans="1:25" ht="27" customHeight="1">
      <c r="A344" s="192" t="str">
        <f>IF(ISBLANK(C344)," ",339-COUNTBLANK($C$6:C344))</f>
        <v xml:space="preserve"> </v>
      </c>
      <c r="B344" s="178"/>
      <c r="C344" s="178"/>
      <c r="D344" s="193"/>
      <c r="E344" s="193"/>
      <c r="F344" s="180"/>
      <c r="G344" s="180"/>
      <c r="H344" s="180"/>
      <c r="I344" s="180"/>
      <c r="J344" s="180"/>
      <c r="K344" s="180"/>
      <c r="L344" s="180"/>
      <c r="M344" s="181"/>
      <c r="N344" s="163" t="str">
        <f t="shared" si="25"/>
        <v/>
      </c>
      <c r="O344" s="126" t="str">
        <f t="shared" si="26"/>
        <v>-</v>
      </c>
      <c r="P344" s="164"/>
      <c r="Q344" s="164"/>
      <c r="R344" s="164"/>
      <c r="S344" s="164"/>
      <c r="T344" s="164"/>
      <c r="U344" s="164"/>
      <c r="V344" s="164"/>
    </row>
    <row r="345" spans="1:25" ht="27" customHeight="1">
      <c r="A345" s="192" t="str">
        <f>IF(ISBLANK(C345)," ",340-COUNTBLANK($C$6:C345))</f>
        <v xml:space="preserve"> </v>
      </c>
      <c r="B345" s="178"/>
      <c r="C345" s="178"/>
      <c r="D345" s="193"/>
      <c r="E345" s="193"/>
      <c r="F345" s="180"/>
      <c r="G345" s="180"/>
      <c r="H345" s="180"/>
      <c r="I345" s="180"/>
      <c r="J345" s="180"/>
      <c r="K345" s="180"/>
      <c r="L345" s="180"/>
      <c r="M345" s="181"/>
      <c r="N345" s="163" t="str">
        <f t="shared" si="25"/>
        <v/>
      </c>
      <c r="O345" s="126" t="str">
        <f t="shared" si="26"/>
        <v>-</v>
      </c>
      <c r="P345" s="164"/>
      <c r="Q345" s="164"/>
      <c r="R345" s="164"/>
      <c r="S345" s="164"/>
      <c r="T345" s="164"/>
      <c r="U345" s="164"/>
      <c r="V345" s="164"/>
    </row>
    <row r="346" spans="1:25" ht="27" customHeight="1">
      <c r="A346" s="192" t="str">
        <f>IF(ISBLANK(C346)," ",341-COUNTBLANK($C$6:C346))</f>
        <v xml:space="preserve"> </v>
      </c>
      <c r="B346" s="178"/>
      <c r="C346" s="178"/>
      <c r="D346" s="193"/>
      <c r="E346" s="193"/>
      <c r="F346" s="180"/>
      <c r="G346" s="180"/>
      <c r="H346" s="180"/>
      <c r="I346" s="180"/>
      <c r="J346" s="180"/>
      <c r="K346" s="180"/>
      <c r="L346" s="180"/>
      <c r="M346" s="181"/>
      <c r="N346" s="163" t="str">
        <f t="shared" si="25"/>
        <v/>
      </c>
      <c r="O346" s="126" t="str">
        <f t="shared" si="26"/>
        <v>-</v>
      </c>
      <c r="P346" s="164"/>
      <c r="Q346" s="164"/>
      <c r="R346" s="164"/>
      <c r="S346" s="164"/>
      <c r="T346" s="164"/>
      <c r="U346" s="164"/>
      <c r="V346" s="164"/>
    </row>
    <row r="347" spans="1:25" ht="27" customHeight="1">
      <c r="A347" s="192" t="str">
        <f>IF(ISBLANK(C347)," ",342-COUNTBLANK($C$6:C347))</f>
        <v xml:space="preserve"> </v>
      </c>
      <c r="B347" s="178"/>
      <c r="C347" s="178"/>
      <c r="D347" s="193"/>
      <c r="E347" s="193"/>
      <c r="F347" s="180"/>
      <c r="G347" s="180"/>
      <c r="H347" s="180"/>
      <c r="I347" s="180"/>
      <c r="J347" s="180"/>
      <c r="K347" s="180"/>
      <c r="L347" s="180"/>
      <c r="M347" s="181"/>
      <c r="N347" s="163" t="str">
        <f t="shared" si="25"/>
        <v/>
      </c>
      <c r="O347" s="126" t="str">
        <f t="shared" si="26"/>
        <v>-</v>
      </c>
      <c r="P347" s="164"/>
      <c r="Q347" s="164"/>
      <c r="R347" s="164"/>
      <c r="S347" s="164"/>
      <c r="T347" s="164"/>
      <c r="U347" s="164"/>
      <c r="V347" s="164"/>
    </row>
    <row r="348" spans="1:25" ht="27" customHeight="1">
      <c r="A348" s="192" t="str">
        <f>IF(ISBLANK(C348)," ",343-COUNTBLANK($C$6:C348))</f>
        <v xml:space="preserve"> </v>
      </c>
      <c r="B348" s="178"/>
      <c r="C348" s="178"/>
      <c r="D348" s="193"/>
      <c r="E348" s="193"/>
      <c r="F348" s="180"/>
      <c r="G348" s="180"/>
      <c r="H348" s="180"/>
      <c r="I348" s="180"/>
      <c r="J348" s="180"/>
      <c r="K348" s="180"/>
      <c r="L348" s="180"/>
      <c r="M348" s="181"/>
      <c r="N348" s="163" t="str">
        <f t="shared" si="25"/>
        <v/>
      </c>
      <c r="O348" s="126" t="str">
        <f t="shared" si="26"/>
        <v>-</v>
      </c>
      <c r="P348" s="164"/>
      <c r="Q348" s="164"/>
      <c r="R348" s="164"/>
      <c r="S348" s="164"/>
      <c r="T348" s="164"/>
      <c r="U348" s="164"/>
      <c r="V348" s="164"/>
    </row>
    <row r="349" spans="1:25" ht="27" customHeight="1">
      <c r="A349" s="192" t="str">
        <f>IF(ISBLANK(C349)," ",344-COUNTBLANK($C$6:C349))</f>
        <v xml:space="preserve"> </v>
      </c>
      <c r="B349" s="178"/>
      <c r="C349" s="178"/>
      <c r="D349" s="193"/>
      <c r="E349" s="193"/>
      <c r="F349" s="180"/>
      <c r="G349" s="180"/>
      <c r="H349" s="180"/>
      <c r="I349" s="180"/>
      <c r="J349" s="180"/>
      <c r="K349" s="180"/>
      <c r="L349" s="180"/>
      <c r="M349" s="181"/>
      <c r="N349" s="163" t="str">
        <f t="shared" si="25"/>
        <v/>
      </c>
      <c r="O349" s="126" t="str">
        <f t="shared" si="26"/>
        <v>-</v>
      </c>
      <c r="P349" s="164"/>
      <c r="Q349" s="164"/>
      <c r="R349" s="164"/>
      <c r="S349" s="164"/>
      <c r="T349" s="164"/>
      <c r="U349" s="164"/>
      <c r="V349" s="164"/>
    </row>
    <row r="350" spans="1:25" ht="27" customHeight="1">
      <c r="A350" s="192" t="str">
        <f>IF(ISBLANK(C350)," ",345-COUNTBLANK($C$6:C350))</f>
        <v xml:space="preserve"> </v>
      </c>
      <c r="B350" s="178"/>
      <c r="C350" s="178"/>
      <c r="D350" s="193"/>
      <c r="E350" s="193"/>
      <c r="F350" s="180"/>
      <c r="G350" s="180"/>
      <c r="H350" s="180"/>
      <c r="I350" s="180"/>
      <c r="J350" s="180"/>
      <c r="K350" s="180"/>
      <c r="L350" s="180"/>
      <c r="M350" s="181"/>
      <c r="N350" s="163" t="str">
        <f t="shared" si="25"/>
        <v/>
      </c>
      <c r="O350" s="126" t="str">
        <f t="shared" si="26"/>
        <v>-</v>
      </c>
      <c r="P350" s="164"/>
      <c r="Q350" s="164"/>
      <c r="R350" s="164"/>
      <c r="S350" s="164"/>
      <c r="T350" s="164"/>
      <c r="U350" s="164"/>
      <c r="V350" s="164"/>
    </row>
    <row r="351" spans="1:25" ht="27" customHeight="1">
      <c r="A351" s="192" t="str">
        <f>IF(ISBLANK(C351)," ",346-COUNTBLANK($C$6:C351))</f>
        <v xml:space="preserve"> </v>
      </c>
      <c r="B351" s="178"/>
      <c r="C351" s="178"/>
      <c r="D351" s="193"/>
      <c r="E351" s="193"/>
      <c r="F351" s="180"/>
      <c r="G351" s="180"/>
      <c r="H351" s="180"/>
      <c r="I351" s="180"/>
      <c r="J351" s="180"/>
      <c r="K351" s="180"/>
      <c r="L351" s="180"/>
      <c r="M351" s="181"/>
      <c r="N351" s="163" t="str">
        <f t="shared" si="25"/>
        <v/>
      </c>
      <c r="O351" s="126" t="str">
        <f t="shared" si="26"/>
        <v>-</v>
      </c>
      <c r="P351" s="164"/>
      <c r="Q351" s="164"/>
      <c r="R351" s="164"/>
      <c r="S351" s="164"/>
      <c r="T351" s="164"/>
      <c r="U351" s="164"/>
      <c r="V351" s="164"/>
    </row>
    <row r="352" spans="1:25" ht="27" customHeight="1">
      <c r="A352" s="192" t="str">
        <f>IF(ISBLANK(C352)," ",347-COUNTBLANK($C$6:C352))</f>
        <v xml:space="preserve"> </v>
      </c>
      <c r="B352" s="178"/>
      <c r="C352" s="178"/>
      <c r="D352" s="193"/>
      <c r="E352" s="193"/>
      <c r="F352" s="180"/>
      <c r="G352" s="180"/>
      <c r="H352" s="180"/>
      <c r="I352" s="180"/>
      <c r="J352" s="180"/>
      <c r="K352" s="180"/>
      <c r="L352" s="180"/>
      <c r="M352" s="181"/>
      <c r="N352" s="163" t="str">
        <f t="shared" si="25"/>
        <v/>
      </c>
      <c r="O352" s="126" t="str">
        <f t="shared" si="26"/>
        <v>-</v>
      </c>
      <c r="P352" s="164"/>
      <c r="Q352" s="164"/>
      <c r="R352" s="164"/>
      <c r="S352" s="164"/>
      <c r="T352" s="164"/>
      <c r="U352" s="164"/>
      <c r="V352" s="164"/>
    </row>
    <row r="353" spans="1:25" ht="27" customHeight="1">
      <c r="A353" s="192" t="str">
        <f>IF(ISBLANK(C353)," ",348-COUNTBLANK($C$6:C353))</f>
        <v xml:space="preserve"> </v>
      </c>
      <c r="B353" s="178"/>
      <c r="C353" s="178"/>
      <c r="D353" s="193"/>
      <c r="E353" s="193"/>
      <c r="F353" s="180"/>
      <c r="G353" s="180"/>
      <c r="H353" s="180"/>
      <c r="I353" s="180"/>
      <c r="J353" s="180"/>
      <c r="K353" s="180"/>
      <c r="L353" s="180"/>
      <c r="M353" s="181"/>
      <c r="N353" s="163" t="str">
        <f t="shared" si="25"/>
        <v/>
      </c>
      <c r="O353" s="126" t="str">
        <f t="shared" si="26"/>
        <v>-</v>
      </c>
      <c r="P353" s="164"/>
      <c r="Q353" s="164"/>
      <c r="R353" s="164"/>
      <c r="S353" s="164"/>
      <c r="T353" s="164"/>
      <c r="U353" s="164"/>
      <c r="V353" s="164"/>
    </row>
    <row r="354" spans="1:25" ht="27" customHeight="1">
      <c r="A354" s="192" t="str">
        <f>IF(ISBLANK(C354)," ",349-COUNTBLANK($C$6:C354))</f>
        <v xml:space="preserve"> </v>
      </c>
      <c r="B354" s="178"/>
      <c r="C354" s="178"/>
      <c r="D354" s="193"/>
      <c r="E354" s="193"/>
      <c r="F354" s="180"/>
      <c r="G354" s="180"/>
      <c r="H354" s="180"/>
      <c r="I354" s="180"/>
      <c r="J354" s="180"/>
      <c r="K354" s="180"/>
      <c r="L354" s="180"/>
      <c r="M354" s="181"/>
      <c r="N354" s="163" t="str">
        <f t="shared" si="25"/>
        <v/>
      </c>
      <c r="O354" s="126" t="str">
        <f t="shared" si="26"/>
        <v>-</v>
      </c>
      <c r="P354" s="164"/>
      <c r="Q354" s="164"/>
      <c r="R354" s="164"/>
      <c r="S354" s="164"/>
      <c r="T354" s="164"/>
      <c r="U354" s="164"/>
      <c r="V354" s="164"/>
    </row>
    <row r="355" spans="1:25" ht="27" customHeight="1">
      <c r="A355" s="192" t="str">
        <f>IF(ISBLANK(C355)," ",350-COUNTBLANK($C$6:C355))</f>
        <v xml:space="preserve"> </v>
      </c>
      <c r="B355" s="178"/>
      <c r="C355" s="178"/>
      <c r="D355" s="193"/>
      <c r="E355" s="193"/>
      <c r="F355" s="180"/>
      <c r="G355" s="180"/>
      <c r="H355" s="180"/>
      <c r="I355" s="180"/>
      <c r="J355" s="180"/>
      <c r="K355" s="180"/>
      <c r="L355" s="180"/>
      <c r="M355" s="181"/>
      <c r="N355" s="163" t="str">
        <f t="shared" si="25"/>
        <v/>
      </c>
      <c r="O355" s="126" t="str">
        <f t="shared" si="26"/>
        <v>-</v>
      </c>
      <c r="P355" s="164"/>
      <c r="Q355" s="164"/>
      <c r="R355" s="164"/>
      <c r="S355" s="164"/>
      <c r="T355" s="164"/>
      <c r="U355" s="164"/>
      <c r="V355" s="164"/>
    </row>
    <row r="356" spans="1:25" ht="27" customHeight="1">
      <c r="A356" s="192" t="str">
        <f>IF(ISBLANK(C356)," ",351-COUNTBLANK($C$6:C356))</f>
        <v xml:space="preserve"> </v>
      </c>
      <c r="B356" s="178"/>
      <c r="C356" s="178"/>
      <c r="D356" s="193"/>
      <c r="E356" s="193"/>
      <c r="F356" s="180"/>
      <c r="G356" s="180"/>
      <c r="H356" s="180"/>
      <c r="I356" s="180"/>
      <c r="J356" s="180"/>
      <c r="K356" s="180"/>
      <c r="L356" s="180"/>
      <c r="M356" s="181"/>
      <c r="N356" s="163" t="str">
        <f t="shared" si="25"/>
        <v/>
      </c>
      <c r="O356" s="126" t="str">
        <f t="shared" si="26"/>
        <v>-</v>
      </c>
      <c r="P356" s="164"/>
      <c r="Q356" s="164"/>
      <c r="R356" s="164"/>
      <c r="S356" s="164"/>
      <c r="T356" s="164"/>
      <c r="U356" s="164"/>
      <c r="V356" s="164"/>
    </row>
    <row r="357" spans="1:25" ht="27" customHeight="1">
      <c r="A357" s="192" t="str">
        <f>IF(ISBLANK(C357)," ",352-COUNTBLANK($C$6:C357))</f>
        <v xml:space="preserve"> </v>
      </c>
      <c r="B357" s="178"/>
      <c r="C357" s="178"/>
      <c r="D357" s="193"/>
      <c r="E357" s="193"/>
      <c r="F357" s="180"/>
      <c r="G357" s="180"/>
      <c r="H357" s="180"/>
      <c r="I357" s="180"/>
      <c r="J357" s="180"/>
      <c r="K357" s="180"/>
      <c r="L357" s="180"/>
      <c r="M357" s="181"/>
      <c r="N357" s="163" t="str">
        <f t="shared" si="25"/>
        <v/>
      </c>
      <c r="O357" s="126" t="str">
        <f t="shared" si="26"/>
        <v>-</v>
      </c>
      <c r="P357" s="164"/>
      <c r="Q357" s="164"/>
      <c r="R357" s="164"/>
      <c r="S357" s="164"/>
      <c r="T357" s="164"/>
      <c r="U357" s="164"/>
      <c r="V357" s="165"/>
    </row>
    <row r="358" spans="1:25" ht="27" customHeight="1">
      <c r="A358" s="192" t="str">
        <f>IF(ISBLANK(C358)," ",353-COUNTBLANK($C$6:C358))</f>
        <v xml:space="preserve"> </v>
      </c>
      <c r="B358" s="178"/>
      <c r="C358" s="178"/>
      <c r="D358" s="193"/>
      <c r="E358" s="193"/>
      <c r="F358" s="180"/>
      <c r="G358" s="180"/>
      <c r="H358" s="180"/>
      <c r="I358" s="180"/>
      <c r="J358" s="180"/>
      <c r="K358" s="180"/>
      <c r="L358" s="180"/>
      <c r="M358" s="181"/>
      <c r="N358" s="163" t="str">
        <f t="shared" si="25"/>
        <v/>
      </c>
      <c r="O358" s="126" t="str">
        <f t="shared" si="26"/>
        <v>-</v>
      </c>
      <c r="P358" s="164"/>
      <c r="Q358" s="164"/>
      <c r="R358" s="164"/>
      <c r="S358" s="164"/>
      <c r="T358" s="164"/>
      <c r="U358" s="164"/>
      <c r="V358" s="165"/>
    </row>
    <row r="359" spans="1:25" ht="27" customHeight="1">
      <c r="A359" s="192" t="str">
        <f>IF(ISBLANK(C359)," ",354-COUNTBLANK($C$6:C359))</f>
        <v xml:space="preserve"> </v>
      </c>
      <c r="B359" s="178"/>
      <c r="C359" s="178"/>
      <c r="D359" s="193"/>
      <c r="E359" s="193"/>
      <c r="F359" s="180"/>
      <c r="G359" s="180"/>
      <c r="H359" s="180"/>
      <c r="I359" s="180"/>
      <c r="J359" s="180"/>
      <c r="K359" s="180"/>
      <c r="L359" s="180"/>
      <c r="M359" s="181"/>
      <c r="N359" s="163" t="str">
        <f t="shared" si="25"/>
        <v/>
      </c>
      <c r="O359" s="126" t="str">
        <f t="shared" si="26"/>
        <v>-</v>
      </c>
      <c r="P359" s="164"/>
      <c r="Q359" s="164"/>
      <c r="R359" s="164"/>
      <c r="S359" s="164"/>
      <c r="T359" s="164"/>
      <c r="U359" s="164"/>
      <c r="V359" s="165"/>
    </row>
    <row r="360" spans="1:25" ht="27" customHeight="1">
      <c r="A360" s="192" t="str">
        <f>IF(ISBLANK(C360)," ",355-COUNTBLANK($C$6:C360))</f>
        <v xml:space="preserve"> </v>
      </c>
      <c r="B360" s="178"/>
      <c r="C360" s="178"/>
      <c r="D360" s="193"/>
      <c r="E360" s="193"/>
      <c r="F360" s="180"/>
      <c r="G360" s="180"/>
      <c r="H360" s="180"/>
      <c r="I360" s="180"/>
      <c r="J360" s="180"/>
      <c r="K360" s="180"/>
      <c r="L360" s="180"/>
      <c r="M360" s="181"/>
      <c r="N360" s="163" t="str">
        <f t="shared" si="25"/>
        <v/>
      </c>
      <c r="O360" s="126" t="str">
        <f t="shared" si="26"/>
        <v>-</v>
      </c>
      <c r="P360" s="164"/>
      <c r="Q360" s="164"/>
      <c r="R360" s="164"/>
      <c r="S360" s="164"/>
      <c r="T360" s="164"/>
      <c r="U360" s="164"/>
      <c r="V360" s="165"/>
    </row>
    <row r="361" spans="1:25" ht="27" customHeight="1">
      <c r="A361" s="192" t="str">
        <f>IF(ISBLANK(C361)," ",356-COUNTBLANK($C$6:C361))</f>
        <v xml:space="preserve"> </v>
      </c>
      <c r="B361" s="178"/>
      <c r="C361" s="178"/>
      <c r="D361" s="193"/>
      <c r="E361" s="193"/>
      <c r="F361" s="180"/>
      <c r="G361" s="180"/>
      <c r="H361" s="180"/>
      <c r="I361" s="180"/>
      <c r="J361" s="180"/>
      <c r="K361" s="180"/>
      <c r="L361" s="180"/>
      <c r="M361" s="181"/>
      <c r="N361" s="163" t="str">
        <f t="shared" si="25"/>
        <v/>
      </c>
      <c r="O361" s="126" t="str">
        <f t="shared" si="26"/>
        <v>-</v>
      </c>
      <c r="P361" s="164"/>
      <c r="Q361" s="164"/>
      <c r="R361" s="164"/>
      <c r="S361" s="164"/>
      <c r="T361" s="164"/>
      <c r="U361" s="164"/>
      <c r="V361" s="166"/>
      <c r="W361" s="164"/>
      <c r="X361" s="164"/>
      <c r="Y361" s="164"/>
    </row>
    <row r="362" spans="1:25" ht="27" customHeight="1">
      <c r="A362" s="172" t="s">
        <v>44</v>
      </c>
      <c r="B362" s="173"/>
      <c r="C362" s="174"/>
      <c r="D362" s="194"/>
      <c r="E362" s="194">
        <f>SUM(E342:E361)</f>
        <v>0</v>
      </c>
      <c r="F362" s="176"/>
      <c r="G362" s="176"/>
      <c r="H362" s="176"/>
      <c r="I362" s="176"/>
      <c r="J362" s="176"/>
      <c r="K362" s="176"/>
      <c r="L362" s="176"/>
      <c r="M362" s="177"/>
      <c r="N362" s="163" t="str">
        <f t="shared" si="25"/>
        <v/>
      </c>
      <c r="O362" s="126"/>
      <c r="P362" s="164"/>
      <c r="Q362" s="164"/>
      <c r="R362" s="164"/>
      <c r="S362" s="164"/>
      <c r="T362" s="164"/>
      <c r="U362" s="164"/>
      <c r="V362" s="166"/>
      <c r="W362" s="164"/>
      <c r="X362" s="164"/>
      <c r="Y362" s="164"/>
    </row>
    <row r="363" spans="1:25" ht="27" customHeight="1">
      <c r="A363" s="187" t="str">
        <f>IF(ISBLANK(C363)," ",358-COUNTBLANK($C$6:C363))</f>
        <v xml:space="preserve"> </v>
      </c>
      <c r="B363" s="188"/>
      <c r="C363" s="188"/>
      <c r="D363" s="189"/>
      <c r="E363" s="189"/>
      <c r="F363" s="190"/>
      <c r="G363" s="190"/>
      <c r="H363" s="190"/>
      <c r="I363" s="190"/>
      <c r="J363" s="190"/>
      <c r="K363" s="190"/>
      <c r="L363" s="190"/>
      <c r="M363" s="191"/>
      <c r="N363" s="163" t="str">
        <f>CONCATENATE(C363,H363)</f>
        <v/>
      </c>
      <c r="O363" s="126" t="str">
        <f>IF(D363&gt;=E363,"-","ERR")</f>
        <v>-</v>
      </c>
      <c r="P363" s="164"/>
      <c r="Q363" s="164"/>
      <c r="R363" s="164"/>
      <c r="S363" s="164"/>
      <c r="T363" s="164"/>
      <c r="U363" s="164"/>
      <c r="V363" s="164"/>
    </row>
    <row r="364" spans="1:25" ht="27" customHeight="1">
      <c r="A364" s="192" t="str">
        <f>IF(ISBLANK(C364)," ",359-COUNTBLANK($C$6:C364))</f>
        <v xml:space="preserve"> </v>
      </c>
      <c r="B364" s="178"/>
      <c r="C364" s="178"/>
      <c r="D364" s="193"/>
      <c r="E364" s="193"/>
      <c r="F364" s="180"/>
      <c r="G364" s="180"/>
      <c r="H364" s="180"/>
      <c r="I364" s="180"/>
      <c r="J364" s="180"/>
      <c r="K364" s="180"/>
      <c r="L364" s="180"/>
      <c r="M364" s="181"/>
      <c r="N364" s="163" t="str">
        <f t="shared" ref="N364:N383" si="27">CONCATENATE(C364,H364)</f>
        <v/>
      </c>
      <c r="O364" s="126" t="str">
        <f t="shared" ref="O364:O382" si="28">IF(D364&gt;=E364,"-","ERR")</f>
        <v>-</v>
      </c>
      <c r="P364" s="164"/>
      <c r="Q364" s="164"/>
      <c r="R364" s="164"/>
      <c r="S364" s="164"/>
      <c r="T364" s="164"/>
      <c r="U364" s="164"/>
      <c r="V364" s="164"/>
    </row>
    <row r="365" spans="1:25" ht="27" customHeight="1">
      <c r="A365" s="192" t="str">
        <f>IF(ISBLANK(C365)," ",360-COUNTBLANK($C$6:C365))</f>
        <v xml:space="preserve"> </v>
      </c>
      <c r="B365" s="178"/>
      <c r="C365" s="178"/>
      <c r="D365" s="193"/>
      <c r="E365" s="193"/>
      <c r="F365" s="180"/>
      <c r="G365" s="180"/>
      <c r="H365" s="180"/>
      <c r="I365" s="180"/>
      <c r="J365" s="180"/>
      <c r="K365" s="180"/>
      <c r="L365" s="180"/>
      <c r="M365" s="181"/>
      <c r="N365" s="163" t="str">
        <f t="shared" si="27"/>
        <v/>
      </c>
      <c r="O365" s="126" t="str">
        <f t="shared" si="28"/>
        <v>-</v>
      </c>
      <c r="P365" s="164"/>
      <c r="Q365" s="164"/>
      <c r="R365" s="164"/>
      <c r="S365" s="164"/>
      <c r="T365" s="164"/>
      <c r="U365" s="164"/>
      <c r="V365" s="164"/>
    </row>
    <row r="366" spans="1:25" ht="27" customHeight="1">
      <c r="A366" s="192" t="str">
        <f>IF(ISBLANK(C366)," ",361-COUNTBLANK($C$6:C366))</f>
        <v xml:space="preserve"> </v>
      </c>
      <c r="B366" s="178"/>
      <c r="C366" s="178"/>
      <c r="D366" s="193"/>
      <c r="E366" s="193"/>
      <c r="F366" s="180"/>
      <c r="G366" s="180"/>
      <c r="H366" s="180"/>
      <c r="I366" s="180"/>
      <c r="J366" s="180"/>
      <c r="K366" s="180"/>
      <c r="L366" s="180"/>
      <c r="M366" s="181"/>
      <c r="N366" s="163" t="str">
        <f t="shared" si="27"/>
        <v/>
      </c>
      <c r="O366" s="126" t="str">
        <f t="shared" si="28"/>
        <v>-</v>
      </c>
      <c r="P366" s="164"/>
      <c r="Q366" s="164"/>
      <c r="R366" s="164"/>
      <c r="S366" s="164"/>
      <c r="T366" s="164"/>
      <c r="U366" s="164"/>
      <c r="V366" s="164"/>
    </row>
    <row r="367" spans="1:25" ht="27" customHeight="1">
      <c r="A367" s="192" t="str">
        <f>IF(ISBLANK(C367)," ",362-COUNTBLANK($C$6:C367))</f>
        <v xml:space="preserve"> </v>
      </c>
      <c r="B367" s="178"/>
      <c r="C367" s="178"/>
      <c r="D367" s="193"/>
      <c r="E367" s="193"/>
      <c r="F367" s="180"/>
      <c r="G367" s="180"/>
      <c r="H367" s="180"/>
      <c r="I367" s="180"/>
      <c r="J367" s="180"/>
      <c r="K367" s="180"/>
      <c r="L367" s="180"/>
      <c r="M367" s="181"/>
      <c r="N367" s="163" t="str">
        <f t="shared" si="27"/>
        <v/>
      </c>
      <c r="O367" s="126" t="str">
        <f t="shared" si="28"/>
        <v>-</v>
      </c>
      <c r="P367" s="164"/>
      <c r="Q367" s="164"/>
      <c r="R367" s="164"/>
      <c r="S367" s="164"/>
      <c r="T367" s="164"/>
      <c r="U367" s="164"/>
      <c r="V367" s="164"/>
    </row>
    <row r="368" spans="1:25" ht="27" customHeight="1">
      <c r="A368" s="192" t="str">
        <f>IF(ISBLANK(C368)," ",363-COUNTBLANK($C$6:C368))</f>
        <v xml:space="preserve"> </v>
      </c>
      <c r="B368" s="178"/>
      <c r="C368" s="178"/>
      <c r="D368" s="193"/>
      <c r="E368" s="193"/>
      <c r="F368" s="180"/>
      <c r="G368" s="180"/>
      <c r="H368" s="180"/>
      <c r="I368" s="180"/>
      <c r="J368" s="180"/>
      <c r="K368" s="180"/>
      <c r="L368" s="180"/>
      <c r="M368" s="181"/>
      <c r="N368" s="163" t="str">
        <f t="shared" si="27"/>
        <v/>
      </c>
      <c r="O368" s="126" t="str">
        <f t="shared" si="28"/>
        <v>-</v>
      </c>
      <c r="P368" s="164"/>
      <c r="Q368" s="164"/>
      <c r="R368" s="164"/>
      <c r="S368" s="164"/>
      <c r="T368" s="164"/>
      <c r="U368" s="164"/>
      <c r="V368" s="164"/>
    </row>
    <row r="369" spans="1:25" ht="27" customHeight="1">
      <c r="A369" s="192" t="str">
        <f>IF(ISBLANK(C369)," ",364-COUNTBLANK($C$6:C369))</f>
        <v xml:space="preserve"> </v>
      </c>
      <c r="B369" s="178"/>
      <c r="C369" s="178"/>
      <c r="D369" s="193"/>
      <c r="E369" s="193"/>
      <c r="F369" s="180"/>
      <c r="G369" s="180"/>
      <c r="H369" s="180"/>
      <c r="I369" s="180"/>
      <c r="J369" s="180"/>
      <c r="K369" s="180"/>
      <c r="L369" s="180"/>
      <c r="M369" s="181"/>
      <c r="N369" s="163" t="str">
        <f t="shared" si="27"/>
        <v/>
      </c>
      <c r="O369" s="126" t="str">
        <f t="shared" si="28"/>
        <v>-</v>
      </c>
      <c r="P369" s="164"/>
      <c r="Q369" s="164"/>
      <c r="R369" s="164"/>
      <c r="S369" s="164"/>
      <c r="T369" s="164"/>
      <c r="U369" s="164"/>
      <c r="V369" s="164"/>
    </row>
    <row r="370" spans="1:25" ht="27" customHeight="1">
      <c r="A370" s="192" t="str">
        <f>IF(ISBLANK(C370)," ",365-COUNTBLANK($C$6:C370))</f>
        <v xml:space="preserve"> </v>
      </c>
      <c r="B370" s="178"/>
      <c r="C370" s="178"/>
      <c r="D370" s="193"/>
      <c r="E370" s="193"/>
      <c r="F370" s="180"/>
      <c r="G370" s="180"/>
      <c r="H370" s="180"/>
      <c r="I370" s="180"/>
      <c r="J370" s="180"/>
      <c r="K370" s="180"/>
      <c r="L370" s="180"/>
      <c r="M370" s="181"/>
      <c r="N370" s="163" t="str">
        <f t="shared" si="27"/>
        <v/>
      </c>
      <c r="O370" s="126" t="str">
        <f t="shared" si="28"/>
        <v>-</v>
      </c>
      <c r="P370" s="164"/>
      <c r="Q370" s="164"/>
      <c r="R370" s="164"/>
      <c r="S370" s="164"/>
      <c r="T370" s="164"/>
      <c r="U370" s="164"/>
      <c r="V370" s="164"/>
    </row>
    <row r="371" spans="1:25" ht="27" customHeight="1">
      <c r="A371" s="192" t="str">
        <f>IF(ISBLANK(C371)," ",366-COUNTBLANK($C$6:C371))</f>
        <v xml:space="preserve"> </v>
      </c>
      <c r="B371" s="178"/>
      <c r="C371" s="178"/>
      <c r="D371" s="193"/>
      <c r="E371" s="193"/>
      <c r="F371" s="180"/>
      <c r="G371" s="180"/>
      <c r="H371" s="180"/>
      <c r="I371" s="180"/>
      <c r="J371" s="180"/>
      <c r="K371" s="180"/>
      <c r="L371" s="180"/>
      <c r="M371" s="181"/>
      <c r="N371" s="163" t="str">
        <f t="shared" si="27"/>
        <v/>
      </c>
      <c r="O371" s="126" t="str">
        <f t="shared" si="28"/>
        <v>-</v>
      </c>
      <c r="P371" s="164"/>
      <c r="Q371" s="164"/>
      <c r="R371" s="164"/>
      <c r="S371" s="164"/>
      <c r="T371" s="164"/>
      <c r="U371" s="164"/>
      <c r="V371" s="164"/>
    </row>
    <row r="372" spans="1:25" ht="27" customHeight="1">
      <c r="A372" s="192" t="str">
        <f>IF(ISBLANK(C372)," ",367-COUNTBLANK($C$6:C372))</f>
        <v xml:space="preserve"> </v>
      </c>
      <c r="B372" s="178"/>
      <c r="C372" s="178"/>
      <c r="D372" s="193"/>
      <c r="E372" s="193"/>
      <c r="F372" s="180"/>
      <c r="G372" s="180"/>
      <c r="H372" s="180"/>
      <c r="I372" s="180"/>
      <c r="J372" s="180"/>
      <c r="K372" s="180"/>
      <c r="L372" s="180"/>
      <c r="M372" s="181"/>
      <c r="N372" s="163" t="str">
        <f t="shared" si="27"/>
        <v/>
      </c>
      <c r="O372" s="126" t="str">
        <f t="shared" si="28"/>
        <v>-</v>
      </c>
      <c r="P372" s="164"/>
      <c r="Q372" s="164"/>
      <c r="R372" s="164"/>
      <c r="S372" s="164"/>
      <c r="T372" s="164"/>
      <c r="U372" s="164"/>
      <c r="V372" s="164"/>
    </row>
    <row r="373" spans="1:25" ht="27" customHeight="1">
      <c r="A373" s="192" t="str">
        <f>IF(ISBLANK(C373)," ",368-COUNTBLANK($C$6:C373))</f>
        <v xml:space="preserve"> </v>
      </c>
      <c r="B373" s="178"/>
      <c r="C373" s="178"/>
      <c r="D373" s="193"/>
      <c r="E373" s="193"/>
      <c r="F373" s="180"/>
      <c r="G373" s="180"/>
      <c r="H373" s="180"/>
      <c r="I373" s="180"/>
      <c r="J373" s="180"/>
      <c r="K373" s="180"/>
      <c r="L373" s="180"/>
      <c r="M373" s="181"/>
      <c r="N373" s="163" t="str">
        <f t="shared" si="27"/>
        <v/>
      </c>
      <c r="O373" s="126" t="str">
        <f t="shared" si="28"/>
        <v>-</v>
      </c>
      <c r="P373" s="164"/>
      <c r="Q373" s="164"/>
      <c r="R373" s="164"/>
      <c r="S373" s="164"/>
      <c r="T373" s="164"/>
      <c r="U373" s="164"/>
      <c r="V373" s="164"/>
    </row>
    <row r="374" spans="1:25" ht="27" customHeight="1">
      <c r="A374" s="192" t="str">
        <f>IF(ISBLANK(C374)," ",369-COUNTBLANK($C$6:C374))</f>
        <v xml:space="preserve"> </v>
      </c>
      <c r="B374" s="178"/>
      <c r="C374" s="178"/>
      <c r="D374" s="193"/>
      <c r="E374" s="193"/>
      <c r="F374" s="180"/>
      <c r="G374" s="180"/>
      <c r="H374" s="180"/>
      <c r="I374" s="180"/>
      <c r="J374" s="180"/>
      <c r="K374" s="180"/>
      <c r="L374" s="180"/>
      <c r="M374" s="181"/>
      <c r="N374" s="163" t="str">
        <f t="shared" si="27"/>
        <v/>
      </c>
      <c r="O374" s="126" t="str">
        <f t="shared" si="28"/>
        <v>-</v>
      </c>
      <c r="P374" s="164"/>
      <c r="Q374" s="164"/>
      <c r="R374" s="164"/>
      <c r="S374" s="164"/>
      <c r="T374" s="164"/>
      <c r="U374" s="164"/>
      <c r="V374" s="164"/>
    </row>
    <row r="375" spans="1:25" ht="27" customHeight="1">
      <c r="A375" s="192" t="str">
        <f>IF(ISBLANK(C375)," ",370-COUNTBLANK($C$6:C375))</f>
        <v xml:space="preserve"> </v>
      </c>
      <c r="B375" s="178"/>
      <c r="C375" s="178"/>
      <c r="D375" s="193"/>
      <c r="E375" s="193"/>
      <c r="F375" s="180"/>
      <c r="G375" s="180"/>
      <c r="H375" s="180"/>
      <c r="I375" s="180"/>
      <c r="J375" s="180"/>
      <c r="K375" s="180"/>
      <c r="L375" s="180"/>
      <c r="M375" s="181"/>
      <c r="N375" s="163" t="str">
        <f t="shared" si="27"/>
        <v/>
      </c>
      <c r="O375" s="126" t="str">
        <f t="shared" si="28"/>
        <v>-</v>
      </c>
      <c r="P375" s="164"/>
      <c r="Q375" s="164"/>
      <c r="R375" s="164"/>
      <c r="S375" s="164"/>
      <c r="T375" s="164"/>
      <c r="U375" s="164"/>
      <c r="V375" s="164"/>
    </row>
    <row r="376" spans="1:25" ht="27" customHeight="1">
      <c r="A376" s="192" t="str">
        <f>IF(ISBLANK(C376)," ",371-COUNTBLANK($C$6:C376))</f>
        <v xml:space="preserve"> </v>
      </c>
      <c r="B376" s="178"/>
      <c r="C376" s="178"/>
      <c r="D376" s="193"/>
      <c r="E376" s="193"/>
      <c r="F376" s="180"/>
      <c r="G376" s="180"/>
      <c r="H376" s="180"/>
      <c r="I376" s="180"/>
      <c r="J376" s="180"/>
      <c r="K376" s="180"/>
      <c r="L376" s="180"/>
      <c r="M376" s="181"/>
      <c r="N376" s="163" t="str">
        <f t="shared" si="27"/>
        <v/>
      </c>
      <c r="O376" s="126" t="str">
        <f t="shared" si="28"/>
        <v>-</v>
      </c>
      <c r="P376" s="164"/>
      <c r="Q376" s="164"/>
      <c r="R376" s="164"/>
      <c r="S376" s="164"/>
      <c r="T376" s="164"/>
      <c r="U376" s="164"/>
      <c r="V376" s="164"/>
    </row>
    <row r="377" spans="1:25" ht="27" customHeight="1">
      <c r="A377" s="192" t="str">
        <f>IF(ISBLANK(C377)," ",372-COUNTBLANK($C$6:C377))</f>
        <v xml:space="preserve"> </v>
      </c>
      <c r="B377" s="178"/>
      <c r="C377" s="178"/>
      <c r="D377" s="193"/>
      <c r="E377" s="193"/>
      <c r="F377" s="180"/>
      <c r="G377" s="180"/>
      <c r="H377" s="180"/>
      <c r="I377" s="180"/>
      <c r="J377" s="180"/>
      <c r="K377" s="180"/>
      <c r="L377" s="180"/>
      <c r="M377" s="181"/>
      <c r="N377" s="163" t="str">
        <f t="shared" si="27"/>
        <v/>
      </c>
      <c r="O377" s="126" t="str">
        <f t="shared" si="28"/>
        <v>-</v>
      </c>
      <c r="P377" s="164"/>
      <c r="Q377" s="164"/>
      <c r="R377" s="164"/>
      <c r="S377" s="164"/>
      <c r="T377" s="164"/>
      <c r="U377" s="164"/>
      <c r="V377" s="164"/>
    </row>
    <row r="378" spans="1:25" ht="27" customHeight="1">
      <c r="A378" s="192" t="str">
        <f>IF(ISBLANK(C378)," ",373-COUNTBLANK($C$6:C378))</f>
        <v xml:space="preserve"> </v>
      </c>
      <c r="B378" s="178"/>
      <c r="C378" s="178"/>
      <c r="D378" s="193"/>
      <c r="E378" s="193"/>
      <c r="F378" s="180"/>
      <c r="G378" s="180"/>
      <c r="H378" s="180"/>
      <c r="I378" s="180"/>
      <c r="J378" s="180"/>
      <c r="K378" s="180"/>
      <c r="L378" s="180"/>
      <c r="M378" s="181"/>
      <c r="N378" s="163" t="str">
        <f t="shared" si="27"/>
        <v/>
      </c>
      <c r="O378" s="126" t="str">
        <f t="shared" si="28"/>
        <v>-</v>
      </c>
      <c r="P378" s="164"/>
      <c r="Q378" s="164"/>
      <c r="R378" s="164"/>
      <c r="S378" s="164"/>
      <c r="T378" s="164"/>
      <c r="U378" s="164"/>
      <c r="V378" s="165"/>
    </row>
    <row r="379" spans="1:25" ht="27" customHeight="1">
      <c r="A379" s="192" t="str">
        <f>IF(ISBLANK(C379)," ",374-COUNTBLANK($C$6:C379))</f>
        <v xml:space="preserve"> </v>
      </c>
      <c r="B379" s="178"/>
      <c r="C379" s="178"/>
      <c r="D379" s="193"/>
      <c r="E379" s="193"/>
      <c r="F379" s="180"/>
      <c r="G379" s="180"/>
      <c r="H379" s="180"/>
      <c r="I379" s="180"/>
      <c r="J379" s="180"/>
      <c r="K379" s="180"/>
      <c r="L379" s="180"/>
      <c r="M379" s="181"/>
      <c r="N379" s="163" t="str">
        <f t="shared" si="27"/>
        <v/>
      </c>
      <c r="O379" s="126" t="str">
        <f t="shared" si="28"/>
        <v>-</v>
      </c>
      <c r="P379" s="164"/>
      <c r="Q379" s="164"/>
      <c r="R379" s="164"/>
      <c r="S379" s="164"/>
      <c r="T379" s="164"/>
      <c r="U379" s="164"/>
      <c r="V379" s="165"/>
    </row>
    <row r="380" spans="1:25" ht="27" customHeight="1">
      <c r="A380" s="192" t="str">
        <f>IF(ISBLANK(C380)," ",375-COUNTBLANK($C$6:C380))</f>
        <v xml:space="preserve"> </v>
      </c>
      <c r="B380" s="178"/>
      <c r="C380" s="178"/>
      <c r="D380" s="193"/>
      <c r="E380" s="193"/>
      <c r="F380" s="180"/>
      <c r="G380" s="180"/>
      <c r="H380" s="180"/>
      <c r="I380" s="180"/>
      <c r="J380" s="180"/>
      <c r="K380" s="180"/>
      <c r="L380" s="180"/>
      <c r="M380" s="181"/>
      <c r="N380" s="163" t="str">
        <f t="shared" si="27"/>
        <v/>
      </c>
      <c r="O380" s="126" t="str">
        <f t="shared" si="28"/>
        <v>-</v>
      </c>
      <c r="P380" s="164"/>
      <c r="Q380" s="164"/>
      <c r="R380" s="164"/>
      <c r="S380" s="164"/>
      <c r="T380" s="164"/>
      <c r="U380" s="164"/>
      <c r="V380" s="165"/>
    </row>
    <row r="381" spans="1:25" ht="27" customHeight="1">
      <c r="A381" s="192" t="str">
        <f>IF(ISBLANK(C381)," ",376-COUNTBLANK($C$6:C381))</f>
        <v xml:space="preserve"> </v>
      </c>
      <c r="B381" s="178"/>
      <c r="C381" s="178"/>
      <c r="D381" s="193"/>
      <c r="E381" s="193"/>
      <c r="F381" s="180"/>
      <c r="G381" s="180"/>
      <c r="H381" s="180"/>
      <c r="I381" s="180"/>
      <c r="J381" s="180"/>
      <c r="K381" s="180"/>
      <c r="L381" s="180"/>
      <c r="M381" s="181"/>
      <c r="N381" s="163" t="str">
        <f t="shared" si="27"/>
        <v/>
      </c>
      <c r="O381" s="126" t="str">
        <f t="shared" si="28"/>
        <v>-</v>
      </c>
      <c r="P381" s="164"/>
      <c r="Q381" s="164"/>
      <c r="R381" s="164"/>
      <c r="S381" s="164"/>
      <c r="T381" s="164"/>
      <c r="U381" s="164"/>
      <c r="V381" s="165"/>
    </row>
    <row r="382" spans="1:25" ht="27" customHeight="1">
      <c r="A382" s="192" t="str">
        <f>IF(ISBLANK(C382)," ",377-COUNTBLANK($C$6:C382))</f>
        <v xml:space="preserve"> </v>
      </c>
      <c r="B382" s="178"/>
      <c r="C382" s="178"/>
      <c r="D382" s="193"/>
      <c r="E382" s="193"/>
      <c r="F382" s="180"/>
      <c r="G382" s="180"/>
      <c r="H382" s="180"/>
      <c r="I382" s="180"/>
      <c r="J382" s="180"/>
      <c r="K382" s="180"/>
      <c r="L382" s="180"/>
      <c r="M382" s="181"/>
      <c r="N382" s="163" t="str">
        <f t="shared" si="27"/>
        <v/>
      </c>
      <c r="O382" s="126" t="str">
        <f t="shared" si="28"/>
        <v>-</v>
      </c>
      <c r="P382" s="164"/>
      <c r="Q382" s="164"/>
      <c r="R382" s="164"/>
      <c r="S382" s="164"/>
      <c r="T382" s="164"/>
      <c r="U382" s="164"/>
      <c r="V382" s="166"/>
      <c r="W382" s="164"/>
      <c r="X382" s="164"/>
      <c r="Y382" s="164"/>
    </row>
    <row r="383" spans="1:25" ht="27" customHeight="1">
      <c r="A383" s="172" t="s">
        <v>44</v>
      </c>
      <c r="B383" s="173"/>
      <c r="C383" s="174"/>
      <c r="D383" s="194"/>
      <c r="E383" s="194">
        <f>SUM(E363:E382)</f>
        <v>0</v>
      </c>
      <c r="F383" s="176"/>
      <c r="G383" s="176"/>
      <c r="H383" s="176"/>
      <c r="I383" s="176"/>
      <c r="J383" s="176"/>
      <c r="K383" s="176"/>
      <c r="L383" s="176"/>
      <c r="M383" s="177"/>
      <c r="N383" s="163" t="str">
        <f t="shared" si="27"/>
        <v/>
      </c>
      <c r="O383" s="126"/>
      <c r="P383" s="164"/>
      <c r="Q383" s="164"/>
      <c r="R383" s="164"/>
      <c r="S383" s="164"/>
      <c r="T383" s="164"/>
      <c r="U383" s="164"/>
      <c r="V383" s="166"/>
      <c r="W383" s="164"/>
      <c r="X383" s="164"/>
      <c r="Y383" s="164"/>
    </row>
    <row r="384" spans="1:25" ht="27" customHeight="1">
      <c r="A384" s="187" t="str">
        <f>IF(ISBLANK(C384)," ",379-COUNTBLANK($C$6:C384))</f>
        <v xml:space="preserve"> </v>
      </c>
      <c r="B384" s="188"/>
      <c r="C384" s="188"/>
      <c r="D384" s="189"/>
      <c r="E384" s="189"/>
      <c r="F384" s="190"/>
      <c r="G384" s="190"/>
      <c r="H384" s="190"/>
      <c r="I384" s="190"/>
      <c r="J384" s="190"/>
      <c r="K384" s="190"/>
      <c r="L384" s="190"/>
      <c r="M384" s="191"/>
      <c r="N384" s="163" t="str">
        <f>CONCATENATE(C384,H384)</f>
        <v/>
      </c>
      <c r="O384" s="126" t="str">
        <f>IF(D384&gt;=E384,"-","ERR")</f>
        <v>-</v>
      </c>
      <c r="P384" s="164"/>
      <c r="Q384" s="164"/>
      <c r="R384" s="164"/>
      <c r="S384" s="164"/>
      <c r="T384" s="164"/>
      <c r="U384" s="164"/>
      <c r="V384" s="164"/>
    </row>
    <row r="385" spans="1:22" ht="27" customHeight="1">
      <c r="A385" s="192" t="str">
        <f>IF(ISBLANK(C385)," ",380-COUNTBLANK($C$6:C385))</f>
        <v xml:space="preserve"> </v>
      </c>
      <c r="B385" s="178"/>
      <c r="C385" s="178"/>
      <c r="D385" s="193"/>
      <c r="E385" s="193"/>
      <c r="F385" s="180"/>
      <c r="G385" s="180"/>
      <c r="H385" s="180"/>
      <c r="I385" s="180"/>
      <c r="J385" s="180"/>
      <c r="K385" s="180"/>
      <c r="L385" s="180"/>
      <c r="M385" s="181"/>
      <c r="N385" s="163" t="str">
        <f t="shared" ref="N385:N404" si="29">CONCATENATE(C385,H385)</f>
        <v/>
      </c>
      <c r="O385" s="126" t="str">
        <f t="shared" ref="O385:O403" si="30">IF(D385&gt;=E385,"-","ERR")</f>
        <v>-</v>
      </c>
      <c r="P385" s="164"/>
      <c r="Q385" s="164"/>
      <c r="R385" s="164"/>
      <c r="S385" s="164"/>
      <c r="T385" s="164"/>
      <c r="U385" s="164"/>
      <c r="V385" s="164"/>
    </row>
    <row r="386" spans="1:22" ht="27" customHeight="1">
      <c r="A386" s="192" t="str">
        <f>IF(ISBLANK(C386)," ",381-COUNTBLANK($C$6:C386))</f>
        <v xml:space="preserve"> </v>
      </c>
      <c r="B386" s="178"/>
      <c r="C386" s="178"/>
      <c r="D386" s="193"/>
      <c r="E386" s="193"/>
      <c r="F386" s="180"/>
      <c r="G386" s="180"/>
      <c r="H386" s="180"/>
      <c r="I386" s="180"/>
      <c r="J386" s="180"/>
      <c r="K386" s="180"/>
      <c r="L386" s="180"/>
      <c r="M386" s="181"/>
      <c r="N386" s="163" t="str">
        <f t="shared" si="29"/>
        <v/>
      </c>
      <c r="O386" s="126" t="str">
        <f t="shared" si="30"/>
        <v>-</v>
      </c>
      <c r="P386" s="164"/>
      <c r="Q386" s="164"/>
      <c r="R386" s="164"/>
      <c r="S386" s="164"/>
      <c r="T386" s="164"/>
      <c r="U386" s="164"/>
      <c r="V386" s="164"/>
    </row>
    <row r="387" spans="1:22" ht="27" customHeight="1">
      <c r="A387" s="192" t="str">
        <f>IF(ISBLANK(C387)," ",382-COUNTBLANK($C$6:C387))</f>
        <v xml:space="preserve"> </v>
      </c>
      <c r="B387" s="178"/>
      <c r="C387" s="178"/>
      <c r="D387" s="193"/>
      <c r="E387" s="193"/>
      <c r="F387" s="180"/>
      <c r="G387" s="180"/>
      <c r="H387" s="180"/>
      <c r="I387" s="180"/>
      <c r="J387" s="180"/>
      <c r="K387" s="180"/>
      <c r="L387" s="180"/>
      <c r="M387" s="181"/>
      <c r="N387" s="163" t="str">
        <f t="shared" si="29"/>
        <v/>
      </c>
      <c r="O387" s="126" t="str">
        <f t="shared" si="30"/>
        <v>-</v>
      </c>
      <c r="P387" s="164"/>
      <c r="Q387" s="164"/>
      <c r="R387" s="164"/>
      <c r="S387" s="164"/>
      <c r="T387" s="164"/>
      <c r="U387" s="164"/>
      <c r="V387" s="164"/>
    </row>
    <row r="388" spans="1:22" ht="27" customHeight="1">
      <c r="A388" s="192" t="str">
        <f>IF(ISBLANK(C388)," ",383-COUNTBLANK($C$6:C388))</f>
        <v xml:space="preserve"> </v>
      </c>
      <c r="B388" s="178"/>
      <c r="C388" s="178"/>
      <c r="D388" s="193"/>
      <c r="E388" s="193"/>
      <c r="F388" s="180"/>
      <c r="G388" s="180"/>
      <c r="H388" s="180"/>
      <c r="I388" s="180"/>
      <c r="J388" s="180"/>
      <c r="K388" s="180"/>
      <c r="L388" s="180"/>
      <c r="M388" s="181"/>
      <c r="N388" s="163" t="str">
        <f t="shared" si="29"/>
        <v/>
      </c>
      <c r="O388" s="126" t="str">
        <f t="shared" si="30"/>
        <v>-</v>
      </c>
      <c r="P388" s="164"/>
      <c r="Q388" s="164"/>
      <c r="R388" s="164"/>
      <c r="S388" s="164"/>
      <c r="T388" s="164"/>
      <c r="U388" s="164"/>
      <c r="V388" s="164"/>
    </row>
    <row r="389" spans="1:22" ht="27" customHeight="1">
      <c r="A389" s="192" t="str">
        <f>IF(ISBLANK(C389)," ",384-COUNTBLANK($C$6:C389))</f>
        <v xml:space="preserve"> </v>
      </c>
      <c r="B389" s="178"/>
      <c r="C389" s="178"/>
      <c r="D389" s="193"/>
      <c r="E389" s="193"/>
      <c r="F389" s="180"/>
      <c r="G389" s="180"/>
      <c r="H389" s="180"/>
      <c r="I389" s="180"/>
      <c r="J389" s="180"/>
      <c r="K389" s="180"/>
      <c r="L389" s="180"/>
      <c r="M389" s="181"/>
      <c r="N389" s="163" t="str">
        <f t="shared" si="29"/>
        <v/>
      </c>
      <c r="O389" s="126" t="str">
        <f t="shared" si="30"/>
        <v>-</v>
      </c>
      <c r="P389" s="164"/>
      <c r="Q389" s="164"/>
      <c r="R389" s="164"/>
      <c r="S389" s="164"/>
      <c r="T389" s="164"/>
      <c r="U389" s="164"/>
      <c r="V389" s="164"/>
    </row>
    <row r="390" spans="1:22" ht="27" customHeight="1">
      <c r="A390" s="192" t="str">
        <f>IF(ISBLANK(C390)," ",385-COUNTBLANK($C$6:C390))</f>
        <v xml:space="preserve"> </v>
      </c>
      <c r="B390" s="178"/>
      <c r="C390" s="178"/>
      <c r="D390" s="193"/>
      <c r="E390" s="193"/>
      <c r="F390" s="180"/>
      <c r="G390" s="180"/>
      <c r="H390" s="180"/>
      <c r="I390" s="180"/>
      <c r="J390" s="180"/>
      <c r="K390" s="180"/>
      <c r="L390" s="180"/>
      <c r="M390" s="181"/>
      <c r="N390" s="163" t="str">
        <f t="shared" si="29"/>
        <v/>
      </c>
      <c r="O390" s="126" t="str">
        <f t="shared" si="30"/>
        <v>-</v>
      </c>
      <c r="P390" s="164"/>
      <c r="Q390" s="164"/>
      <c r="R390" s="164"/>
      <c r="S390" s="164"/>
      <c r="T390" s="164"/>
      <c r="U390" s="164"/>
      <c r="V390" s="164"/>
    </row>
    <row r="391" spans="1:22" ht="27" customHeight="1">
      <c r="A391" s="192" t="str">
        <f>IF(ISBLANK(C391)," ",386-COUNTBLANK($C$6:C391))</f>
        <v xml:space="preserve"> </v>
      </c>
      <c r="B391" s="178"/>
      <c r="C391" s="178"/>
      <c r="D391" s="193"/>
      <c r="E391" s="193"/>
      <c r="F391" s="180"/>
      <c r="G391" s="180"/>
      <c r="H391" s="180"/>
      <c r="I391" s="180"/>
      <c r="J391" s="180"/>
      <c r="K391" s="180"/>
      <c r="L391" s="180"/>
      <c r="M391" s="181"/>
      <c r="N391" s="163" t="str">
        <f t="shared" si="29"/>
        <v/>
      </c>
      <c r="O391" s="126" t="str">
        <f t="shared" si="30"/>
        <v>-</v>
      </c>
      <c r="P391" s="164"/>
      <c r="Q391" s="164"/>
      <c r="R391" s="164"/>
      <c r="S391" s="164"/>
      <c r="T391" s="164"/>
      <c r="U391" s="164"/>
      <c r="V391" s="164"/>
    </row>
    <row r="392" spans="1:22" ht="27" customHeight="1">
      <c r="A392" s="192" t="str">
        <f>IF(ISBLANK(C392)," ",387-COUNTBLANK($C$6:C392))</f>
        <v xml:space="preserve"> </v>
      </c>
      <c r="B392" s="178"/>
      <c r="C392" s="178"/>
      <c r="D392" s="193"/>
      <c r="E392" s="193"/>
      <c r="F392" s="180"/>
      <c r="G392" s="180"/>
      <c r="H392" s="180"/>
      <c r="I392" s="180"/>
      <c r="J392" s="180"/>
      <c r="K392" s="180"/>
      <c r="L392" s="180"/>
      <c r="M392" s="181"/>
      <c r="N392" s="163" t="str">
        <f t="shared" si="29"/>
        <v/>
      </c>
      <c r="O392" s="126" t="str">
        <f t="shared" si="30"/>
        <v>-</v>
      </c>
      <c r="P392" s="164"/>
      <c r="Q392" s="164"/>
      <c r="R392" s="164"/>
      <c r="S392" s="164"/>
      <c r="T392" s="164"/>
      <c r="U392" s="164"/>
      <c r="V392" s="164"/>
    </row>
    <row r="393" spans="1:22" ht="27" customHeight="1">
      <c r="A393" s="192" t="str">
        <f>IF(ISBLANK(C393)," ",388-COUNTBLANK($C$6:C393))</f>
        <v xml:space="preserve"> </v>
      </c>
      <c r="B393" s="178"/>
      <c r="C393" s="178"/>
      <c r="D393" s="193"/>
      <c r="E393" s="193"/>
      <c r="F393" s="180"/>
      <c r="G393" s="180"/>
      <c r="H393" s="180"/>
      <c r="I393" s="180"/>
      <c r="J393" s="180"/>
      <c r="K393" s="180"/>
      <c r="L393" s="180"/>
      <c r="M393" s="181"/>
      <c r="N393" s="163" t="str">
        <f t="shared" si="29"/>
        <v/>
      </c>
      <c r="O393" s="126" t="str">
        <f t="shared" si="30"/>
        <v>-</v>
      </c>
      <c r="P393" s="164"/>
      <c r="Q393" s="164"/>
      <c r="R393" s="164"/>
      <c r="S393" s="164"/>
      <c r="T393" s="164"/>
      <c r="U393" s="164"/>
      <c r="V393" s="164"/>
    </row>
    <row r="394" spans="1:22" ht="27" customHeight="1">
      <c r="A394" s="192" t="str">
        <f>IF(ISBLANK(C394)," ",389-COUNTBLANK($C$6:C394))</f>
        <v xml:space="preserve"> </v>
      </c>
      <c r="B394" s="178"/>
      <c r="C394" s="178"/>
      <c r="D394" s="193"/>
      <c r="E394" s="193"/>
      <c r="F394" s="180"/>
      <c r="G394" s="180"/>
      <c r="H394" s="180"/>
      <c r="I394" s="180"/>
      <c r="J394" s="180"/>
      <c r="K394" s="180"/>
      <c r="L394" s="180"/>
      <c r="M394" s="181"/>
      <c r="N394" s="163" t="str">
        <f t="shared" si="29"/>
        <v/>
      </c>
      <c r="O394" s="126" t="str">
        <f t="shared" si="30"/>
        <v>-</v>
      </c>
      <c r="P394" s="164"/>
      <c r="Q394" s="164"/>
      <c r="R394" s="164"/>
      <c r="S394" s="164"/>
      <c r="T394" s="164"/>
      <c r="U394" s="164"/>
      <c r="V394" s="164"/>
    </row>
    <row r="395" spans="1:22" ht="27" customHeight="1">
      <c r="A395" s="192" t="str">
        <f>IF(ISBLANK(C395)," ",390-COUNTBLANK($C$6:C395))</f>
        <v xml:space="preserve"> </v>
      </c>
      <c r="B395" s="178"/>
      <c r="C395" s="178"/>
      <c r="D395" s="193"/>
      <c r="E395" s="193"/>
      <c r="F395" s="180"/>
      <c r="G395" s="180"/>
      <c r="H395" s="180"/>
      <c r="I395" s="180"/>
      <c r="J395" s="180"/>
      <c r="K395" s="180"/>
      <c r="L395" s="180"/>
      <c r="M395" s="181"/>
      <c r="N395" s="163" t="str">
        <f t="shared" si="29"/>
        <v/>
      </c>
      <c r="O395" s="126" t="str">
        <f t="shared" si="30"/>
        <v>-</v>
      </c>
      <c r="P395" s="164"/>
      <c r="Q395" s="164"/>
      <c r="R395" s="164"/>
      <c r="S395" s="164"/>
      <c r="T395" s="164"/>
      <c r="U395" s="164"/>
      <c r="V395" s="164"/>
    </row>
    <row r="396" spans="1:22" ht="27" customHeight="1">
      <c r="A396" s="192" t="str">
        <f>IF(ISBLANK(C396)," ",391-COUNTBLANK($C$6:C396))</f>
        <v xml:space="preserve"> </v>
      </c>
      <c r="B396" s="178"/>
      <c r="C396" s="178"/>
      <c r="D396" s="193"/>
      <c r="E396" s="193"/>
      <c r="F396" s="180"/>
      <c r="G396" s="180"/>
      <c r="H396" s="180"/>
      <c r="I396" s="180"/>
      <c r="J396" s="180"/>
      <c r="K396" s="180"/>
      <c r="L396" s="180"/>
      <c r="M396" s="181"/>
      <c r="N396" s="163" t="str">
        <f t="shared" si="29"/>
        <v/>
      </c>
      <c r="O396" s="126" t="str">
        <f t="shared" si="30"/>
        <v>-</v>
      </c>
      <c r="P396" s="164"/>
      <c r="Q396" s="164"/>
      <c r="R396" s="164"/>
      <c r="S396" s="164"/>
      <c r="T396" s="164"/>
      <c r="U396" s="164"/>
      <c r="V396" s="164"/>
    </row>
    <row r="397" spans="1:22" ht="27" customHeight="1">
      <c r="A397" s="192" t="str">
        <f>IF(ISBLANK(C397)," ",392-COUNTBLANK($C$6:C397))</f>
        <v xml:space="preserve"> </v>
      </c>
      <c r="B397" s="178"/>
      <c r="C397" s="178"/>
      <c r="D397" s="193"/>
      <c r="E397" s="193"/>
      <c r="F397" s="180"/>
      <c r="G397" s="180"/>
      <c r="H397" s="180"/>
      <c r="I397" s="180"/>
      <c r="J397" s="180"/>
      <c r="K397" s="180"/>
      <c r="L397" s="180"/>
      <c r="M397" s="181"/>
      <c r="N397" s="163" t="str">
        <f t="shared" si="29"/>
        <v/>
      </c>
      <c r="O397" s="126" t="str">
        <f t="shared" si="30"/>
        <v>-</v>
      </c>
      <c r="P397" s="164"/>
      <c r="Q397" s="164"/>
      <c r="R397" s="164"/>
      <c r="S397" s="164"/>
      <c r="T397" s="164"/>
      <c r="U397" s="164"/>
      <c r="V397" s="164"/>
    </row>
    <row r="398" spans="1:22" ht="27" customHeight="1">
      <c r="A398" s="192" t="str">
        <f>IF(ISBLANK(C398)," ",393-COUNTBLANK($C$6:C398))</f>
        <v xml:space="preserve"> </v>
      </c>
      <c r="B398" s="178"/>
      <c r="C398" s="178"/>
      <c r="D398" s="193"/>
      <c r="E398" s="193"/>
      <c r="F398" s="180"/>
      <c r="G398" s="180"/>
      <c r="H398" s="180"/>
      <c r="I398" s="180"/>
      <c r="J398" s="180"/>
      <c r="K398" s="180"/>
      <c r="L398" s="180"/>
      <c r="M398" s="181"/>
      <c r="N398" s="163" t="str">
        <f t="shared" si="29"/>
        <v/>
      </c>
      <c r="O398" s="126" t="str">
        <f t="shared" si="30"/>
        <v>-</v>
      </c>
      <c r="P398" s="164"/>
      <c r="Q398" s="164"/>
      <c r="R398" s="164"/>
      <c r="S398" s="164"/>
      <c r="T398" s="164"/>
      <c r="U398" s="164"/>
      <c r="V398" s="164"/>
    </row>
    <row r="399" spans="1:22" ht="27" customHeight="1">
      <c r="A399" s="192" t="str">
        <f>IF(ISBLANK(C399)," ",394-COUNTBLANK($C$6:C399))</f>
        <v xml:space="preserve"> </v>
      </c>
      <c r="B399" s="178"/>
      <c r="C399" s="178"/>
      <c r="D399" s="193"/>
      <c r="E399" s="193"/>
      <c r="F399" s="180"/>
      <c r="G399" s="180"/>
      <c r="H399" s="180"/>
      <c r="I399" s="180"/>
      <c r="J399" s="180"/>
      <c r="K399" s="180"/>
      <c r="L399" s="180"/>
      <c r="M399" s="181"/>
      <c r="N399" s="163" t="str">
        <f t="shared" si="29"/>
        <v/>
      </c>
      <c r="O399" s="126" t="str">
        <f t="shared" si="30"/>
        <v>-</v>
      </c>
      <c r="P399" s="164"/>
      <c r="Q399" s="164"/>
      <c r="R399" s="164"/>
      <c r="S399" s="164"/>
      <c r="T399" s="164"/>
      <c r="U399" s="164"/>
      <c r="V399" s="165"/>
    </row>
    <row r="400" spans="1:22" ht="27" customHeight="1">
      <c r="A400" s="192" t="str">
        <f>IF(ISBLANK(C400)," ",395-COUNTBLANK($C$6:C400))</f>
        <v xml:space="preserve"> </v>
      </c>
      <c r="B400" s="178"/>
      <c r="C400" s="178"/>
      <c r="D400" s="193"/>
      <c r="E400" s="193"/>
      <c r="F400" s="180"/>
      <c r="G400" s="180"/>
      <c r="H400" s="180"/>
      <c r="I400" s="180"/>
      <c r="J400" s="180"/>
      <c r="K400" s="180"/>
      <c r="L400" s="180"/>
      <c r="M400" s="181"/>
      <c r="N400" s="163" t="str">
        <f t="shared" si="29"/>
        <v/>
      </c>
      <c r="O400" s="126" t="str">
        <f t="shared" si="30"/>
        <v>-</v>
      </c>
      <c r="P400" s="164"/>
      <c r="Q400" s="164"/>
      <c r="R400" s="164"/>
      <c r="S400" s="164"/>
      <c r="T400" s="164"/>
      <c r="U400" s="164"/>
      <c r="V400" s="165"/>
    </row>
    <row r="401" spans="1:25" ht="27" customHeight="1">
      <c r="A401" s="192" t="str">
        <f>IF(ISBLANK(C401)," ",396-COUNTBLANK($C$6:C401))</f>
        <v xml:space="preserve"> </v>
      </c>
      <c r="B401" s="178"/>
      <c r="C401" s="178"/>
      <c r="D401" s="193"/>
      <c r="E401" s="193"/>
      <c r="F401" s="180"/>
      <c r="G401" s="180"/>
      <c r="H401" s="180"/>
      <c r="I401" s="180"/>
      <c r="J401" s="180"/>
      <c r="K401" s="180"/>
      <c r="L401" s="180"/>
      <c r="M401" s="181"/>
      <c r="N401" s="163" t="str">
        <f t="shared" si="29"/>
        <v/>
      </c>
      <c r="O401" s="126" t="str">
        <f t="shared" si="30"/>
        <v>-</v>
      </c>
      <c r="P401" s="164"/>
      <c r="Q401" s="164"/>
      <c r="R401" s="164"/>
      <c r="S401" s="164"/>
      <c r="T401" s="164"/>
      <c r="U401" s="164"/>
      <c r="V401" s="165"/>
    </row>
    <row r="402" spans="1:25" ht="27" customHeight="1">
      <c r="A402" s="192" t="str">
        <f>IF(ISBLANK(C402)," ",397-COUNTBLANK($C$6:C402))</f>
        <v xml:space="preserve"> </v>
      </c>
      <c r="B402" s="178"/>
      <c r="C402" s="178"/>
      <c r="D402" s="193"/>
      <c r="E402" s="193"/>
      <c r="F402" s="180"/>
      <c r="G402" s="180"/>
      <c r="H402" s="180"/>
      <c r="I402" s="180"/>
      <c r="J402" s="180"/>
      <c r="K402" s="180"/>
      <c r="L402" s="180"/>
      <c r="M402" s="181"/>
      <c r="N402" s="163" t="str">
        <f t="shared" si="29"/>
        <v/>
      </c>
      <c r="O402" s="126" t="str">
        <f t="shared" si="30"/>
        <v>-</v>
      </c>
      <c r="P402" s="164"/>
      <c r="Q402" s="164"/>
      <c r="R402" s="164"/>
      <c r="S402" s="164"/>
      <c r="T402" s="164"/>
      <c r="U402" s="164"/>
      <c r="V402" s="165"/>
    </row>
    <row r="403" spans="1:25" ht="27" customHeight="1">
      <c r="A403" s="192" t="str">
        <f>IF(ISBLANK(C403)," ",398-COUNTBLANK($C$6:C403))</f>
        <v xml:space="preserve"> </v>
      </c>
      <c r="B403" s="178"/>
      <c r="C403" s="178"/>
      <c r="D403" s="193"/>
      <c r="E403" s="193"/>
      <c r="F403" s="180"/>
      <c r="G403" s="180"/>
      <c r="H403" s="180"/>
      <c r="I403" s="180"/>
      <c r="J403" s="180"/>
      <c r="K403" s="180"/>
      <c r="L403" s="180"/>
      <c r="M403" s="181"/>
      <c r="N403" s="163" t="str">
        <f t="shared" si="29"/>
        <v/>
      </c>
      <c r="O403" s="126" t="str">
        <f t="shared" si="30"/>
        <v>-</v>
      </c>
      <c r="P403" s="164"/>
      <c r="Q403" s="164"/>
      <c r="R403" s="164"/>
      <c r="S403" s="164"/>
      <c r="T403" s="164"/>
      <c r="U403" s="164"/>
      <c r="V403" s="166"/>
      <c r="W403" s="164"/>
      <c r="X403" s="164"/>
      <c r="Y403" s="164"/>
    </row>
    <row r="404" spans="1:25" ht="27" customHeight="1">
      <c r="A404" s="172" t="s">
        <v>44</v>
      </c>
      <c r="B404" s="173"/>
      <c r="C404" s="174"/>
      <c r="D404" s="194"/>
      <c r="E404" s="194">
        <f>SUM(E384:E403)</f>
        <v>0</v>
      </c>
      <c r="F404" s="176"/>
      <c r="G404" s="176"/>
      <c r="H404" s="176"/>
      <c r="I404" s="176"/>
      <c r="J404" s="176"/>
      <c r="K404" s="176"/>
      <c r="L404" s="176"/>
      <c r="M404" s="177"/>
      <c r="N404" s="163" t="str">
        <f t="shared" si="29"/>
        <v/>
      </c>
      <c r="O404" s="126"/>
      <c r="P404" s="164"/>
      <c r="Q404" s="164"/>
      <c r="R404" s="164"/>
      <c r="S404" s="164"/>
      <c r="T404" s="164"/>
      <c r="U404" s="164"/>
      <c r="V404" s="166"/>
      <c r="W404" s="164"/>
      <c r="X404" s="164"/>
      <c r="Y404" s="164"/>
    </row>
    <row r="405" spans="1:25" ht="27" customHeight="1">
      <c r="A405" s="187" t="str">
        <f>IF(ISBLANK(C405)," ",400-COUNTBLANK($C$6:C405))</f>
        <v xml:space="preserve"> </v>
      </c>
      <c r="B405" s="188"/>
      <c r="C405" s="188"/>
      <c r="D405" s="189"/>
      <c r="E405" s="189"/>
      <c r="F405" s="190"/>
      <c r="G405" s="190"/>
      <c r="H405" s="190"/>
      <c r="I405" s="190"/>
      <c r="J405" s="190"/>
      <c r="K405" s="190"/>
      <c r="L405" s="190"/>
      <c r="M405" s="191"/>
      <c r="N405" s="163" t="str">
        <f>CONCATENATE(C405,H405)</f>
        <v/>
      </c>
      <c r="O405" s="126" t="str">
        <f>IF(D405&gt;=E405,"-","ERR")</f>
        <v>-</v>
      </c>
      <c r="P405" s="164"/>
      <c r="Q405" s="164"/>
      <c r="R405" s="164"/>
      <c r="S405" s="164"/>
      <c r="T405" s="164"/>
      <c r="U405" s="164"/>
      <c r="V405" s="164"/>
    </row>
    <row r="406" spans="1:25" ht="27" customHeight="1">
      <c r="A406" s="192" t="str">
        <f>IF(ISBLANK(C406)," ",401-COUNTBLANK($C$6:C406))</f>
        <v xml:space="preserve"> </v>
      </c>
      <c r="B406" s="178"/>
      <c r="C406" s="178"/>
      <c r="D406" s="193"/>
      <c r="E406" s="193"/>
      <c r="F406" s="180"/>
      <c r="G406" s="180"/>
      <c r="H406" s="180"/>
      <c r="I406" s="180"/>
      <c r="J406" s="180"/>
      <c r="K406" s="180"/>
      <c r="L406" s="180"/>
      <c r="M406" s="181"/>
      <c r="N406" s="163" t="str">
        <f t="shared" ref="N406:N425" si="31">CONCATENATE(C406,H406)</f>
        <v/>
      </c>
      <c r="O406" s="126" t="str">
        <f t="shared" ref="O406:O424" si="32">IF(D406&gt;=E406,"-","ERR")</f>
        <v>-</v>
      </c>
      <c r="P406" s="164"/>
      <c r="Q406" s="164"/>
      <c r="R406" s="164"/>
      <c r="S406" s="164"/>
      <c r="T406" s="164"/>
      <c r="U406" s="164"/>
      <c r="V406" s="164"/>
    </row>
    <row r="407" spans="1:25" ht="27" customHeight="1">
      <c r="A407" s="192" t="str">
        <f>IF(ISBLANK(C407)," ",402-COUNTBLANK($C$6:C407))</f>
        <v xml:space="preserve"> </v>
      </c>
      <c r="B407" s="178"/>
      <c r="C407" s="178"/>
      <c r="D407" s="193"/>
      <c r="E407" s="193"/>
      <c r="F407" s="180"/>
      <c r="G407" s="180"/>
      <c r="H407" s="180"/>
      <c r="I407" s="180"/>
      <c r="J407" s="180"/>
      <c r="K407" s="180"/>
      <c r="L407" s="180"/>
      <c r="M407" s="181"/>
      <c r="N407" s="163" t="str">
        <f t="shared" si="31"/>
        <v/>
      </c>
      <c r="O407" s="126" t="str">
        <f t="shared" si="32"/>
        <v>-</v>
      </c>
      <c r="P407" s="164"/>
      <c r="Q407" s="164"/>
      <c r="R407" s="164"/>
      <c r="S407" s="164"/>
      <c r="T407" s="164"/>
      <c r="U407" s="164"/>
      <c r="V407" s="164"/>
    </row>
    <row r="408" spans="1:25" ht="27" customHeight="1">
      <c r="A408" s="192" t="str">
        <f>IF(ISBLANK(C408)," ",403-COUNTBLANK($C$6:C408))</f>
        <v xml:space="preserve"> </v>
      </c>
      <c r="B408" s="178"/>
      <c r="C408" s="178"/>
      <c r="D408" s="193"/>
      <c r="E408" s="193"/>
      <c r="F408" s="180"/>
      <c r="G408" s="180"/>
      <c r="H408" s="180"/>
      <c r="I408" s="180"/>
      <c r="J408" s="180"/>
      <c r="K408" s="180"/>
      <c r="L408" s="180"/>
      <c r="M408" s="181"/>
      <c r="N408" s="163" t="str">
        <f t="shared" si="31"/>
        <v/>
      </c>
      <c r="O408" s="126" t="str">
        <f t="shared" si="32"/>
        <v>-</v>
      </c>
      <c r="P408" s="164"/>
      <c r="Q408" s="164"/>
      <c r="R408" s="164"/>
      <c r="S408" s="164"/>
      <c r="T408" s="164"/>
      <c r="U408" s="164"/>
      <c r="V408" s="164"/>
    </row>
    <row r="409" spans="1:25" ht="27" customHeight="1">
      <c r="A409" s="192" t="str">
        <f>IF(ISBLANK(C409)," ",404-COUNTBLANK($C$6:C409))</f>
        <v xml:space="preserve"> </v>
      </c>
      <c r="B409" s="178"/>
      <c r="C409" s="178"/>
      <c r="D409" s="193"/>
      <c r="E409" s="193"/>
      <c r="F409" s="180"/>
      <c r="G409" s="180"/>
      <c r="H409" s="180"/>
      <c r="I409" s="180"/>
      <c r="J409" s="180"/>
      <c r="K409" s="180"/>
      <c r="L409" s="180"/>
      <c r="M409" s="181"/>
      <c r="N409" s="163" t="str">
        <f t="shared" si="31"/>
        <v/>
      </c>
      <c r="O409" s="126" t="str">
        <f t="shared" si="32"/>
        <v>-</v>
      </c>
      <c r="P409" s="164"/>
      <c r="Q409" s="164"/>
      <c r="R409" s="164"/>
      <c r="S409" s="164"/>
      <c r="T409" s="164"/>
      <c r="U409" s="164"/>
      <c r="V409" s="164"/>
    </row>
    <row r="410" spans="1:25" ht="27" customHeight="1">
      <c r="A410" s="192" t="str">
        <f>IF(ISBLANK(C410)," ",405-COUNTBLANK($C$6:C410))</f>
        <v xml:space="preserve"> </v>
      </c>
      <c r="B410" s="178"/>
      <c r="C410" s="178"/>
      <c r="D410" s="193"/>
      <c r="E410" s="193"/>
      <c r="F410" s="180"/>
      <c r="G410" s="180"/>
      <c r="H410" s="180"/>
      <c r="I410" s="180"/>
      <c r="J410" s="180"/>
      <c r="K410" s="180"/>
      <c r="L410" s="180"/>
      <c r="M410" s="181"/>
      <c r="N410" s="163" t="str">
        <f t="shared" si="31"/>
        <v/>
      </c>
      <c r="O410" s="126" t="str">
        <f t="shared" si="32"/>
        <v>-</v>
      </c>
      <c r="P410" s="164"/>
      <c r="Q410" s="164"/>
      <c r="R410" s="164"/>
      <c r="S410" s="164"/>
      <c r="T410" s="164"/>
      <c r="U410" s="164"/>
      <c r="V410" s="164"/>
    </row>
    <row r="411" spans="1:25" ht="27" customHeight="1">
      <c r="A411" s="192" t="str">
        <f>IF(ISBLANK(C411)," ",406-COUNTBLANK($C$6:C411))</f>
        <v xml:space="preserve"> </v>
      </c>
      <c r="B411" s="178"/>
      <c r="C411" s="178"/>
      <c r="D411" s="193"/>
      <c r="E411" s="193"/>
      <c r="F411" s="180"/>
      <c r="G411" s="180"/>
      <c r="H411" s="180"/>
      <c r="I411" s="180"/>
      <c r="J411" s="180"/>
      <c r="K411" s="180"/>
      <c r="L411" s="180"/>
      <c r="M411" s="181"/>
      <c r="N411" s="163" t="str">
        <f t="shared" si="31"/>
        <v/>
      </c>
      <c r="O411" s="126" t="str">
        <f t="shared" si="32"/>
        <v>-</v>
      </c>
      <c r="P411" s="164"/>
      <c r="Q411" s="164"/>
      <c r="R411" s="164"/>
      <c r="S411" s="164"/>
      <c r="T411" s="164"/>
      <c r="U411" s="164"/>
      <c r="V411" s="164"/>
    </row>
    <row r="412" spans="1:25" ht="27" customHeight="1">
      <c r="A412" s="192" t="str">
        <f>IF(ISBLANK(C412)," ",407-COUNTBLANK($C$6:C412))</f>
        <v xml:space="preserve"> </v>
      </c>
      <c r="B412" s="178"/>
      <c r="C412" s="178"/>
      <c r="D412" s="193"/>
      <c r="E412" s="193"/>
      <c r="F412" s="180"/>
      <c r="G412" s="180"/>
      <c r="H412" s="180"/>
      <c r="I412" s="180"/>
      <c r="J412" s="180"/>
      <c r="K412" s="180"/>
      <c r="L412" s="180"/>
      <c r="M412" s="181"/>
      <c r="N412" s="163" t="str">
        <f t="shared" si="31"/>
        <v/>
      </c>
      <c r="O412" s="126" t="str">
        <f t="shared" si="32"/>
        <v>-</v>
      </c>
      <c r="P412" s="164"/>
      <c r="Q412" s="164"/>
      <c r="R412" s="164"/>
      <c r="S412" s="164"/>
      <c r="T412" s="164"/>
      <c r="U412" s="164"/>
      <c r="V412" s="164"/>
    </row>
    <row r="413" spans="1:25" ht="27" customHeight="1">
      <c r="A413" s="192" t="str">
        <f>IF(ISBLANK(C413)," ",408-COUNTBLANK($C$6:C413))</f>
        <v xml:space="preserve"> </v>
      </c>
      <c r="B413" s="178"/>
      <c r="C413" s="178"/>
      <c r="D413" s="193"/>
      <c r="E413" s="193"/>
      <c r="F413" s="180"/>
      <c r="G413" s="180"/>
      <c r="H413" s="180"/>
      <c r="I413" s="180"/>
      <c r="J413" s="180"/>
      <c r="K413" s="180"/>
      <c r="L413" s="180"/>
      <c r="M413" s="181"/>
      <c r="N413" s="163" t="str">
        <f t="shared" si="31"/>
        <v/>
      </c>
      <c r="O413" s="126" t="str">
        <f t="shared" si="32"/>
        <v>-</v>
      </c>
      <c r="P413" s="164"/>
      <c r="Q413" s="164"/>
      <c r="R413" s="164"/>
      <c r="S413" s="164"/>
      <c r="T413" s="164"/>
      <c r="U413" s="164"/>
      <c r="V413" s="164"/>
    </row>
    <row r="414" spans="1:25" ht="27" customHeight="1">
      <c r="A414" s="192" t="str">
        <f>IF(ISBLANK(C414)," ",409-COUNTBLANK($C$6:C414))</f>
        <v xml:space="preserve"> </v>
      </c>
      <c r="B414" s="178"/>
      <c r="C414" s="178"/>
      <c r="D414" s="193"/>
      <c r="E414" s="193"/>
      <c r="F414" s="180"/>
      <c r="G414" s="180"/>
      <c r="H414" s="180"/>
      <c r="I414" s="180"/>
      <c r="J414" s="180"/>
      <c r="K414" s="180"/>
      <c r="L414" s="180"/>
      <c r="M414" s="181"/>
      <c r="N414" s="163" t="str">
        <f t="shared" si="31"/>
        <v/>
      </c>
      <c r="O414" s="126" t="str">
        <f t="shared" si="32"/>
        <v>-</v>
      </c>
      <c r="P414" s="164"/>
      <c r="Q414" s="164"/>
      <c r="R414" s="164"/>
      <c r="S414" s="164"/>
      <c r="T414" s="164"/>
      <c r="U414" s="164"/>
      <c r="V414" s="164"/>
    </row>
    <row r="415" spans="1:25" ht="27" customHeight="1">
      <c r="A415" s="192" t="str">
        <f>IF(ISBLANK(C415)," ",410-COUNTBLANK($C$6:C415))</f>
        <v xml:space="preserve"> </v>
      </c>
      <c r="B415" s="178"/>
      <c r="C415" s="178"/>
      <c r="D415" s="193"/>
      <c r="E415" s="193"/>
      <c r="F415" s="180"/>
      <c r="G415" s="180"/>
      <c r="H415" s="180"/>
      <c r="I415" s="180"/>
      <c r="J415" s="180"/>
      <c r="K415" s="180"/>
      <c r="L415" s="180"/>
      <c r="M415" s="181"/>
      <c r="N415" s="163" t="str">
        <f t="shared" si="31"/>
        <v/>
      </c>
      <c r="O415" s="126" t="str">
        <f t="shared" si="32"/>
        <v>-</v>
      </c>
      <c r="P415" s="164"/>
      <c r="Q415" s="164"/>
      <c r="R415" s="164"/>
      <c r="S415" s="164"/>
      <c r="T415" s="164"/>
      <c r="U415" s="164"/>
      <c r="V415" s="164"/>
    </row>
    <row r="416" spans="1:25" ht="27" customHeight="1">
      <c r="A416" s="192" t="str">
        <f>IF(ISBLANK(C416)," ",411-COUNTBLANK($C$6:C416))</f>
        <v xml:space="preserve"> </v>
      </c>
      <c r="B416" s="178"/>
      <c r="C416" s="178"/>
      <c r="D416" s="193"/>
      <c r="E416" s="193"/>
      <c r="F416" s="180"/>
      <c r="G416" s="180"/>
      <c r="H416" s="180"/>
      <c r="I416" s="180"/>
      <c r="J416" s="180"/>
      <c r="K416" s="180"/>
      <c r="L416" s="180"/>
      <c r="M416" s="181"/>
      <c r="N416" s="163" t="str">
        <f t="shared" si="31"/>
        <v/>
      </c>
      <c r="O416" s="126" t="str">
        <f t="shared" si="32"/>
        <v>-</v>
      </c>
      <c r="P416" s="164"/>
      <c r="Q416" s="164"/>
      <c r="R416" s="164"/>
      <c r="S416" s="164"/>
      <c r="T416" s="164"/>
      <c r="U416" s="164"/>
      <c r="V416" s="164"/>
    </row>
    <row r="417" spans="1:25" ht="27" customHeight="1">
      <c r="A417" s="192" t="str">
        <f>IF(ISBLANK(C417)," ",412-COUNTBLANK($C$6:C417))</f>
        <v xml:space="preserve"> </v>
      </c>
      <c r="B417" s="178"/>
      <c r="C417" s="178"/>
      <c r="D417" s="193"/>
      <c r="E417" s="193"/>
      <c r="F417" s="180"/>
      <c r="G417" s="180"/>
      <c r="H417" s="180"/>
      <c r="I417" s="180"/>
      <c r="J417" s="180"/>
      <c r="K417" s="180"/>
      <c r="L417" s="180"/>
      <c r="M417" s="181"/>
      <c r="N417" s="163" t="str">
        <f t="shared" si="31"/>
        <v/>
      </c>
      <c r="O417" s="126" t="str">
        <f t="shared" si="32"/>
        <v>-</v>
      </c>
      <c r="P417" s="164"/>
      <c r="Q417" s="164"/>
      <c r="R417" s="164"/>
      <c r="S417" s="164"/>
      <c r="T417" s="164"/>
      <c r="U417" s="164"/>
      <c r="V417" s="164"/>
    </row>
    <row r="418" spans="1:25" ht="27" customHeight="1">
      <c r="A418" s="192" t="str">
        <f>IF(ISBLANK(C418)," ",413-COUNTBLANK($C$6:C418))</f>
        <v xml:space="preserve"> </v>
      </c>
      <c r="B418" s="178"/>
      <c r="C418" s="178"/>
      <c r="D418" s="193"/>
      <c r="E418" s="193"/>
      <c r="F418" s="180"/>
      <c r="G418" s="180"/>
      <c r="H418" s="180"/>
      <c r="I418" s="180"/>
      <c r="J418" s="180"/>
      <c r="K418" s="180"/>
      <c r="L418" s="180"/>
      <c r="M418" s="181"/>
      <c r="N418" s="163" t="str">
        <f t="shared" si="31"/>
        <v/>
      </c>
      <c r="O418" s="126" t="str">
        <f t="shared" si="32"/>
        <v>-</v>
      </c>
      <c r="P418" s="164"/>
      <c r="Q418" s="164"/>
      <c r="R418" s="164"/>
      <c r="S418" s="164"/>
      <c r="T418" s="164"/>
      <c r="U418" s="164"/>
      <c r="V418" s="164"/>
    </row>
    <row r="419" spans="1:25" ht="27" customHeight="1">
      <c r="A419" s="192" t="str">
        <f>IF(ISBLANK(C419)," ",414-COUNTBLANK($C$6:C419))</f>
        <v xml:space="preserve"> </v>
      </c>
      <c r="B419" s="178"/>
      <c r="C419" s="178"/>
      <c r="D419" s="193"/>
      <c r="E419" s="193"/>
      <c r="F419" s="180"/>
      <c r="G419" s="180"/>
      <c r="H419" s="180"/>
      <c r="I419" s="180"/>
      <c r="J419" s="180"/>
      <c r="K419" s="180"/>
      <c r="L419" s="180"/>
      <c r="M419" s="181"/>
      <c r="N419" s="163" t="str">
        <f t="shared" si="31"/>
        <v/>
      </c>
      <c r="O419" s="126" t="str">
        <f t="shared" si="32"/>
        <v>-</v>
      </c>
      <c r="P419" s="164"/>
      <c r="Q419" s="164"/>
      <c r="R419" s="164"/>
      <c r="S419" s="164"/>
      <c r="T419" s="164"/>
      <c r="U419" s="164"/>
      <c r="V419" s="164"/>
    </row>
    <row r="420" spans="1:25" ht="27" customHeight="1">
      <c r="A420" s="192" t="str">
        <f>IF(ISBLANK(C420)," ",415-COUNTBLANK($C$6:C420))</f>
        <v xml:space="preserve"> </v>
      </c>
      <c r="B420" s="178"/>
      <c r="C420" s="178"/>
      <c r="D420" s="193"/>
      <c r="E420" s="193"/>
      <c r="F420" s="180"/>
      <c r="G420" s="180"/>
      <c r="H420" s="180"/>
      <c r="I420" s="180"/>
      <c r="J420" s="180"/>
      <c r="K420" s="180"/>
      <c r="L420" s="180"/>
      <c r="M420" s="181"/>
      <c r="N420" s="163" t="str">
        <f t="shared" si="31"/>
        <v/>
      </c>
      <c r="O420" s="126" t="str">
        <f t="shared" si="32"/>
        <v>-</v>
      </c>
      <c r="P420" s="164"/>
      <c r="Q420" s="164"/>
      <c r="R420" s="164"/>
      <c r="S420" s="164"/>
      <c r="T420" s="164"/>
      <c r="U420" s="164"/>
      <c r="V420" s="165"/>
    </row>
    <row r="421" spans="1:25" ht="27" customHeight="1">
      <c r="A421" s="192" t="str">
        <f>IF(ISBLANK(C421)," ",416-COUNTBLANK($C$6:C421))</f>
        <v xml:space="preserve"> </v>
      </c>
      <c r="B421" s="178"/>
      <c r="C421" s="178"/>
      <c r="D421" s="193"/>
      <c r="E421" s="193"/>
      <c r="F421" s="180"/>
      <c r="G421" s="180"/>
      <c r="H421" s="180"/>
      <c r="I421" s="180"/>
      <c r="J421" s="180"/>
      <c r="K421" s="180"/>
      <c r="L421" s="180"/>
      <c r="M421" s="181"/>
      <c r="N421" s="163" t="str">
        <f t="shared" si="31"/>
        <v/>
      </c>
      <c r="O421" s="126" t="str">
        <f t="shared" si="32"/>
        <v>-</v>
      </c>
      <c r="P421" s="164"/>
      <c r="Q421" s="164"/>
      <c r="R421" s="164"/>
      <c r="S421" s="164"/>
      <c r="T421" s="164"/>
      <c r="U421" s="164"/>
      <c r="V421" s="165"/>
    </row>
    <row r="422" spans="1:25" ht="27" customHeight="1">
      <c r="A422" s="192" t="str">
        <f>IF(ISBLANK(C422)," ",417-COUNTBLANK($C$6:C422))</f>
        <v xml:space="preserve"> </v>
      </c>
      <c r="B422" s="178"/>
      <c r="C422" s="178"/>
      <c r="D422" s="193"/>
      <c r="E422" s="193"/>
      <c r="F422" s="180"/>
      <c r="G422" s="180"/>
      <c r="H422" s="180"/>
      <c r="I422" s="180"/>
      <c r="J422" s="180"/>
      <c r="K422" s="180"/>
      <c r="L422" s="180"/>
      <c r="M422" s="181"/>
      <c r="N422" s="163" t="str">
        <f t="shared" si="31"/>
        <v/>
      </c>
      <c r="O422" s="126" t="str">
        <f t="shared" si="32"/>
        <v>-</v>
      </c>
      <c r="P422" s="164"/>
      <c r="Q422" s="164"/>
      <c r="R422" s="164"/>
      <c r="S422" s="164"/>
      <c r="T422" s="164"/>
      <c r="U422" s="164"/>
      <c r="V422" s="165"/>
    </row>
    <row r="423" spans="1:25" ht="27" customHeight="1">
      <c r="A423" s="192" t="str">
        <f>IF(ISBLANK(C423)," ",418-COUNTBLANK($C$6:C423))</f>
        <v xml:space="preserve"> </v>
      </c>
      <c r="B423" s="178"/>
      <c r="C423" s="178"/>
      <c r="D423" s="193"/>
      <c r="E423" s="193"/>
      <c r="F423" s="180"/>
      <c r="G423" s="180"/>
      <c r="H423" s="180"/>
      <c r="I423" s="180"/>
      <c r="J423" s="180"/>
      <c r="K423" s="180"/>
      <c r="L423" s="180"/>
      <c r="M423" s="181"/>
      <c r="N423" s="163" t="str">
        <f t="shared" si="31"/>
        <v/>
      </c>
      <c r="O423" s="126" t="str">
        <f t="shared" si="32"/>
        <v>-</v>
      </c>
      <c r="P423" s="164"/>
      <c r="Q423" s="164"/>
      <c r="R423" s="164"/>
      <c r="S423" s="164"/>
      <c r="T423" s="164"/>
      <c r="U423" s="164"/>
      <c r="V423" s="165"/>
    </row>
    <row r="424" spans="1:25" ht="27" customHeight="1">
      <c r="A424" s="192" t="str">
        <f>IF(ISBLANK(C424)," ",419-COUNTBLANK($C$6:C424))</f>
        <v xml:space="preserve"> </v>
      </c>
      <c r="B424" s="178"/>
      <c r="C424" s="178"/>
      <c r="D424" s="193"/>
      <c r="E424" s="193"/>
      <c r="F424" s="180"/>
      <c r="G424" s="180"/>
      <c r="H424" s="180"/>
      <c r="I424" s="180"/>
      <c r="J424" s="180"/>
      <c r="K424" s="180"/>
      <c r="L424" s="180"/>
      <c r="M424" s="181"/>
      <c r="N424" s="163" t="str">
        <f t="shared" si="31"/>
        <v/>
      </c>
      <c r="O424" s="126" t="str">
        <f t="shared" si="32"/>
        <v>-</v>
      </c>
      <c r="P424" s="164"/>
      <c r="Q424" s="164"/>
      <c r="R424" s="164"/>
      <c r="S424" s="164"/>
      <c r="T424" s="164"/>
      <c r="U424" s="164"/>
      <c r="V424" s="166"/>
      <c r="W424" s="164"/>
      <c r="X424" s="164"/>
      <c r="Y424" s="164"/>
    </row>
    <row r="425" spans="1:25" ht="27" customHeight="1">
      <c r="A425" s="172" t="s">
        <v>44</v>
      </c>
      <c r="B425" s="173"/>
      <c r="C425" s="174"/>
      <c r="D425" s="194"/>
      <c r="E425" s="194">
        <f>SUM(E405:E424)</f>
        <v>0</v>
      </c>
      <c r="F425" s="176"/>
      <c r="G425" s="176"/>
      <c r="H425" s="176"/>
      <c r="I425" s="176"/>
      <c r="J425" s="176"/>
      <c r="K425" s="176"/>
      <c r="L425" s="176"/>
      <c r="M425" s="177"/>
      <c r="N425" s="163" t="str">
        <f t="shared" si="31"/>
        <v/>
      </c>
      <c r="O425" s="126"/>
      <c r="P425" s="164"/>
      <c r="Q425" s="164"/>
      <c r="R425" s="164"/>
      <c r="S425" s="164"/>
      <c r="T425" s="164"/>
      <c r="U425" s="164"/>
      <c r="V425" s="166"/>
      <c r="W425" s="164"/>
      <c r="X425" s="164"/>
      <c r="Y425" s="164"/>
    </row>
    <row r="426" spans="1:25" ht="27" customHeight="1">
      <c r="A426" s="187" t="str">
        <f>IF(ISBLANK(C426)," ",421-COUNTBLANK($C$6:C426))</f>
        <v xml:space="preserve"> </v>
      </c>
      <c r="B426" s="188"/>
      <c r="C426" s="188"/>
      <c r="D426" s="189"/>
      <c r="E426" s="189"/>
      <c r="F426" s="190"/>
      <c r="G426" s="190"/>
      <c r="H426" s="190"/>
      <c r="I426" s="190"/>
      <c r="J426" s="190"/>
      <c r="K426" s="190"/>
      <c r="L426" s="190"/>
      <c r="M426" s="191"/>
      <c r="N426" s="163" t="str">
        <f>CONCATENATE(C426,H426)</f>
        <v/>
      </c>
      <c r="O426" s="126" t="str">
        <f>IF(D426&gt;=E426,"-","ERR")</f>
        <v>-</v>
      </c>
      <c r="P426" s="164"/>
      <c r="Q426" s="164"/>
      <c r="R426" s="164"/>
      <c r="S426" s="164"/>
      <c r="T426" s="164"/>
      <c r="U426" s="164"/>
      <c r="V426" s="164"/>
    </row>
    <row r="427" spans="1:25" ht="27" customHeight="1">
      <c r="A427" s="192" t="str">
        <f>IF(ISBLANK(C427)," ",422-COUNTBLANK($C$6:C427))</f>
        <v xml:space="preserve"> </v>
      </c>
      <c r="B427" s="178"/>
      <c r="C427" s="178"/>
      <c r="D427" s="193"/>
      <c r="E427" s="193"/>
      <c r="F427" s="180"/>
      <c r="G427" s="180"/>
      <c r="H427" s="180"/>
      <c r="I427" s="180"/>
      <c r="J427" s="180"/>
      <c r="K427" s="180"/>
      <c r="L427" s="180"/>
      <c r="M427" s="181"/>
      <c r="N427" s="163" t="str">
        <f t="shared" ref="N427:N446" si="33">CONCATENATE(C427,H427)</f>
        <v/>
      </c>
      <c r="O427" s="126" t="str">
        <f t="shared" ref="O427:O445" si="34">IF(D427&gt;=E427,"-","ERR")</f>
        <v>-</v>
      </c>
      <c r="P427" s="164"/>
      <c r="Q427" s="164"/>
      <c r="R427" s="164"/>
      <c r="S427" s="164"/>
      <c r="T427" s="164"/>
      <c r="U427" s="164"/>
      <c r="V427" s="164"/>
    </row>
    <row r="428" spans="1:25" ht="27" customHeight="1">
      <c r="A428" s="192" t="str">
        <f>IF(ISBLANK(C428)," ",423-COUNTBLANK($C$6:C428))</f>
        <v xml:space="preserve"> </v>
      </c>
      <c r="B428" s="178"/>
      <c r="C428" s="178"/>
      <c r="D428" s="193"/>
      <c r="E428" s="193"/>
      <c r="F428" s="180"/>
      <c r="G428" s="180"/>
      <c r="H428" s="180"/>
      <c r="I428" s="180"/>
      <c r="J428" s="180"/>
      <c r="K428" s="180"/>
      <c r="L428" s="180"/>
      <c r="M428" s="181"/>
      <c r="N428" s="163" t="str">
        <f t="shared" si="33"/>
        <v/>
      </c>
      <c r="O428" s="126" t="str">
        <f t="shared" si="34"/>
        <v>-</v>
      </c>
      <c r="P428" s="164"/>
      <c r="Q428" s="164"/>
      <c r="R428" s="164"/>
      <c r="S428" s="164"/>
      <c r="T428" s="164"/>
      <c r="U428" s="164"/>
      <c r="V428" s="164"/>
    </row>
    <row r="429" spans="1:25" ht="27" customHeight="1">
      <c r="A429" s="192" t="str">
        <f>IF(ISBLANK(C429)," ",424-COUNTBLANK($C$6:C429))</f>
        <v xml:space="preserve"> </v>
      </c>
      <c r="B429" s="178"/>
      <c r="C429" s="178"/>
      <c r="D429" s="193"/>
      <c r="E429" s="193"/>
      <c r="F429" s="180"/>
      <c r="G429" s="180"/>
      <c r="H429" s="180"/>
      <c r="I429" s="180"/>
      <c r="J429" s="180"/>
      <c r="K429" s="180"/>
      <c r="L429" s="180"/>
      <c r="M429" s="181"/>
      <c r="N429" s="163" t="str">
        <f t="shared" si="33"/>
        <v/>
      </c>
      <c r="O429" s="126" t="str">
        <f t="shared" si="34"/>
        <v>-</v>
      </c>
      <c r="P429" s="164"/>
      <c r="Q429" s="164"/>
      <c r="R429" s="164"/>
      <c r="S429" s="164"/>
      <c r="T429" s="164"/>
      <c r="U429" s="164"/>
      <c r="V429" s="164"/>
    </row>
    <row r="430" spans="1:25" ht="27" customHeight="1">
      <c r="A430" s="192" t="str">
        <f>IF(ISBLANK(C430)," ",425-COUNTBLANK($C$6:C430))</f>
        <v xml:space="preserve"> </v>
      </c>
      <c r="B430" s="178"/>
      <c r="C430" s="178"/>
      <c r="D430" s="193"/>
      <c r="E430" s="193"/>
      <c r="F430" s="180"/>
      <c r="G430" s="180"/>
      <c r="H430" s="180"/>
      <c r="I430" s="180"/>
      <c r="J430" s="180"/>
      <c r="K430" s="180"/>
      <c r="L430" s="180"/>
      <c r="M430" s="181"/>
      <c r="N430" s="163" t="str">
        <f t="shared" si="33"/>
        <v/>
      </c>
      <c r="O430" s="126" t="str">
        <f t="shared" si="34"/>
        <v>-</v>
      </c>
      <c r="P430" s="164"/>
      <c r="Q430" s="164"/>
      <c r="R430" s="164"/>
      <c r="S430" s="164"/>
      <c r="T430" s="164"/>
      <c r="U430" s="164"/>
      <c r="V430" s="164"/>
    </row>
    <row r="431" spans="1:25" ht="27" customHeight="1">
      <c r="A431" s="192" t="str">
        <f>IF(ISBLANK(C431)," ",426-COUNTBLANK($C$6:C431))</f>
        <v xml:space="preserve"> </v>
      </c>
      <c r="B431" s="178"/>
      <c r="C431" s="178"/>
      <c r="D431" s="193"/>
      <c r="E431" s="193"/>
      <c r="F431" s="180"/>
      <c r="G431" s="180"/>
      <c r="H431" s="180"/>
      <c r="I431" s="180"/>
      <c r="J431" s="180"/>
      <c r="K431" s="180"/>
      <c r="L431" s="180"/>
      <c r="M431" s="181"/>
      <c r="N431" s="163" t="str">
        <f t="shared" si="33"/>
        <v/>
      </c>
      <c r="O431" s="126" t="str">
        <f t="shared" si="34"/>
        <v>-</v>
      </c>
      <c r="P431" s="164"/>
      <c r="Q431" s="164"/>
      <c r="R431" s="164"/>
      <c r="S431" s="164"/>
      <c r="T431" s="164"/>
      <c r="U431" s="164"/>
      <c r="V431" s="164"/>
    </row>
    <row r="432" spans="1:25" ht="27" customHeight="1">
      <c r="A432" s="192" t="str">
        <f>IF(ISBLANK(C432)," ",427-COUNTBLANK($C$6:C432))</f>
        <v xml:space="preserve"> </v>
      </c>
      <c r="B432" s="178"/>
      <c r="C432" s="178"/>
      <c r="D432" s="193"/>
      <c r="E432" s="193"/>
      <c r="F432" s="180"/>
      <c r="G432" s="180"/>
      <c r="H432" s="180"/>
      <c r="I432" s="180"/>
      <c r="J432" s="180"/>
      <c r="K432" s="180"/>
      <c r="L432" s="180"/>
      <c r="M432" s="181"/>
      <c r="N432" s="163" t="str">
        <f t="shared" si="33"/>
        <v/>
      </c>
      <c r="O432" s="126" t="str">
        <f t="shared" si="34"/>
        <v>-</v>
      </c>
      <c r="P432" s="164"/>
      <c r="Q432" s="164"/>
      <c r="R432" s="164"/>
      <c r="S432" s="164"/>
      <c r="T432" s="164"/>
      <c r="U432" s="164"/>
      <c r="V432" s="164"/>
    </row>
    <row r="433" spans="1:25" ht="27" customHeight="1">
      <c r="A433" s="192" t="str">
        <f>IF(ISBLANK(C433)," ",428-COUNTBLANK($C$6:C433))</f>
        <v xml:space="preserve"> </v>
      </c>
      <c r="B433" s="178"/>
      <c r="C433" s="178"/>
      <c r="D433" s="193"/>
      <c r="E433" s="193"/>
      <c r="F433" s="180"/>
      <c r="G433" s="180"/>
      <c r="H433" s="180"/>
      <c r="I433" s="180"/>
      <c r="J433" s="180"/>
      <c r="K433" s="180"/>
      <c r="L433" s="180"/>
      <c r="M433" s="181"/>
      <c r="N433" s="163" t="str">
        <f t="shared" si="33"/>
        <v/>
      </c>
      <c r="O433" s="126" t="str">
        <f t="shared" si="34"/>
        <v>-</v>
      </c>
      <c r="P433" s="164"/>
      <c r="Q433" s="164"/>
      <c r="R433" s="164"/>
      <c r="S433" s="164"/>
      <c r="T433" s="164"/>
      <c r="U433" s="164"/>
      <c r="V433" s="164"/>
    </row>
    <row r="434" spans="1:25" ht="27" customHeight="1">
      <c r="A434" s="192" t="str">
        <f>IF(ISBLANK(C434)," ",429-COUNTBLANK($C$6:C434))</f>
        <v xml:space="preserve"> </v>
      </c>
      <c r="B434" s="178"/>
      <c r="C434" s="178"/>
      <c r="D434" s="193"/>
      <c r="E434" s="193"/>
      <c r="F434" s="180"/>
      <c r="G434" s="180"/>
      <c r="H434" s="180"/>
      <c r="I434" s="180"/>
      <c r="J434" s="180"/>
      <c r="K434" s="180"/>
      <c r="L434" s="180"/>
      <c r="M434" s="181"/>
      <c r="N434" s="163" t="str">
        <f t="shared" si="33"/>
        <v/>
      </c>
      <c r="O434" s="126" t="str">
        <f t="shared" si="34"/>
        <v>-</v>
      </c>
      <c r="P434" s="164"/>
      <c r="Q434" s="164"/>
      <c r="R434" s="164"/>
      <c r="S434" s="164"/>
      <c r="T434" s="164"/>
      <c r="U434" s="164"/>
      <c r="V434" s="164"/>
    </row>
    <row r="435" spans="1:25" ht="27" customHeight="1">
      <c r="A435" s="192" t="str">
        <f>IF(ISBLANK(C435)," ",430-COUNTBLANK($C$6:C435))</f>
        <v xml:space="preserve"> </v>
      </c>
      <c r="B435" s="178"/>
      <c r="C435" s="178"/>
      <c r="D435" s="193"/>
      <c r="E435" s="193"/>
      <c r="F435" s="180"/>
      <c r="G435" s="180"/>
      <c r="H435" s="180"/>
      <c r="I435" s="180"/>
      <c r="J435" s="180"/>
      <c r="K435" s="180"/>
      <c r="L435" s="180"/>
      <c r="M435" s="181"/>
      <c r="N435" s="163" t="str">
        <f t="shared" si="33"/>
        <v/>
      </c>
      <c r="O435" s="126" t="str">
        <f t="shared" si="34"/>
        <v>-</v>
      </c>
      <c r="P435" s="164"/>
      <c r="Q435" s="164"/>
      <c r="R435" s="164"/>
      <c r="S435" s="164"/>
      <c r="T435" s="164"/>
      <c r="U435" s="164"/>
      <c r="V435" s="164"/>
    </row>
    <row r="436" spans="1:25" ht="27" customHeight="1">
      <c r="A436" s="192" t="str">
        <f>IF(ISBLANK(C436)," ",431-COUNTBLANK($C$6:C436))</f>
        <v xml:space="preserve"> </v>
      </c>
      <c r="B436" s="178"/>
      <c r="C436" s="178"/>
      <c r="D436" s="193"/>
      <c r="E436" s="193"/>
      <c r="F436" s="180"/>
      <c r="G436" s="180"/>
      <c r="H436" s="180"/>
      <c r="I436" s="180"/>
      <c r="J436" s="180"/>
      <c r="K436" s="180"/>
      <c r="L436" s="180"/>
      <c r="M436" s="181"/>
      <c r="N436" s="163" t="str">
        <f t="shared" si="33"/>
        <v/>
      </c>
      <c r="O436" s="126" t="str">
        <f t="shared" si="34"/>
        <v>-</v>
      </c>
      <c r="P436" s="164"/>
      <c r="Q436" s="164"/>
      <c r="R436" s="164"/>
      <c r="S436" s="164"/>
      <c r="T436" s="164"/>
      <c r="U436" s="164"/>
      <c r="V436" s="164"/>
    </row>
    <row r="437" spans="1:25" ht="27" customHeight="1">
      <c r="A437" s="192" t="str">
        <f>IF(ISBLANK(C437)," ",432-COUNTBLANK($C$6:C437))</f>
        <v xml:space="preserve"> </v>
      </c>
      <c r="B437" s="178"/>
      <c r="C437" s="178"/>
      <c r="D437" s="193"/>
      <c r="E437" s="193"/>
      <c r="F437" s="180"/>
      <c r="G437" s="180"/>
      <c r="H437" s="180"/>
      <c r="I437" s="180"/>
      <c r="J437" s="180"/>
      <c r="K437" s="180"/>
      <c r="L437" s="180"/>
      <c r="M437" s="181"/>
      <c r="N437" s="163" t="str">
        <f t="shared" si="33"/>
        <v/>
      </c>
      <c r="O437" s="126" t="str">
        <f t="shared" si="34"/>
        <v>-</v>
      </c>
      <c r="P437" s="164"/>
      <c r="Q437" s="164"/>
      <c r="R437" s="164"/>
      <c r="S437" s="164"/>
      <c r="T437" s="164"/>
      <c r="U437" s="164"/>
      <c r="V437" s="164"/>
    </row>
    <row r="438" spans="1:25" ht="27" customHeight="1">
      <c r="A438" s="192" t="str">
        <f>IF(ISBLANK(C438)," ",433-COUNTBLANK($C$6:C438))</f>
        <v xml:space="preserve"> </v>
      </c>
      <c r="B438" s="178"/>
      <c r="C438" s="178"/>
      <c r="D438" s="193"/>
      <c r="E438" s="193"/>
      <c r="F438" s="180"/>
      <c r="G438" s="180"/>
      <c r="H438" s="180"/>
      <c r="I438" s="180"/>
      <c r="J438" s="180"/>
      <c r="K438" s="180"/>
      <c r="L438" s="180"/>
      <c r="M438" s="181"/>
      <c r="N438" s="163" t="str">
        <f t="shared" si="33"/>
        <v/>
      </c>
      <c r="O438" s="126" t="str">
        <f t="shared" si="34"/>
        <v>-</v>
      </c>
      <c r="P438" s="164"/>
      <c r="Q438" s="164"/>
      <c r="R438" s="164"/>
      <c r="S438" s="164"/>
      <c r="T438" s="164"/>
      <c r="U438" s="164"/>
      <c r="V438" s="164"/>
    </row>
    <row r="439" spans="1:25" ht="27" customHeight="1">
      <c r="A439" s="192" t="str">
        <f>IF(ISBLANK(C439)," ",434-COUNTBLANK($C$6:C439))</f>
        <v xml:space="preserve"> </v>
      </c>
      <c r="B439" s="178"/>
      <c r="C439" s="178"/>
      <c r="D439" s="193"/>
      <c r="E439" s="193"/>
      <c r="F439" s="180"/>
      <c r="G439" s="180"/>
      <c r="H439" s="180"/>
      <c r="I439" s="180"/>
      <c r="J439" s="180"/>
      <c r="K439" s="180"/>
      <c r="L439" s="180"/>
      <c r="M439" s="181"/>
      <c r="N439" s="163" t="str">
        <f t="shared" si="33"/>
        <v/>
      </c>
      <c r="O439" s="126" t="str">
        <f t="shared" si="34"/>
        <v>-</v>
      </c>
      <c r="P439" s="164"/>
      <c r="Q439" s="164"/>
      <c r="R439" s="164"/>
      <c r="S439" s="164"/>
      <c r="T439" s="164"/>
      <c r="U439" s="164"/>
      <c r="V439" s="164"/>
    </row>
    <row r="440" spans="1:25" ht="27" customHeight="1">
      <c r="A440" s="192" t="str">
        <f>IF(ISBLANK(C440)," ",435-COUNTBLANK($C$6:C440))</f>
        <v xml:space="preserve"> </v>
      </c>
      <c r="B440" s="178"/>
      <c r="C440" s="178"/>
      <c r="D440" s="193"/>
      <c r="E440" s="193"/>
      <c r="F440" s="180"/>
      <c r="G440" s="180"/>
      <c r="H440" s="180"/>
      <c r="I440" s="180"/>
      <c r="J440" s="180"/>
      <c r="K440" s="180"/>
      <c r="L440" s="180"/>
      <c r="M440" s="181"/>
      <c r="N440" s="163" t="str">
        <f t="shared" si="33"/>
        <v/>
      </c>
      <c r="O440" s="126" t="str">
        <f t="shared" si="34"/>
        <v>-</v>
      </c>
      <c r="P440" s="164"/>
      <c r="Q440" s="164"/>
      <c r="R440" s="164"/>
      <c r="S440" s="164"/>
      <c r="T440" s="164"/>
      <c r="U440" s="164"/>
      <c r="V440" s="164"/>
    </row>
    <row r="441" spans="1:25" ht="27" customHeight="1">
      <c r="A441" s="192" t="str">
        <f>IF(ISBLANK(C441)," ",436-COUNTBLANK($C$6:C441))</f>
        <v xml:space="preserve"> </v>
      </c>
      <c r="B441" s="178"/>
      <c r="C441" s="178"/>
      <c r="D441" s="193"/>
      <c r="E441" s="193"/>
      <c r="F441" s="180"/>
      <c r="G441" s="180"/>
      <c r="H441" s="180"/>
      <c r="I441" s="180"/>
      <c r="J441" s="180"/>
      <c r="K441" s="180"/>
      <c r="L441" s="180"/>
      <c r="M441" s="181"/>
      <c r="N441" s="163" t="str">
        <f t="shared" si="33"/>
        <v/>
      </c>
      <c r="O441" s="126" t="str">
        <f t="shared" si="34"/>
        <v>-</v>
      </c>
      <c r="P441" s="164"/>
      <c r="Q441" s="164"/>
      <c r="R441" s="164"/>
      <c r="S441" s="164"/>
      <c r="T441" s="164"/>
      <c r="U441" s="164"/>
      <c r="V441" s="165"/>
    </row>
    <row r="442" spans="1:25" ht="27" customHeight="1">
      <c r="A442" s="192" t="str">
        <f>IF(ISBLANK(C442)," ",437-COUNTBLANK($C$6:C442))</f>
        <v xml:space="preserve"> </v>
      </c>
      <c r="B442" s="178"/>
      <c r="C442" s="178"/>
      <c r="D442" s="193"/>
      <c r="E442" s="193"/>
      <c r="F442" s="180"/>
      <c r="G442" s="180"/>
      <c r="H442" s="180"/>
      <c r="I442" s="180"/>
      <c r="J442" s="180"/>
      <c r="K442" s="180"/>
      <c r="L442" s="180"/>
      <c r="M442" s="181"/>
      <c r="N442" s="163" t="str">
        <f t="shared" si="33"/>
        <v/>
      </c>
      <c r="O442" s="126" t="str">
        <f t="shared" si="34"/>
        <v>-</v>
      </c>
      <c r="P442" s="164"/>
      <c r="Q442" s="164"/>
      <c r="R442" s="164"/>
      <c r="S442" s="164"/>
      <c r="T442" s="164"/>
      <c r="U442" s="164"/>
      <c r="V442" s="165"/>
    </row>
    <row r="443" spans="1:25" ht="27" customHeight="1">
      <c r="A443" s="192" t="str">
        <f>IF(ISBLANK(C443)," ",438-COUNTBLANK($C$6:C443))</f>
        <v xml:space="preserve"> </v>
      </c>
      <c r="B443" s="178"/>
      <c r="C443" s="178"/>
      <c r="D443" s="193"/>
      <c r="E443" s="193"/>
      <c r="F443" s="180"/>
      <c r="G443" s="180"/>
      <c r="H443" s="180"/>
      <c r="I443" s="180"/>
      <c r="J443" s="180"/>
      <c r="K443" s="180"/>
      <c r="L443" s="180"/>
      <c r="M443" s="181"/>
      <c r="N443" s="163" t="str">
        <f t="shared" si="33"/>
        <v/>
      </c>
      <c r="O443" s="126" t="str">
        <f t="shared" si="34"/>
        <v>-</v>
      </c>
      <c r="P443" s="164"/>
      <c r="Q443" s="164"/>
      <c r="R443" s="164"/>
      <c r="S443" s="164"/>
      <c r="T443" s="164"/>
      <c r="U443" s="164"/>
      <c r="V443" s="165"/>
    </row>
    <row r="444" spans="1:25" ht="27" customHeight="1">
      <c r="A444" s="192" t="str">
        <f>IF(ISBLANK(C444)," ",439-COUNTBLANK($C$6:C444))</f>
        <v xml:space="preserve"> </v>
      </c>
      <c r="B444" s="178"/>
      <c r="C444" s="178"/>
      <c r="D444" s="193"/>
      <c r="E444" s="193"/>
      <c r="F444" s="180"/>
      <c r="G444" s="180"/>
      <c r="H444" s="180"/>
      <c r="I444" s="180"/>
      <c r="J444" s="180"/>
      <c r="K444" s="180"/>
      <c r="L444" s="180"/>
      <c r="M444" s="181"/>
      <c r="N444" s="163" t="str">
        <f t="shared" si="33"/>
        <v/>
      </c>
      <c r="O444" s="126" t="str">
        <f t="shared" si="34"/>
        <v>-</v>
      </c>
      <c r="P444" s="164"/>
      <c r="Q444" s="164"/>
      <c r="R444" s="164"/>
      <c r="S444" s="164"/>
      <c r="T444" s="164"/>
      <c r="U444" s="164"/>
      <c r="V444" s="165"/>
    </row>
    <row r="445" spans="1:25" ht="27" customHeight="1">
      <c r="A445" s="192" t="str">
        <f>IF(ISBLANK(C445)," ",440-COUNTBLANK($C$6:C445))</f>
        <v xml:space="preserve"> </v>
      </c>
      <c r="B445" s="178"/>
      <c r="C445" s="178"/>
      <c r="D445" s="193"/>
      <c r="E445" s="193"/>
      <c r="F445" s="180"/>
      <c r="G445" s="180"/>
      <c r="H445" s="180"/>
      <c r="I445" s="180"/>
      <c r="J445" s="180"/>
      <c r="K445" s="180"/>
      <c r="L445" s="180"/>
      <c r="M445" s="181"/>
      <c r="N445" s="163" t="str">
        <f t="shared" si="33"/>
        <v/>
      </c>
      <c r="O445" s="126" t="str">
        <f t="shared" si="34"/>
        <v>-</v>
      </c>
      <c r="P445" s="164"/>
      <c r="Q445" s="164"/>
      <c r="R445" s="164"/>
      <c r="S445" s="164"/>
      <c r="T445" s="164"/>
      <c r="U445" s="164"/>
      <c r="V445" s="166"/>
      <c r="W445" s="164"/>
      <c r="X445" s="164"/>
      <c r="Y445" s="164"/>
    </row>
    <row r="446" spans="1:25" ht="27" customHeight="1">
      <c r="A446" s="172" t="s">
        <v>44</v>
      </c>
      <c r="B446" s="173"/>
      <c r="C446" s="174"/>
      <c r="D446" s="194"/>
      <c r="E446" s="194">
        <f>SUM(E426:E445)</f>
        <v>0</v>
      </c>
      <c r="F446" s="176"/>
      <c r="G446" s="176"/>
      <c r="H446" s="176"/>
      <c r="I446" s="176"/>
      <c r="J446" s="176"/>
      <c r="K446" s="176"/>
      <c r="L446" s="176"/>
      <c r="M446" s="177"/>
      <c r="N446" s="163" t="str">
        <f t="shared" si="33"/>
        <v/>
      </c>
      <c r="O446" s="126"/>
      <c r="P446" s="164"/>
      <c r="Q446" s="164"/>
      <c r="R446" s="164"/>
      <c r="S446" s="164"/>
      <c r="T446" s="164"/>
      <c r="U446" s="164"/>
      <c r="V446" s="166"/>
      <c r="W446" s="164"/>
      <c r="X446" s="164"/>
      <c r="Y446" s="164"/>
    </row>
    <row r="447" spans="1:25" ht="27" customHeight="1">
      <c r="A447" s="187" t="str">
        <f>IF(ISBLANK(C447)," ",442-COUNTBLANK($C$6:C447))</f>
        <v xml:space="preserve"> </v>
      </c>
      <c r="B447" s="188"/>
      <c r="C447" s="188"/>
      <c r="D447" s="189"/>
      <c r="E447" s="189"/>
      <c r="F447" s="190"/>
      <c r="G447" s="190"/>
      <c r="H447" s="190"/>
      <c r="I447" s="190"/>
      <c r="J447" s="190"/>
      <c r="K447" s="190"/>
      <c r="L447" s="190"/>
      <c r="M447" s="191"/>
      <c r="N447" s="163" t="str">
        <f>CONCATENATE(C447,H447)</f>
        <v/>
      </c>
      <c r="O447" s="126" t="str">
        <f>IF(D447&gt;=E447,"-","ERR")</f>
        <v>-</v>
      </c>
      <c r="P447" s="164"/>
      <c r="Q447" s="164"/>
      <c r="R447" s="164"/>
      <c r="S447" s="164"/>
      <c r="T447" s="164"/>
      <c r="U447" s="164"/>
      <c r="V447" s="164"/>
    </row>
    <row r="448" spans="1:25" ht="27" customHeight="1">
      <c r="A448" s="192" t="str">
        <f>IF(ISBLANK(C448)," ",443-COUNTBLANK($C$6:C448))</f>
        <v xml:space="preserve"> </v>
      </c>
      <c r="B448" s="178"/>
      <c r="C448" s="178"/>
      <c r="D448" s="193"/>
      <c r="E448" s="193"/>
      <c r="F448" s="180"/>
      <c r="G448" s="180"/>
      <c r="H448" s="180"/>
      <c r="I448" s="180"/>
      <c r="J448" s="180"/>
      <c r="K448" s="180"/>
      <c r="L448" s="180"/>
      <c r="M448" s="181"/>
      <c r="N448" s="163" t="str">
        <f t="shared" ref="N448:N467" si="35">CONCATENATE(C448,H448)</f>
        <v/>
      </c>
      <c r="O448" s="126" t="str">
        <f t="shared" ref="O448:O466" si="36">IF(D448&gt;=E448,"-","ERR")</f>
        <v>-</v>
      </c>
      <c r="P448" s="164"/>
      <c r="Q448" s="164"/>
      <c r="R448" s="164"/>
      <c r="S448" s="164"/>
      <c r="T448" s="164"/>
      <c r="U448" s="164"/>
      <c r="V448" s="164"/>
    </row>
    <row r="449" spans="1:22" ht="27" customHeight="1">
      <c r="A449" s="192" t="str">
        <f>IF(ISBLANK(C449)," ",444-COUNTBLANK($C$6:C449))</f>
        <v xml:space="preserve"> </v>
      </c>
      <c r="B449" s="178"/>
      <c r="C449" s="178"/>
      <c r="D449" s="193"/>
      <c r="E449" s="193"/>
      <c r="F449" s="180"/>
      <c r="G449" s="180"/>
      <c r="H449" s="180"/>
      <c r="I449" s="180"/>
      <c r="J449" s="180"/>
      <c r="K449" s="180"/>
      <c r="L449" s="180"/>
      <c r="M449" s="181"/>
      <c r="N449" s="163" t="str">
        <f t="shared" si="35"/>
        <v/>
      </c>
      <c r="O449" s="126" t="str">
        <f t="shared" si="36"/>
        <v>-</v>
      </c>
      <c r="P449" s="164"/>
      <c r="Q449" s="164"/>
      <c r="R449" s="164"/>
      <c r="S449" s="164"/>
      <c r="T449" s="164"/>
      <c r="U449" s="164"/>
      <c r="V449" s="164"/>
    </row>
    <row r="450" spans="1:22" ht="27" customHeight="1">
      <c r="A450" s="192" t="str">
        <f>IF(ISBLANK(C450)," ",445-COUNTBLANK($C$6:C450))</f>
        <v xml:space="preserve"> </v>
      </c>
      <c r="B450" s="178"/>
      <c r="C450" s="178"/>
      <c r="D450" s="193"/>
      <c r="E450" s="193"/>
      <c r="F450" s="180"/>
      <c r="G450" s="180"/>
      <c r="H450" s="180"/>
      <c r="I450" s="180"/>
      <c r="J450" s="180"/>
      <c r="K450" s="180"/>
      <c r="L450" s="180"/>
      <c r="M450" s="181"/>
      <c r="N450" s="163" t="str">
        <f t="shared" si="35"/>
        <v/>
      </c>
      <c r="O450" s="126" t="str">
        <f t="shared" si="36"/>
        <v>-</v>
      </c>
      <c r="P450" s="164"/>
      <c r="Q450" s="164"/>
      <c r="R450" s="164"/>
      <c r="S450" s="164"/>
      <c r="T450" s="164"/>
      <c r="U450" s="164"/>
      <c r="V450" s="164"/>
    </row>
    <row r="451" spans="1:22" ht="27" customHeight="1">
      <c r="A451" s="192" t="str">
        <f>IF(ISBLANK(C451)," ",446-COUNTBLANK($C$6:C451))</f>
        <v xml:space="preserve"> </v>
      </c>
      <c r="B451" s="178"/>
      <c r="C451" s="178"/>
      <c r="D451" s="193"/>
      <c r="E451" s="193"/>
      <c r="F451" s="180"/>
      <c r="G451" s="180"/>
      <c r="H451" s="180"/>
      <c r="I451" s="180"/>
      <c r="J451" s="180"/>
      <c r="K451" s="180"/>
      <c r="L451" s="180"/>
      <c r="M451" s="181"/>
      <c r="N451" s="163" t="str">
        <f t="shared" si="35"/>
        <v/>
      </c>
      <c r="O451" s="126" t="str">
        <f t="shared" si="36"/>
        <v>-</v>
      </c>
      <c r="P451" s="164"/>
      <c r="Q451" s="164"/>
      <c r="R451" s="164"/>
      <c r="S451" s="164"/>
      <c r="T451" s="164"/>
      <c r="U451" s="164"/>
      <c r="V451" s="164"/>
    </row>
    <row r="452" spans="1:22" ht="27" customHeight="1">
      <c r="A452" s="192" t="str">
        <f>IF(ISBLANK(C452)," ",447-COUNTBLANK($C$6:C452))</f>
        <v xml:space="preserve"> </v>
      </c>
      <c r="B452" s="178"/>
      <c r="C452" s="178"/>
      <c r="D452" s="193"/>
      <c r="E452" s="193"/>
      <c r="F452" s="180"/>
      <c r="G452" s="180"/>
      <c r="H452" s="180"/>
      <c r="I452" s="180"/>
      <c r="J452" s="180"/>
      <c r="K452" s="180"/>
      <c r="L452" s="180"/>
      <c r="M452" s="181"/>
      <c r="N452" s="163" t="str">
        <f t="shared" si="35"/>
        <v/>
      </c>
      <c r="O452" s="126" t="str">
        <f t="shared" si="36"/>
        <v>-</v>
      </c>
      <c r="P452" s="164"/>
      <c r="Q452" s="164"/>
      <c r="R452" s="164"/>
      <c r="S452" s="164"/>
      <c r="T452" s="164"/>
      <c r="U452" s="164"/>
      <c r="V452" s="164"/>
    </row>
    <row r="453" spans="1:22" ht="27" customHeight="1">
      <c r="A453" s="192" t="str">
        <f>IF(ISBLANK(C453)," ",448-COUNTBLANK($C$6:C453))</f>
        <v xml:space="preserve"> </v>
      </c>
      <c r="B453" s="178"/>
      <c r="C453" s="178"/>
      <c r="D453" s="193"/>
      <c r="E453" s="193"/>
      <c r="F453" s="180"/>
      <c r="G453" s="180"/>
      <c r="H453" s="180"/>
      <c r="I453" s="180"/>
      <c r="J453" s="180"/>
      <c r="K453" s="180"/>
      <c r="L453" s="180"/>
      <c r="M453" s="181"/>
      <c r="N453" s="163" t="str">
        <f t="shared" si="35"/>
        <v/>
      </c>
      <c r="O453" s="126" t="str">
        <f t="shared" si="36"/>
        <v>-</v>
      </c>
      <c r="P453" s="164"/>
      <c r="Q453" s="164"/>
      <c r="R453" s="164"/>
      <c r="S453" s="164"/>
      <c r="T453" s="164"/>
      <c r="U453" s="164"/>
      <c r="V453" s="164"/>
    </row>
    <row r="454" spans="1:22" ht="27" customHeight="1">
      <c r="A454" s="192" t="str">
        <f>IF(ISBLANK(C454)," ",449-COUNTBLANK($C$6:C454))</f>
        <v xml:space="preserve"> </v>
      </c>
      <c r="B454" s="178"/>
      <c r="C454" s="178"/>
      <c r="D454" s="193"/>
      <c r="E454" s="193"/>
      <c r="F454" s="180"/>
      <c r="G454" s="180"/>
      <c r="H454" s="180"/>
      <c r="I454" s="180"/>
      <c r="J454" s="180"/>
      <c r="K454" s="180"/>
      <c r="L454" s="180"/>
      <c r="M454" s="181"/>
      <c r="N454" s="163" t="str">
        <f t="shared" si="35"/>
        <v/>
      </c>
      <c r="O454" s="126" t="str">
        <f t="shared" si="36"/>
        <v>-</v>
      </c>
      <c r="P454" s="164"/>
      <c r="Q454" s="164"/>
      <c r="R454" s="164"/>
      <c r="S454" s="164"/>
      <c r="T454" s="164"/>
      <c r="U454" s="164"/>
      <c r="V454" s="164"/>
    </row>
    <row r="455" spans="1:22" ht="27" customHeight="1">
      <c r="A455" s="192" t="str">
        <f>IF(ISBLANK(C455)," ",450-COUNTBLANK($C$6:C455))</f>
        <v xml:space="preserve"> </v>
      </c>
      <c r="B455" s="178"/>
      <c r="C455" s="178"/>
      <c r="D455" s="193"/>
      <c r="E455" s="193"/>
      <c r="F455" s="180"/>
      <c r="G455" s="180"/>
      <c r="H455" s="180"/>
      <c r="I455" s="180"/>
      <c r="J455" s="180"/>
      <c r="K455" s="180"/>
      <c r="L455" s="180"/>
      <c r="M455" s="181"/>
      <c r="N455" s="163" t="str">
        <f t="shared" si="35"/>
        <v/>
      </c>
      <c r="O455" s="126" t="str">
        <f t="shared" si="36"/>
        <v>-</v>
      </c>
      <c r="P455" s="164"/>
      <c r="Q455" s="164"/>
      <c r="R455" s="164"/>
      <c r="S455" s="164"/>
      <c r="T455" s="164"/>
      <c r="U455" s="164"/>
      <c r="V455" s="164"/>
    </row>
    <row r="456" spans="1:22" ht="27" customHeight="1">
      <c r="A456" s="192" t="str">
        <f>IF(ISBLANK(C456)," ",451-COUNTBLANK($C$6:C456))</f>
        <v xml:space="preserve"> </v>
      </c>
      <c r="B456" s="178"/>
      <c r="C456" s="178"/>
      <c r="D456" s="193"/>
      <c r="E456" s="193"/>
      <c r="F456" s="180"/>
      <c r="G456" s="180"/>
      <c r="H456" s="180"/>
      <c r="I456" s="180"/>
      <c r="J456" s="180"/>
      <c r="K456" s="180"/>
      <c r="L456" s="180"/>
      <c r="M456" s="181"/>
      <c r="N456" s="163" t="str">
        <f t="shared" si="35"/>
        <v/>
      </c>
      <c r="O456" s="126" t="str">
        <f t="shared" si="36"/>
        <v>-</v>
      </c>
      <c r="P456" s="164"/>
      <c r="Q456" s="164"/>
      <c r="R456" s="164"/>
      <c r="S456" s="164"/>
      <c r="T456" s="164"/>
      <c r="U456" s="164"/>
      <c r="V456" s="164"/>
    </row>
    <row r="457" spans="1:22" ht="27" customHeight="1">
      <c r="A457" s="192" t="str">
        <f>IF(ISBLANK(C457)," ",452-COUNTBLANK($C$6:C457))</f>
        <v xml:space="preserve"> </v>
      </c>
      <c r="B457" s="178"/>
      <c r="C457" s="178"/>
      <c r="D457" s="193"/>
      <c r="E457" s="193"/>
      <c r="F457" s="180"/>
      <c r="G457" s="180"/>
      <c r="H457" s="180"/>
      <c r="I457" s="180"/>
      <c r="J457" s="180"/>
      <c r="K457" s="180"/>
      <c r="L457" s="180"/>
      <c r="M457" s="181"/>
      <c r="N457" s="163" t="str">
        <f t="shared" si="35"/>
        <v/>
      </c>
      <c r="O457" s="126" t="str">
        <f t="shared" si="36"/>
        <v>-</v>
      </c>
      <c r="P457" s="164"/>
      <c r="Q457" s="164"/>
      <c r="R457" s="164"/>
      <c r="S457" s="164"/>
      <c r="T457" s="164"/>
      <c r="U457" s="164"/>
      <c r="V457" s="164"/>
    </row>
    <row r="458" spans="1:22" ht="27" customHeight="1">
      <c r="A458" s="192" t="str">
        <f>IF(ISBLANK(C458)," ",453-COUNTBLANK($C$6:C458))</f>
        <v xml:space="preserve"> </v>
      </c>
      <c r="B458" s="178"/>
      <c r="C458" s="178"/>
      <c r="D458" s="193"/>
      <c r="E458" s="193"/>
      <c r="F458" s="180"/>
      <c r="G458" s="180"/>
      <c r="H458" s="180"/>
      <c r="I458" s="180"/>
      <c r="J458" s="180"/>
      <c r="K458" s="180"/>
      <c r="L458" s="180"/>
      <c r="M458" s="181"/>
      <c r="N458" s="163" t="str">
        <f t="shared" si="35"/>
        <v/>
      </c>
      <c r="O458" s="126" t="str">
        <f t="shared" si="36"/>
        <v>-</v>
      </c>
      <c r="P458" s="164"/>
      <c r="Q458" s="164"/>
      <c r="R458" s="164"/>
      <c r="S458" s="164"/>
      <c r="T458" s="164"/>
      <c r="U458" s="164"/>
      <c r="V458" s="164"/>
    </row>
    <row r="459" spans="1:22" ht="27" customHeight="1">
      <c r="A459" s="192" t="str">
        <f>IF(ISBLANK(C459)," ",454-COUNTBLANK($C$6:C459))</f>
        <v xml:space="preserve"> </v>
      </c>
      <c r="B459" s="178"/>
      <c r="C459" s="178"/>
      <c r="D459" s="193"/>
      <c r="E459" s="193"/>
      <c r="F459" s="180"/>
      <c r="G459" s="180"/>
      <c r="H459" s="180"/>
      <c r="I459" s="180"/>
      <c r="J459" s="180"/>
      <c r="K459" s="180"/>
      <c r="L459" s="180"/>
      <c r="M459" s="181"/>
      <c r="N459" s="163" t="str">
        <f t="shared" si="35"/>
        <v/>
      </c>
      <c r="O459" s="126" t="str">
        <f t="shared" si="36"/>
        <v>-</v>
      </c>
      <c r="P459" s="164"/>
      <c r="Q459" s="164"/>
      <c r="R459" s="164"/>
      <c r="S459" s="164"/>
      <c r="T459" s="164"/>
      <c r="U459" s="164"/>
      <c r="V459" s="164"/>
    </row>
    <row r="460" spans="1:22" ht="27" customHeight="1">
      <c r="A460" s="192" t="str">
        <f>IF(ISBLANK(C460)," ",455-COUNTBLANK($C$6:C460))</f>
        <v xml:space="preserve"> </v>
      </c>
      <c r="B460" s="178"/>
      <c r="C460" s="178"/>
      <c r="D460" s="193"/>
      <c r="E460" s="193"/>
      <c r="F460" s="180"/>
      <c r="G460" s="180"/>
      <c r="H460" s="180"/>
      <c r="I460" s="180"/>
      <c r="J460" s="180"/>
      <c r="K460" s="180"/>
      <c r="L460" s="180"/>
      <c r="M460" s="181"/>
      <c r="N460" s="163" t="str">
        <f t="shared" si="35"/>
        <v/>
      </c>
      <c r="O460" s="126" t="str">
        <f t="shared" si="36"/>
        <v>-</v>
      </c>
      <c r="P460" s="164"/>
      <c r="Q460" s="164"/>
      <c r="R460" s="164"/>
      <c r="S460" s="164"/>
      <c r="T460" s="164"/>
      <c r="U460" s="164"/>
      <c r="V460" s="164"/>
    </row>
    <row r="461" spans="1:22" ht="27" customHeight="1">
      <c r="A461" s="192" t="str">
        <f>IF(ISBLANK(C461)," ",456-COUNTBLANK($C$6:C461))</f>
        <v xml:space="preserve"> </v>
      </c>
      <c r="B461" s="178"/>
      <c r="C461" s="178"/>
      <c r="D461" s="193"/>
      <c r="E461" s="193"/>
      <c r="F461" s="180"/>
      <c r="G461" s="180"/>
      <c r="H461" s="180"/>
      <c r="I461" s="180"/>
      <c r="J461" s="180"/>
      <c r="K461" s="180"/>
      <c r="L461" s="180"/>
      <c r="M461" s="181"/>
      <c r="N461" s="163" t="str">
        <f t="shared" si="35"/>
        <v/>
      </c>
      <c r="O461" s="126" t="str">
        <f t="shared" si="36"/>
        <v>-</v>
      </c>
      <c r="P461" s="164"/>
      <c r="Q461" s="164"/>
      <c r="R461" s="164"/>
      <c r="S461" s="164"/>
      <c r="T461" s="164"/>
      <c r="U461" s="164"/>
      <c r="V461" s="164"/>
    </row>
    <row r="462" spans="1:22" ht="27" customHeight="1">
      <c r="A462" s="192" t="str">
        <f>IF(ISBLANK(C462)," ",457-COUNTBLANK($C$6:C462))</f>
        <v xml:space="preserve"> </v>
      </c>
      <c r="B462" s="178"/>
      <c r="C462" s="178"/>
      <c r="D462" s="193"/>
      <c r="E462" s="193"/>
      <c r="F462" s="180"/>
      <c r="G462" s="180"/>
      <c r="H462" s="180"/>
      <c r="I462" s="180"/>
      <c r="J462" s="180"/>
      <c r="K462" s="180"/>
      <c r="L462" s="180"/>
      <c r="M462" s="181"/>
      <c r="N462" s="163" t="str">
        <f t="shared" si="35"/>
        <v/>
      </c>
      <c r="O462" s="126" t="str">
        <f t="shared" si="36"/>
        <v>-</v>
      </c>
      <c r="P462" s="164"/>
      <c r="Q462" s="164"/>
      <c r="R462" s="164"/>
      <c r="S462" s="164"/>
      <c r="T462" s="164"/>
      <c r="U462" s="164"/>
      <c r="V462" s="165"/>
    </row>
    <row r="463" spans="1:22" ht="27" customHeight="1">
      <c r="A463" s="192" t="str">
        <f>IF(ISBLANK(C463)," ",458-COUNTBLANK($C$6:C463))</f>
        <v xml:space="preserve"> </v>
      </c>
      <c r="B463" s="178"/>
      <c r="C463" s="178"/>
      <c r="D463" s="193"/>
      <c r="E463" s="193"/>
      <c r="F463" s="180"/>
      <c r="G463" s="180"/>
      <c r="H463" s="180"/>
      <c r="I463" s="180"/>
      <c r="J463" s="180"/>
      <c r="K463" s="180"/>
      <c r="L463" s="180"/>
      <c r="M463" s="181"/>
      <c r="N463" s="163" t="str">
        <f t="shared" si="35"/>
        <v/>
      </c>
      <c r="O463" s="126" t="str">
        <f t="shared" si="36"/>
        <v>-</v>
      </c>
      <c r="P463" s="164"/>
      <c r="Q463" s="164"/>
      <c r="R463" s="164"/>
      <c r="S463" s="164"/>
      <c r="T463" s="164"/>
      <c r="U463" s="164"/>
      <c r="V463" s="165"/>
    </row>
    <row r="464" spans="1:22" ht="27" customHeight="1">
      <c r="A464" s="192" t="str">
        <f>IF(ISBLANK(C464)," ",459-COUNTBLANK($C$6:C464))</f>
        <v xml:space="preserve"> </v>
      </c>
      <c r="B464" s="178"/>
      <c r="C464" s="178"/>
      <c r="D464" s="193"/>
      <c r="E464" s="193"/>
      <c r="F464" s="180"/>
      <c r="G464" s="180"/>
      <c r="H464" s="180"/>
      <c r="I464" s="180"/>
      <c r="J464" s="180"/>
      <c r="K464" s="180"/>
      <c r="L464" s="180"/>
      <c r="M464" s="181"/>
      <c r="N464" s="163" t="str">
        <f t="shared" si="35"/>
        <v/>
      </c>
      <c r="O464" s="126" t="str">
        <f t="shared" si="36"/>
        <v>-</v>
      </c>
      <c r="P464" s="164"/>
      <c r="Q464" s="164"/>
      <c r="R464" s="164"/>
      <c r="S464" s="164"/>
      <c r="T464" s="164"/>
      <c r="U464" s="164"/>
      <c r="V464" s="165"/>
    </row>
    <row r="465" spans="1:25" ht="27" customHeight="1">
      <c r="A465" s="192" t="str">
        <f>IF(ISBLANK(C465)," ",460-COUNTBLANK($C$6:C465))</f>
        <v xml:space="preserve"> </v>
      </c>
      <c r="B465" s="178"/>
      <c r="C465" s="178"/>
      <c r="D465" s="193"/>
      <c r="E465" s="193"/>
      <c r="F465" s="180"/>
      <c r="G465" s="180"/>
      <c r="H465" s="180"/>
      <c r="I465" s="180"/>
      <c r="J465" s="180"/>
      <c r="K465" s="180"/>
      <c r="L465" s="180"/>
      <c r="M465" s="181"/>
      <c r="N465" s="163" t="str">
        <f t="shared" si="35"/>
        <v/>
      </c>
      <c r="O465" s="126" t="str">
        <f t="shared" si="36"/>
        <v>-</v>
      </c>
      <c r="P465" s="164"/>
      <c r="Q465" s="164"/>
      <c r="R465" s="164"/>
      <c r="S465" s="164"/>
      <c r="T465" s="164"/>
      <c r="U465" s="164"/>
      <c r="V465" s="165"/>
    </row>
    <row r="466" spans="1:25" ht="27" customHeight="1">
      <c r="A466" s="192" t="str">
        <f>IF(ISBLANK(C466)," ",461-COUNTBLANK($C$6:C466))</f>
        <v xml:space="preserve"> </v>
      </c>
      <c r="B466" s="178"/>
      <c r="C466" s="178"/>
      <c r="D466" s="193"/>
      <c r="E466" s="193"/>
      <c r="F466" s="180"/>
      <c r="G466" s="180"/>
      <c r="H466" s="180"/>
      <c r="I466" s="180"/>
      <c r="J466" s="180"/>
      <c r="K466" s="180"/>
      <c r="L466" s="180"/>
      <c r="M466" s="181"/>
      <c r="N466" s="163" t="str">
        <f t="shared" si="35"/>
        <v/>
      </c>
      <c r="O466" s="126" t="str">
        <f t="shared" si="36"/>
        <v>-</v>
      </c>
      <c r="P466" s="164"/>
      <c r="Q466" s="164"/>
      <c r="R466" s="164"/>
      <c r="S466" s="164"/>
      <c r="T466" s="164"/>
      <c r="U466" s="164"/>
      <c r="V466" s="166"/>
      <c r="W466" s="164"/>
      <c r="X466" s="164"/>
      <c r="Y466" s="164"/>
    </row>
    <row r="467" spans="1:25" ht="27" customHeight="1">
      <c r="A467" s="172" t="s">
        <v>44</v>
      </c>
      <c r="B467" s="173"/>
      <c r="C467" s="174"/>
      <c r="D467" s="194"/>
      <c r="E467" s="194">
        <f>SUM(E447:E466)</f>
        <v>0</v>
      </c>
      <c r="F467" s="176"/>
      <c r="G467" s="176"/>
      <c r="H467" s="176"/>
      <c r="I467" s="176"/>
      <c r="J467" s="176"/>
      <c r="K467" s="176"/>
      <c r="L467" s="176"/>
      <c r="M467" s="177"/>
      <c r="N467" s="163" t="str">
        <f t="shared" si="35"/>
        <v/>
      </c>
      <c r="O467" s="126"/>
      <c r="P467" s="164"/>
      <c r="Q467" s="164"/>
      <c r="R467" s="164"/>
      <c r="S467" s="164"/>
      <c r="T467" s="164"/>
      <c r="U467" s="164"/>
      <c r="V467" s="166"/>
      <c r="W467" s="164"/>
      <c r="X467" s="164"/>
      <c r="Y467" s="164"/>
    </row>
    <row r="468" spans="1:25" ht="27" customHeight="1">
      <c r="A468" s="187" t="str">
        <f>IF(ISBLANK(C468)," ",463-COUNTBLANK($C$6:C468))</f>
        <v xml:space="preserve"> </v>
      </c>
      <c r="B468" s="188"/>
      <c r="C468" s="188"/>
      <c r="D468" s="189"/>
      <c r="E468" s="189"/>
      <c r="F468" s="190"/>
      <c r="G468" s="190"/>
      <c r="H468" s="190"/>
      <c r="I468" s="190"/>
      <c r="J468" s="190"/>
      <c r="K468" s="190"/>
      <c r="L468" s="190"/>
      <c r="M468" s="191"/>
      <c r="N468" s="163" t="str">
        <f>CONCATENATE(C468,H468)</f>
        <v/>
      </c>
      <c r="O468" s="126" t="str">
        <f>IF(D468&gt;=E468,"-","ERR")</f>
        <v>-</v>
      </c>
      <c r="P468" s="164"/>
      <c r="Q468" s="164"/>
      <c r="R468" s="164"/>
      <c r="S468" s="164"/>
      <c r="T468" s="164"/>
      <c r="U468" s="164"/>
      <c r="V468" s="164"/>
    </row>
    <row r="469" spans="1:25" ht="27" customHeight="1">
      <c r="A469" s="192" t="str">
        <f>IF(ISBLANK(C469)," ",464-COUNTBLANK($C$6:C469))</f>
        <v xml:space="preserve"> </v>
      </c>
      <c r="B469" s="178"/>
      <c r="C469" s="178"/>
      <c r="D469" s="193"/>
      <c r="E469" s="193"/>
      <c r="F469" s="180"/>
      <c r="G469" s="180"/>
      <c r="H469" s="180"/>
      <c r="I469" s="180"/>
      <c r="J469" s="180"/>
      <c r="K469" s="180"/>
      <c r="L469" s="180"/>
      <c r="M469" s="181"/>
      <c r="N469" s="163" t="str">
        <f t="shared" ref="N469:N488" si="37">CONCATENATE(C469,H469)</f>
        <v/>
      </c>
      <c r="O469" s="126" t="str">
        <f t="shared" ref="O469:O487" si="38">IF(D469&gt;=E469,"-","ERR")</f>
        <v>-</v>
      </c>
      <c r="P469" s="164"/>
      <c r="Q469" s="164"/>
      <c r="R469" s="164"/>
      <c r="S469" s="164"/>
      <c r="T469" s="164"/>
      <c r="U469" s="164"/>
      <c r="V469" s="164"/>
    </row>
    <row r="470" spans="1:25" ht="27" customHeight="1">
      <c r="A470" s="192" t="str">
        <f>IF(ISBLANK(C470)," ",465-COUNTBLANK($C$6:C470))</f>
        <v xml:space="preserve"> </v>
      </c>
      <c r="B470" s="178"/>
      <c r="C470" s="178"/>
      <c r="D470" s="193"/>
      <c r="E470" s="193"/>
      <c r="F470" s="180"/>
      <c r="G470" s="180"/>
      <c r="H470" s="180"/>
      <c r="I470" s="180"/>
      <c r="J470" s="180"/>
      <c r="K470" s="180"/>
      <c r="L470" s="180"/>
      <c r="M470" s="181"/>
      <c r="N470" s="163" t="str">
        <f t="shared" si="37"/>
        <v/>
      </c>
      <c r="O470" s="126" t="str">
        <f t="shared" si="38"/>
        <v>-</v>
      </c>
      <c r="P470" s="164"/>
      <c r="Q470" s="164"/>
      <c r="R470" s="164"/>
      <c r="S470" s="164"/>
      <c r="T470" s="164"/>
      <c r="U470" s="164"/>
      <c r="V470" s="164"/>
    </row>
    <row r="471" spans="1:25" ht="27" customHeight="1">
      <c r="A471" s="192" t="str">
        <f>IF(ISBLANK(C471)," ",466-COUNTBLANK($C$6:C471))</f>
        <v xml:space="preserve"> </v>
      </c>
      <c r="B471" s="178"/>
      <c r="C471" s="178"/>
      <c r="D471" s="193"/>
      <c r="E471" s="193"/>
      <c r="F471" s="180"/>
      <c r="G471" s="180"/>
      <c r="H471" s="180"/>
      <c r="I471" s="180"/>
      <c r="J471" s="180"/>
      <c r="K471" s="180"/>
      <c r="L471" s="180"/>
      <c r="M471" s="181"/>
      <c r="N471" s="163" t="str">
        <f t="shared" si="37"/>
        <v/>
      </c>
      <c r="O471" s="126" t="str">
        <f t="shared" si="38"/>
        <v>-</v>
      </c>
      <c r="P471" s="164"/>
      <c r="Q471" s="164"/>
      <c r="R471" s="164"/>
      <c r="S471" s="164"/>
      <c r="T471" s="164"/>
      <c r="U471" s="164"/>
      <c r="V471" s="164"/>
    </row>
    <row r="472" spans="1:25" ht="27" customHeight="1">
      <c r="A472" s="192" t="str">
        <f>IF(ISBLANK(C472)," ",467-COUNTBLANK($C$6:C472))</f>
        <v xml:space="preserve"> </v>
      </c>
      <c r="B472" s="178"/>
      <c r="C472" s="178"/>
      <c r="D472" s="193"/>
      <c r="E472" s="193"/>
      <c r="F472" s="180"/>
      <c r="G472" s="180"/>
      <c r="H472" s="180"/>
      <c r="I472" s="180"/>
      <c r="J472" s="180"/>
      <c r="K472" s="180"/>
      <c r="L472" s="180"/>
      <c r="M472" s="181"/>
      <c r="N472" s="163" t="str">
        <f t="shared" si="37"/>
        <v/>
      </c>
      <c r="O472" s="126" t="str">
        <f t="shared" si="38"/>
        <v>-</v>
      </c>
      <c r="P472" s="164"/>
      <c r="Q472" s="164"/>
      <c r="R472" s="164"/>
      <c r="S472" s="164"/>
      <c r="T472" s="164"/>
      <c r="U472" s="164"/>
      <c r="V472" s="164"/>
    </row>
    <row r="473" spans="1:25" ht="27" customHeight="1">
      <c r="A473" s="192" t="str">
        <f>IF(ISBLANK(C473)," ",468-COUNTBLANK($C$6:C473))</f>
        <v xml:space="preserve"> </v>
      </c>
      <c r="B473" s="178"/>
      <c r="C473" s="178"/>
      <c r="D473" s="193"/>
      <c r="E473" s="193"/>
      <c r="F473" s="180"/>
      <c r="G473" s="180"/>
      <c r="H473" s="180"/>
      <c r="I473" s="180"/>
      <c r="J473" s="180"/>
      <c r="K473" s="180"/>
      <c r="L473" s="180"/>
      <c r="M473" s="181"/>
      <c r="N473" s="163" t="str">
        <f t="shared" si="37"/>
        <v/>
      </c>
      <c r="O473" s="126" t="str">
        <f t="shared" si="38"/>
        <v>-</v>
      </c>
      <c r="P473" s="164"/>
      <c r="Q473" s="164"/>
      <c r="R473" s="164"/>
      <c r="S473" s="164"/>
      <c r="T473" s="164"/>
      <c r="U473" s="164"/>
      <c r="V473" s="164"/>
    </row>
    <row r="474" spans="1:25" ht="27" customHeight="1">
      <c r="A474" s="192" t="str">
        <f>IF(ISBLANK(C474)," ",469-COUNTBLANK($C$6:C474))</f>
        <v xml:space="preserve"> </v>
      </c>
      <c r="B474" s="178"/>
      <c r="C474" s="178"/>
      <c r="D474" s="193"/>
      <c r="E474" s="193"/>
      <c r="F474" s="180"/>
      <c r="G474" s="180"/>
      <c r="H474" s="180"/>
      <c r="I474" s="180"/>
      <c r="J474" s="180"/>
      <c r="K474" s="180"/>
      <c r="L474" s="180"/>
      <c r="M474" s="181"/>
      <c r="N474" s="163" t="str">
        <f t="shared" si="37"/>
        <v/>
      </c>
      <c r="O474" s="126" t="str">
        <f t="shared" si="38"/>
        <v>-</v>
      </c>
      <c r="P474" s="164"/>
      <c r="Q474" s="164"/>
      <c r="R474" s="164"/>
      <c r="S474" s="164"/>
      <c r="T474" s="164"/>
      <c r="U474" s="164"/>
      <c r="V474" s="164"/>
    </row>
    <row r="475" spans="1:25" ht="27" customHeight="1">
      <c r="A475" s="192" t="str">
        <f>IF(ISBLANK(C475)," ",470-COUNTBLANK($C$6:C475))</f>
        <v xml:space="preserve"> </v>
      </c>
      <c r="B475" s="178"/>
      <c r="C475" s="178"/>
      <c r="D475" s="193"/>
      <c r="E475" s="193"/>
      <c r="F475" s="180"/>
      <c r="G475" s="180"/>
      <c r="H475" s="180"/>
      <c r="I475" s="180"/>
      <c r="J475" s="180"/>
      <c r="K475" s="180"/>
      <c r="L475" s="180"/>
      <c r="M475" s="181"/>
      <c r="N475" s="163" t="str">
        <f t="shared" si="37"/>
        <v/>
      </c>
      <c r="O475" s="126" t="str">
        <f t="shared" si="38"/>
        <v>-</v>
      </c>
      <c r="P475" s="164"/>
      <c r="Q475" s="164"/>
      <c r="R475" s="164"/>
      <c r="S475" s="164"/>
      <c r="T475" s="164"/>
      <c r="U475" s="164"/>
      <c r="V475" s="164"/>
    </row>
    <row r="476" spans="1:25" ht="27" customHeight="1">
      <c r="A476" s="192" t="str">
        <f>IF(ISBLANK(C476)," ",471-COUNTBLANK($C$6:C476))</f>
        <v xml:space="preserve"> </v>
      </c>
      <c r="B476" s="178"/>
      <c r="C476" s="178"/>
      <c r="D476" s="193"/>
      <c r="E476" s="193"/>
      <c r="F476" s="180"/>
      <c r="G476" s="180"/>
      <c r="H476" s="180"/>
      <c r="I476" s="180"/>
      <c r="J476" s="180"/>
      <c r="K476" s="180"/>
      <c r="L476" s="180"/>
      <c r="M476" s="181"/>
      <c r="N476" s="163" t="str">
        <f t="shared" si="37"/>
        <v/>
      </c>
      <c r="O476" s="126" t="str">
        <f t="shared" si="38"/>
        <v>-</v>
      </c>
      <c r="P476" s="164"/>
      <c r="Q476" s="164"/>
      <c r="R476" s="164"/>
      <c r="S476" s="164"/>
      <c r="T476" s="164"/>
      <c r="U476" s="164"/>
      <c r="V476" s="164"/>
    </row>
    <row r="477" spans="1:25" ht="27" customHeight="1">
      <c r="A477" s="192" t="str">
        <f>IF(ISBLANK(C477)," ",472-COUNTBLANK($C$6:C477))</f>
        <v xml:space="preserve"> </v>
      </c>
      <c r="B477" s="178"/>
      <c r="C477" s="178"/>
      <c r="D477" s="193"/>
      <c r="E477" s="193"/>
      <c r="F477" s="180"/>
      <c r="G477" s="180"/>
      <c r="H477" s="180"/>
      <c r="I477" s="180"/>
      <c r="J477" s="180"/>
      <c r="K477" s="180"/>
      <c r="L477" s="180"/>
      <c r="M477" s="181"/>
      <c r="N477" s="163" t="str">
        <f t="shared" si="37"/>
        <v/>
      </c>
      <c r="O477" s="126" t="str">
        <f t="shared" si="38"/>
        <v>-</v>
      </c>
      <c r="P477" s="164"/>
      <c r="Q477" s="164"/>
      <c r="R477" s="164"/>
      <c r="S477" s="164"/>
      <c r="T477" s="164"/>
      <c r="U477" s="164"/>
      <c r="V477" s="164"/>
    </row>
    <row r="478" spans="1:25" ht="27" customHeight="1">
      <c r="A478" s="192" t="str">
        <f>IF(ISBLANK(C478)," ",473-COUNTBLANK($C$6:C478))</f>
        <v xml:space="preserve"> </v>
      </c>
      <c r="B478" s="178"/>
      <c r="C478" s="178"/>
      <c r="D478" s="193"/>
      <c r="E478" s="193"/>
      <c r="F478" s="180"/>
      <c r="G478" s="180"/>
      <c r="H478" s="180"/>
      <c r="I478" s="180"/>
      <c r="J478" s="180"/>
      <c r="K478" s="180"/>
      <c r="L478" s="180"/>
      <c r="M478" s="181"/>
      <c r="N478" s="163" t="str">
        <f t="shared" si="37"/>
        <v/>
      </c>
      <c r="O478" s="126" t="str">
        <f t="shared" si="38"/>
        <v>-</v>
      </c>
      <c r="P478" s="164"/>
      <c r="Q478" s="164"/>
      <c r="R478" s="164"/>
      <c r="S478" s="164"/>
      <c r="T478" s="164"/>
      <c r="U478" s="164"/>
      <c r="V478" s="164"/>
    </row>
    <row r="479" spans="1:25" ht="27" customHeight="1">
      <c r="A479" s="192" t="str">
        <f>IF(ISBLANK(C479)," ",474-COUNTBLANK($C$6:C479))</f>
        <v xml:space="preserve"> </v>
      </c>
      <c r="B479" s="178"/>
      <c r="C479" s="178"/>
      <c r="D479" s="193"/>
      <c r="E479" s="193"/>
      <c r="F479" s="180"/>
      <c r="G479" s="180"/>
      <c r="H479" s="180"/>
      <c r="I479" s="180"/>
      <c r="J479" s="180"/>
      <c r="K479" s="180"/>
      <c r="L479" s="180"/>
      <c r="M479" s="181"/>
      <c r="N479" s="163" t="str">
        <f t="shared" si="37"/>
        <v/>
      </c>
      <c r="O479" s="126" t="str">
        <f t="shared" si="38"/>
        <v>-</v>
      </c>
      <c r="P479" s="164"/>
      <c r="Q479" s="164"/>
      <c r="R479" s="164"/>
      <c r="S479" s="164"/>
      <c r="T479" s="164"/>
      <c r="U479" s="164"/>
      <c r="V479" s="164"/>
    </row>
    <row r="480" spans="1:25" ht="27" customHeight="1">
      <c r="A480" s="192" t="str">
        <f>IF(ISBLANK(C480)," ",475-COUNTBLANK($C$6:C480))</f>
        <v xml:space="preserve"> </v>
      </c>
      <c r="B480" s="178"/>
      <c r="C480" s="178"/>
      <c r="D480" s="193"/>
      <c r="E480" s="193"/>
      <c r="F480" s="180"/>
      <c r="G480" s="180"/>
      <c r="H480" s="180"/>
      <c r="I480" s="180"/>
      <c r="J480" s="180"/>
      <c r="K480" s="180"/>
      <c r="L480" s="180"/>
      <c r="M480" s="181"/>
      <c r="N480" s="163" t="str">
        <f t="shared" si="37"/>
        <v/>
      </c>
      <c r="O480" s="126" t="str">
        <f t="shared" si="38"/>
        <v>-</v>
      </c>
      <c r="P480" s="164"/>
      <c r="Q480" s="164"/>
      <c r="R480" s="164"/>
      <c r="S480" s="164"/>
      <c r="T480" s="164"/>
      <c r="U480" s="164"/>
      <c r="V480" s="164"/>
    </row>
    <row r="481" spans="1:25" ht="27" customHeight="1">
      <c r="A481" s="192" t="str">
        <f>IF(ISBLANK(C481)," ",476-COUNTBLANK($C$6:C481))</f>
        <v xml:space="preserve"> </v>
      </c>
      <c r="B481" s="178"/>
      <c r="C481" s="178"/>
      <c r="D481" s="193"/>
      <c r="E481" s="193"/>
      <c r="F481" s="180"/>
      <c r="G481" s="180"/>
      <c r="H481" s="180"/>
      <c r="I481" s="180"/>
      <c r="J481" s="180"/>
      <c r="K481" s="180"/>
      <c r="L481" s="180"/>
      <c r="M481" s="181"/>
      <c r="N481" s="163" t="str">
        <f t="shared" si="37"/>
        <v/>
      </c>
      <c r="O481" s="126" t="str">
        <f t="shared" si="38"/>
        <v>-</v>
      </c>
      <c r="P481" s="164"/>
      <c r="Q481" s="164"/>
      <c r="R481" s="164"/>
      <c r="S481" s="164"/>
      <c r="T481" s="164"/>
      <c r="U481" s="164"/>
      <c r="V481" s="164"/>
    </row>
    <row r="482" spans="1:25" ht="27" customHeight="1">
      <c r="A482" s="192" t="str">
        <f>IF(ISBLANK(C482)," ",477-COUNTBLANK($C$6:C482))</f>
        <v xml:space="preserve"> </v>
      </c>
      <c r="B482" s="178"/>
      <c r="C482" s="178"/>
      <c r="D482" s="193"/>
      <c r="E482" s="193"/>
      <c r="F482" s="180"/>
      <c r="G482" s="180"/>
      <c r="H482" s="180"/>
      <c r="I482" s="180"/>
      <c r="J482" s="180"/>
      <c r="K482" s="180"/>
      <c r="L482" s="180"/>
      <c r="M482" s="181"/>
      <c r="N482" s="163" t="str">
        <f t="shared" si="37"/>
        <v/>
      </c>
      <c r="O482" s="126" t="str">
        <f t="shared" si="38"/>
        <v>-</v>
      </c>
      <c r="P482" s="164"/>
      <c r="Q482" s="164"/>
      <c r="R482" s="164"/>
      <c r="S482" s="164"/>
      <c r="T482" s="164"/>
      <c r="U482" s="164"/>
      <c r="V482" s="164"/>
    </row>
    <row r="483" spans="1:25" ht="27" customHeight="1">
      <c r="A483" s="192" t="str">
        <f>IF(ISBLANK(C483)," ",478-COUNTBLANK($C$6:C483))</f>
        <v xml:space="preserve"> </v>
      </c>
      <c r="B483" s="178"/>
      <c r="C483" s="178"/>
      <c r="D483" s="193"/>
      <c r="E483" s="193"/>
      <c r="F483" s="180"/>
      <c r="G483" s="180"/>
      <c r="H483" s="180"/>
      <c r="I483" s="180"/>
      <c r="J483" s="180"/>
      <c r="K483" s="180"/>
      <c r="L483" s="180"/>
      <c r="M483" s="181"/>
      <c r="N483" s="163" t="str">
        <f t="shared" si="37"/>
        <v/>
      </c>
      <c r="O483" s="126" t="str">
        <f t="shared" si="38"/>
        <v>-</v>
      </c>
      <c r="P483" s="164"/>
      <c r="Q483" s="164"/>
      <c r="R483" s="164"/>
      <c r="S483" s="164"/>
      <c r="T483" s="164"/>
      <c r="U483" s="164"/>
      <c r="V483" s="165"/>
    </row>
    <row r="484" spans="1:25" ht="27" customHeight="1">
      <c r="A484" s="192" t="str">
        <f>IF(ISBLANK(C484)," ",479-COUNTBLANK($C$6:C484))</f>
        <v xml:space="preserve"> </v>
      </c>
      <c r="B484" s="178"/>
      <c r="C484" s="178"/>
      <c r="D484" s="193"/>
      <c r="E484" s="193"/>
      <c r="F484" s="180"/>
      <c r="G484" s="180"/>
      <c r="H484" s="180"/>
      <c r="I484" s="180"/>
      <c r="J484" s="180"/>
      <c r="K484" s="180"/>
      <c r="L484" s="180"/>
      <c r="M484" s="181"/>
      <c r="N484" s="163" t="str">
        <f t="shared" si="37"/>
        <v/>
      </c>
      <c r="O484" s="126" t="str">
        <f t="shared" si="38"/>
        <v>-</v>
      </c>
      <c r="P484" s="164"/>
      <c r="Q484" s="164"/>
      <c r="R484" s="164"/>
      <c r="S484" s="164"/>
      <c r="T484" s="164"/>
      <c r="U484" s="164"/>
      <c r="V484" s="165"/>
    </row>
    <row r="485" spans="1:25" ht="27" customHeight="1">
      <c r="A485" s="192" t="str">
        <f>IF(ISBLANK(C485)," ",480-COUNTBLANK($C$6:C485))</f>
        <v xml:space="preserve"> </v>
      </c>
      <c r="B485" s="178"/>
      <c r="C485" s="178"/>
      <c r="D485" s="193"/>
      <c r="E485" s="193"/>
      <c r="F485" s="180"/>
      <c r="G485" s="180"/>
      <c r="H485" s="180"/>
      <c r="I485" s="180"/>
      <c r="J485" s="180"/>
      <c r="K485" s="180"/>
      <c r="L485" s="180"/>
      <c r="M485" s="181"/>
      <c r="N485" s="163" t="str">
        <f t="shared" si="37"/>
        <v/>
      </c>
      <c r="O485" s="126" t="str">
        <f t="shared" si="38"/>
        <v>-</v>
      </c>
      <c r="P485" s="164"/>
      <c r="Q485" s="164"/>
      <c r="R485" s="164"/>
      <c r="S485" s="164"/>
      <c r="T485" s="164"/>
      <c r="U485" s="164"/>
      <c r="V485" s="165"/>
    </row>
    <row r="486" spans="1:25" ht="27" customHeight="1">
      <c r="A486" s="192" t="str">
        <f>IF(ISBLANK(C486)," ",481-COUNTBLANK($C$6:C486))</f>
        <v xml:space="preserve"> </v>
      </c>
      <c r="B486" s="178"/>
      <c r="C486" s="178"/>
      <c r="D486" s="193"/>
      <c r="E486" s="193"/>
      <c r="F486" s="180"/>
      <c r="G486" s="180"/>
      <c r="H486" s="180"/>
      <c r="I486" s="180"/>
      <c r="J486" s="180"/>
      <c r="K486" s="180"/>
      <c r="L486" s="180"/>
      <c r="M486" s="181"/>
      <c r="N486" s="163" t="str">
        <f t="shared" si="37"/>
        <v/>
      </c>
      <c r="O486" s="126" t="str">
        <f t="shared" si="38"/>
        <v>-</v>
      </c>
      <c r="P486" s="164"/>
      <c r="Q486" s="164"/>
      <c r="R486" s="164"/>
      <c r="S486" s="164"/>
      <c r="T486" s="164"/>
      <c r="U486" s="164"/>
      <c r="V486" s="165"/>
    </row>
    <row r="487" spans="1:25" ht="27" customHeight="1">
      <c r="A487" s="192" t="str">
        <f>IF(ISBLANK(C487)," ",482-COUNTBLANK($C$6:C487))</f>
        <v xml:space="preserve"> </v>
      </c>
      <c r="B487" s="178"/>
      <c r="C487" s="178"/>
      <c r="D487" s="193"/>
      <c r="E487" s="193"/>
      <c r="F487" s="180"/>
      <c r="G487" s="180"/>
      <c r="H487" s="180"/>
      <c r="I487" s="180"/>
      <c r="J487" s="180"/>
      <c r="K487" s="180"/>
      <c r="L487" s="180"/>
      <c r="M487" s="181"/>
      <c r="N487" s="163" t="str">
        <f t="shared" si="37"/>
        <v/>
      </c>
      <c r="O487" s="126" t="str">
        <f t="shared" si="38"/>
        <v>-</v>
      </c>
      <c r="P487" s="164"/>
      <c r="Q487" s="164"/>
      <c r="R487" s="164"/>
      <c r="S487" s="164"/>
      <c r="T487" s="164"/>
      <c r="U487" s="164"/>
      <c r="V487" s="166"/>
      <c r="W487" s="164"/>
      <c r="X487" s="164"/>
      <c r="Y487" s="164"/>
    </row>
    <row r="488" spans="1:25" ht="27" customHeight="1">
      <c r="A488" s="172" t="s">
        <v>44</v>
      </c>
      <c r="B488" s="173"/>
      <c r="C488" s="174"/>
      <c r="D488" s="194"/>
      <c r="E488" s="194">
        <f>SUM(E468:E487)</f>
        <v>0</v>
      </c>
      <c r="F488" s="176"/>
      <c r="G488" s="176"/>
      <c r="H488" s="176"/>
      <c r="I488" s="176"/>
      <c r="J488" s="176"/>
      <c r="K488" s="176"/>
      <c r="L488" s="176"/>
      <c r="M488" s="177"/>
      <c r="N488" s="163" t="str">
        <f t="shared" si="37"/>
        <v/>
      </c>
      <c r="O488" s="126"/>
      <c r="P488" s="164"/>
      <c r="Q488" s="164"/>
      <c r="R488" s="164"/>
      <c r="S488" s="164"/>
      <c r="T488" s="164"/>
      <c r="U488" s="164"/>
      <c r="V488" s="166"/>
      <c r="W488" s="164"/>
      <c r="X488" s="164"/>
      <c r="Y488" s="164"/>
    </row>
    <row r="489" spans="1:25" ht="27" customHeight="1">
      <c r="A489" s="187" t="str">
        <f>IF(ISBLANK(C489)," ",484-COUNTBLANK($C$6:C489))</f>
        <v xml:space="preserve"> </v>
      </c>
      <c r="B489" s="188"/>
      <c r="C489" s="188"/>
      <c r="D489" s="189"/>
      <c r="E489" s="189"/>
      <c r="F489" s="190"/>
      <c r="G489" s="190"/>
      <c r="H489" s="190"/>
      <c r="I489" s="190"/>
      <c r="J489" s="190"/>
      <c r="K489" s="190"/>
      <c r="L489" s="190"/>
      <c r="M489" s="191"/>
      <c r="N489" s="163" t="str">
        <f>CONCATENATE(C489,H489)</f>
        <v/>
      </c>
      <c r="O489" s="126" t="str">
        <f>IF(D489&gt;=E489,"-","ERR")</f>
        <v>-</v>
      </c>
      <c r="P489" s="164"/>
      <c r="Q489" s="164"/>
      <c r="R489" s="164"/>
      <c r="S489" s="164"/>
      <c r="T489" s="164"/>
      <c r="U489" s="164"/>
      <c r="V489" s="164"/>
    </row>
    <row r="490" spans="1:25" ht="27" customHeight="1">
      <c r="A490" s="192" t="str">
        <f>IF(ISBLANK(C490)," ",485-COUNTBLANK($C$6:C490))</f>
        <v xml:space="preserve"> </v>
      </c>
      <c r="B490" s="178"/>
      <c r="C490" s="178"/>
      <c r="D490" s="193"/>
      <c r="E490" s="193"/>
      <c r="F490" s="180"/>
      <c r="G490" s="180"/>
      <c r="H490" s="180"/>
      <c r="I490" s="180"/>
      <c r="J490" s="180"/>
      <c r="K490" s="180"/>
      <c r="L490" s="180"/>
      <c r="M490" s="181"/>
      <c r="N490" s="163" t="str">
        <f t="shared" ref="N490:N509" si="39">CONCATENATE(C490,H490)</f>
        <v/>
      </c>
      <c r="O490" s="126" t="str">
        <f t="shared" ref="O490:O508" si="40">IF(D490&gt;=E490,"-","ERR")</f>
        <v>-</v>
      </c>
      <c r="P490" s="164"/>
      <c r="Q490" s="164"/>
      <c r="R490" s="164"/>
      <c r="S490" s="164"/>
      <c r="T490" s="164"/>
      <c r="U490" s="164"/>
      <c r="V490" s="164"/>
    </row>
    <row r="491" spans="1:25" ht="27" customHeight="1">
      <c r="A491" s="192" t="str">
        <f>IF(ISBLANK(C491)," ",486-COUNTBLANK($C$6:C491))</f>
        <v xml:space="preserve"> </v>
      </c>
      <c r="B491" s="178"/>
      <c r="C491" s="178"/>
      <c r="D491" s="193"/>
      <c r="E491" s="193"/>
      <c r="F491" s="180"/>
      <c r="G491" s="180"/>
      <c r="H491" s="180"/>
      <c r="I491" s="180"/>
      <c r="J491" s="180"/>
      <c r="K491" s="180"/>
      <c r="L491" s="180"/>
      <c r="M491" s="181"/>
      <c r="N491" s="163" t="str">
        <f t="shared" si="39"/>
        <v/>
      </c>
      <c r="O491" s="126" t="str">
        <f t="shared" si="40"/>
        <v>-</v>
      </c>
      <c r="P491" s="164"/>
      <c r="Q491" s="164"/>
      <c r="R491" s="164"/>
      <c r="S491" s="164"/>
      <c r="T491" s="164"/>
      <c r="U491" s="164"/>
      <c r="V491" s="164"/>
    </row>
    <row r="492" spans="1:25" ht="27" customHeight="1">
      <c r="A492" s="192" t="str">
        <f>IF(ISBLANK(C492)," ",487-COUNTBLANK($C$6:C492))</f>
        <v xml:space="preserve"> </v>
      </c>
      <c r="B492" s="178"/>
      <c r="C492" s="178"/>
      <c r="D492" s="193"/>
      <c r="E492" s="193"/>
      <c r="F492" s="180"/>
      <c r="G492" s="180"/>
      <c r="H492" s="180"/>
      <c r="I492" s="180"/>
      <c r="J492" s="180"/>
      <c r="K492" s="180"/>
      <c r="L492" s="180"/>
      <c r="M492" s="181"/>
      <c r="N492" s="163" t="str">
        <f t="shared" si="39"/>
        <v/>
      </c>
      <c r="O492" s="126" t="str">
        <f t="shared" si="40"/>
        <v>-</v>
      </c>
      <c r="P492" s="164"/>
      <c r="Q492" s="164"/>
      <c r="R492" s="164"/>
      <c r="S492" s="164"/>
      <c r="T492" s="164"/>
      <c r="U492" s="164"/>
      <c r="V492" s="164"/>
    </row>
    <row r="493" spans="1:25" ht="27" customHeight="1">
      <c r="A493" s="192" t="str">
        <f>IF(ISBLANK(C493)," ",488-COUNTBLANK($C$6:C493))</f>
        <v xml:space="preserve"> </v>
      </c>
      <c r="B493" s="178"/>
      <c r="C493" s="178"/>
      <c r="D493" s="193"/>
      <c r="E493" s="193"/>
      <c r="F493" s="180"/>
      <c r="G493" s="180"/>
      <c r="H493" s="180"/>
      <c r="I493" s="180"/>
      <c r="J493" s="180"/>
      <c r="K493" s="180"/>
      <c r="L493" s="180"/>
      <c r="M493" s="181"/>
      <c r="N493" s="163" t="str">
        <f t="shared" si="39"/>
        <v/>
      </c>
      <c r="O493" s="126" t="str">
        <f t="shared" si="40"/>
        <v>-</v>
      </c>
      <c r="P493" s="164"/>
      <c r="Q493" s="164"/>
      <c r="R493" s="164"/>
      <c r="S493" s="164"/>
      <c r="T493" s="164"/>
      <c r="U493" s="164"/>
      <c r="V493" s="164"/>
    </row>
    <row r="494" spans="1:25" ht="27" customHeight="1">
      <c r="A494" s="192" t="str">
        <f>IF(ISBLANK(C494)," ",489-COUNTBLANK($C$6:C494))</f>
        <v xml:space="preserve"> </v>
      </c>
      <c r="B494" s="178"/>
      <c r="C494" s="178"/>
      <c r="D494" s="193"/>
      <c r="E494" s="193"/>
      <c r="F494" s="180"/>
      <c r="G494" s="180"/>
      <c r="H494" s="180"/>
      <c r="I494" s="180"/>
      <c r="J494" s="180"/>
      <c r="K494" s="180"/>
      <c r="L494" s="180"/>
      <c r="M494" s="181"/>
      <c r="N494" s="163" t="str">
        <f t="shared" si="39"/>
        <v/>
      </c>
      <c r="O494" s="126" t="str">
        <f t="shared" si="40"/>
        <v>-</v>
      </c>
      <c r="P494" s="164"/>
      <c r="Q494" s="164"/>
      <c r="R494" s="164"/>
      <c r="S494" s="164"/>
      <c r="T494" s="164"/>
      <c r="U494" s="164"/>
      <c r="V494" s="164"/>
    </row>
    <row r="495" spans="1:25" ht="27" customHeight="1">
      <c r="A495" s="192" t="str">
        <f>IF(ISBLANK(C495)," ",490-COUNTBLANK($C$6:C495))</f>
        <v xml:space="preserve"> </v>
      </c>
      <c r="B495" s="178"/>
      <c r="C495" s="178"/>
      <c r="D495" s="193"/>
      <c r="E495" s="193"/>
      <c r="F495" s="180"/>
      <c r="G495" s="180"/>
      <c r="H495" s="180"/>
      <c r="I495" s="180"/>
      <c r="J495" s="180"/>
      <c r="K495" s="180"/>
      <c r="L495" s="180"/>
      <c r="M495" s="181"/>
      <c r="N495" s="163" t="str">
        <f t="shared" si="39"/>
        <v/>
      </c>
      <c r="O495" s="126" t="str">
        <f t="shared" si="40"/>
        <v>-</v>
      </c>
      <c r="P495" s="164"/>
      <c r="Q495" s="164"/>
      <c r="R495" s="164"/>
      <c r="S495" s="164"/>
      <c r="T495" s="164"/>
      <c r="U495" s="164"/>
      <c r="V495" s="164"/>
    </row>
    <row r="496" spans="1:25" ht="27" customHeight="1">
      <c r="A496" s="192" t="str">
        <f>IF(ISBLANK(C496)," ",491-COUNTBLANK($C$6:C496))</f>
        <v xml:space="preserve"> </v>
      </c>
      <c r="B496" s="178"/>
      <c r="C496" s="178"/>
      <c r="D496" s="193"/>
      <c r="E496" s="193"/>
      <c r="F496" s="180"/>
      <c r="G496" s="180"/>
      <c r="H496" s="180"/>
      <c r="I496" s="180"/>
      <c r="J496" s="180"/>
      <c r="K496" s="180"/>
      <c r="L496" s="180"/>
      <c r="M496" s="181"/>
      <c r="N496" s="163" t="str">
        <f t="shared" si="39"/>
        <v/>
      </c>
      <c r="O496" s="126" t="str">
        <f t="shared" si="40"/>
        <v>-</v>
      </c>
      <c r="P496" s="164"/>
      <c r="Q496" s="164"/>
      <c r="R496" s="164"/>
      <c r="S496" s="164"/>
      <c r="T496" s="164"/>
      <c r="U496" s="164"/>
      <c r="V496" s="164"/>
    </row>
    <row r="497" spans="1:25" ht="27" customHeight="1">
      <c r="A497" s="192" t="str">
        <f>IF(ISBLANK(C497)," ",492-COUNTBLANK($C$6:C497))</f>
        <v xml:space="preserve"> </v>
      </c>
      <c r="B497" s="178"/>
      <c r="C497" s="178"/>
      <c r="D497" s="193"/>
      <c r="E497" s="193"/>
      <c r="F497" s="180"/>
      <c r="G497" s="180"/>
      <c r="H497" s="180"/>
      <c r="I497" s="180"/>
      <c r="J497" s="180"/>
      <c r="K497" s="180"/>
      <c r="L497" s="180"/>
      <c r="M497" s="181"/>
      <c r="N497" s="163" t="str">
        <f t="shared" si="39"/>
        <v/>
      </c>
      <c r="O497" s="126" t="str">
        <f t="shared" si="40"/>
        <v>-</v>
      </c>
      <c r="P497" s="164"/>
      <c r="Q497" s="164"/>
      <c r="R497" s="164"/>
      <c r="S497" s="164"/>
      <c r="T497" s="164"/>
      <c r="U497" s="164"/>
      <c r="V497" s="164"/>
    </row>
    <row r="498" spans="1:25" ht="27" customHeight="1">
      <c r="A498" s="192" t="str">
        <f>IF(ISBLANK(C498)," ",493-COUNTBLANK($C$6:C498))</f>
        <v xml:space="preserve"> </v>
      </c>
      <c r="B498" s="178"/>
      <c r="C498" s="178"/>
      <c r="D498" s="193"/>
      <c r="E498" s="193"/>
      <c r="F498" s="180"/>
      <c r="G498" s="180"/>
      <c r="H498" s="180"/>
      <c r="I498" s="180"/>
      <c r="J498" s="180"/>
      <c r="K498" s="180"/>
      <c r="L498" s="180"/>
      <c r="M498" s="181"/>
      <c r="N498" s="163" t="str">
        <f t="shared" si="39"/>
        <v/>
      </c>
      <c r="O498" s="126" t="str">
        <f t="shared" si="40"/>
        <v>-</v>
      </c>
      <c r="P498" s="164"/>
      <c r="Q498" s="164"/>
      <c r="R498" s="164"/>
      <c r="S498" s="164"/>
      <c r="T498" s="164"/>
      <c r="U498" s="164"/>
      <c r="V498" s="164"/>
    </row>
    <row r="499" spans="1:25" ht="27" customHeight="1">
      <c r="A499" s="192" t="str">
        <f>IF(ISBLANK(C499)," ",494-COUNTBLANK($C$6:C499))</f>
        <v xml:space="preserve"> </v>
      </c>
      <c r="B499" s="178"/>
      <c r="C499" s="178"/>
      <c r="D499" s="193"/>
      <c r="E499" s="193"/>
      <c r="F499" s="180"/>
      <c r="G499" s="180"/>
      <c r="H499" s="180"/>
      <c r="I499" s="180"/>
      <c r="J499" s="180"/>
      <c r="K499" s="180"/>
      <c r="L499" s="180"/>
      <c r="M499" s="181"/>
      <c r="N499" s="163" t="str">
        <f t="shared" si="39"/>
        <v/>
      </c>
      <c r="O499" s="126" t="str">
        <f t="shared" si="40"/>
        <v>-</v>
      </c>
      <c r="P499" s="164"/>
      <c r="Q499" s="164"/>
      <c r="R499" s="164"/>
      <c r="S499" s="164"/>
      <c r="T499" s="164"/>
      <c r="U499" s="164"/>
      <c r="V499" s="164"/>
    </row>
    <row r="500" spans="1:25" ht="27" customHeight="1">
      <c r="A500" s="192" t="str">
        <f>IF(ISBLANK(C500)," ",495-COUNTBLANK($C$6:C500))</f>
        <v xml:space="preserve"> </v>
      </c>
      <c r="B500" s="178"/>
      <c r="C500" s="178"/>
      <c r="D500" s="193"/>
      <c r="E500" s="193"/>
      <c r="F500" s="180"/>
      <c r="G500" s="180"/>
      <c r="H500" s="180"/>
      <c r="I500" s="180"/>
      <c r="J500" s="180"/>
      <c r="K500" s="180"/>
      <c r="L500" s="180"/>
      <c r="M500" s="181"/>
      <c r="N500" s="163" t="str">
        <f t="shared" si="39"/>
        <v/>
      </c>
      <c r="O500" s="126" t="str">
        <f t="shared" si="40"/>
        <v>-</v>
      </c>
      <c r="P500" s="164"/>
      <c r="Q500" s="164"/>
      <c r="R500" s="164"/>
      <c r="S500" s="164"/>
      <c r="T500" s="164"/>
      <c r="U500" s="164"/>
      <c r="V500" s="164"/>
    </row>
    <row r="501" spans="1:25" ht="27" customHeight="1">
      <c r="A501" s="192" t="str">
        <f>IF(ISBLANK(C501)," ",496-COUNTBLANK($C$6:C501))</f>
        <v xml:space="preserve"> </v>
      </c>
      <c r="B501" s="178"/>
      <c r="C501" s="178"/>
      <c r="D501" s="193"/>
      <c r="E501" s="193"/>
      <c r="F501" s="180"/>
      <c r="G501" s="180"/>
      <c r="H501" s="180"/>
      <c r="I501" s="180"/>
      <c r="J501" s="180"/>
      <c r="K501" s="180"/>
      <c r="L501" s="180"/>
      <c r="M501" s="181"/>
      <c r="N501" s="163" t="str">
        <f t="shared" si="39"/>
        <v/>
      </c>
      <c r="O501" s="126" t="str">
        <f t="shared" si="40"/>
        <v>-</v>
      </c>
      <c r="P501" s="164"/>
      <c r="Q501" s="164"/>
      <c r="R501" s="164"/>
      <c r="S501" s="164"/>
      <c r="T501" s="164"/>
      <c r="U501" s="164"/>
      <c r="V501" s="164"/>
    </row>
    <row r="502" spans="1:25" ht="27" customHeight="1">
      <c r="A502" s="192" t="str">
        <f>IF(ISBLANK(C502)," ",497-COUNTBLANK($C$6:C502))</f>
        <v xml:space="preserve"> </v>
      </c>
      <c r="B502" s="178"/>
      <c r="C502" s="178"/>
      <c r="D502" s="193"/>
      <c r="E502" s="193"/>
      <c r="F502" s="180"/>
      <c r="G502" s="180"/>
      <c r="H502" s="180"/>
      <c r="I502" s="180"/>
      <c r="J502" s="180"/>
      <c r="K502" s="180"/>
      <c r="L502" s="180"/>
      <c r="M502" s="181"/>
      <c r="N502" s="163" t="str">
        <f t="shared" si="39"/>
        <v/>
      </c>
      <c r="O502" s="126" t="str">
        <f t="shared" si="40"/>
        <v>-</v>
      </c>
      <c r="P502" s="164"/>
      <c r="Q502" s="164"/>
      <c r="R502" s="164"/>
      <c r="S502" s="164"/>
      <c r="T502" s="164"/>
      <c r="U502" s="164"/>
      <c r="V502" s="164"/>
    </row>
    <row r="503" spans="1:25" ht="27" customHeight="1">
      <c r="A503" s="192" t="str">
        <f>IF(ISBLANK(C503)," ",498-COUNTBLANK($C$6:C503))</f>
        <v xml:space="preserve"> </v>
      </c>
      <c r="B503" s="178"/>
      <c r="C503" s="178"/>
      <c r="D503" s="193"/>
      <c r="E503" s="193"/>
      <c r="F503" s="180"/>
      <c r="G503" s="180"/>
      <c r="H503" s="180"/>
      <c r="I503" s="180"/>
      <c r="J503" s="180"/>
      <c r="K503" s="180"/>
      <c r="L503" s="180"/>
      <c r="M503" s="181"/>
      <c r="N503" s="163" t="str">
        <f t="shared" si="39"/>
        <v/>
      </c>
      <c r="O503" s="126" t="str">
        <f t="shared" si="40"/>
        <v>-</v>
      </c>
      <c r="P503" s="164"/>
      <c r="Q503" s="164"/>
      <c r="R503" s="164"/>
      <c r="S503" s="164"/>
      <c r="T503" s="164"/>
      <c r="U503" s="164"/>
      <c r="V503" s="164"/>
    </row>
    <row r="504" spans="1:25" ht="27" customHeight="1">
      <c r="A504" s="192" t="str">
        <f>IF(ISBLANK(C504)," ",499-COUNTBLANK($C$6:C504))</f>
        <v xml:space="preserve"> </v>
      </c>
      <c r="B504" s="178"/>
      <c r="C504" s="178"/>
      <c r="D504" s="193"/>
      <c r="E504" s="193"/>
      <c r="F504" s="180"/>
      <c r="G504" s="180"/>
      <c r="H504" s="180"/>
      <c r="I504" s="180"/>
      <c r="J504" s="180"/>
      <c r="K504" s="180"/>
      <c r="L504" s="180"/>
      <c r="M504" s="181"/>
      <c r="N504" s="163" t="str">
        <f t="shared" si="39"/>
        <v/>
      </c>
      <c r="O504" s="126" t="str">
        <f t="shared" si="40"/>
        <v>-</v>
      </c>
      <c r="P504" s="164"/>
      <c r="Q504" s="164"/>
      <c r="R504" s="164"/>
      <c r="S504" s="164"/>
      <c r="T504" s="164"/>
      <c r="U504" s="164"/>
      <c r="V504" s="165"/>
    </row>
    <row r="505" spans="1:25" ht="27" customHeight="1">
      <c r="A505" s="192" t="str">
        <f>IF(ISBLANK(C505)," ",500-COUNTBLANK($C$6:C505))</f>
        <v xml:space="preserve"> </v>
      </c>
      <c r="B505" s="178"/>
      <c r="C505" s="178"/>
      <c r="D505" s="193"/>
      <c r="E505" s="193"/>
      <c r="F505" s="180"/>
      <c r="G505" s="180"/>
      <c r="H505" s="180"/>
      <c r="I505" s="180"/>
      <c r="J505" s="180"/>
      <c r="K505" s="180"/>
      <c r="L505" s="180"/>
      <c r="M505" s="181"/>
      <c r="N505" s="163" t="str">
        <f t="shared" si="39"/>
        <v/>
      </c>
      <c r="O505" s="126" t="str">
        <f t="shared" si="40"/>
        <v>-</v>
      </c>
      <c r="P505" s="164"/>
      <c r="Q505" s="164"/>
      <c r="R505" s="164"/>
      <c r="S505" s="164"/>
      <c r="T505" s="164"/>
      <c r="U505" s="164"/>
      <c r="V505" s="165"/>
    </row>
    <row r="506" spans="1:25" ht="27" customHeight="1">
      <c r="A506" s="192" t="str">
        <f>IF(ISBLANK(C506)," ",501-COUNTBLANK($C$6:C506))</f>
        <v xml:space="preserve"> </v>
      </c>
      <c r="B506" s="178"/>
      <c r="C506" s="178"/>
      <c r="D506" s="193"/>
      <c r="E506" s="193"/>
      <c r="F506" s="180"/>
      <c r="G506" s="180"/>
      <c r="H506" s="180"/>
      <c r="I506" s="180"/>
      <c r="J506" s="180"/>
      <c r="K506" s="180"/>
      <c r="L506" s="180"/>
      <c r="M506" s="181"/>
      <c r="N506" s="163" t="str">
        <f t="shared" si="39"/>
        <v/>
      </c>
      <c r="O506" s="126" t="str">
        <f t="shared" si="40"/>
        <v>-</v>
      </c>
      <c r="P506" s="164"/>
      <c r="Q506" s="164"/>
      <c r="R506" s="164"/>
      <c r="S506" s="164"/>
      <c r="T506" s="164"/>
      <c r="U506" s="164"/>
      <c r="V506" s="165"/>
    </row>
    <row r="507" spans="1:25" ht="27" customHeight="1">
      <c r="A507" s="192" t="str">
        <f>IF(ISBLANK(C507)," ",502-COUNTBLANK($C$6:C507))</f>
        <v xml:space="preserve"> </v>
      </c>
      <c r="B507" s="178"/>
      <c r="C507" s="178"/>
      <c r="D507" s="193"/>
      <c r="E507" s="193"/>
      <c r="F507" s="180"/>
      <c r="G507" s="180"/>
      <c r="H507" s="180"/>
      <c r="I507" s="180"/>
      <c r="J507" s="180"/>
      <c r="K507" s="180"/>
      <c r="L507" s="180"/>
      <c r="M507" s="181"/>
      <c r="N507" s="163" t="str">
        <f t="shared" si="39"/>
        <v/>
      </c>
      <c r="O507" s="126" t="str">
        <f t="shared" si="40"/>
        <v>-</v>
      </c>
      <c r="P507" s="164"/>
      <c r="Q507" s="164"/>
      <c r="R507" s="164"/>
      <c r="S507" s="164"/>
      <c r="T507" s="164"/>
      <c r="U507" s="164"/>
      <c r="V507" s="165"/>
    </row>
    <row r="508" spans="1:25" ht="27" customHeight="1">
      <c r="A508" s="192" t="str">
        <f>IF(ISBLANK(C508)," ",503-COUNTBLANK($C$6:C508))</f>
        <v xml:space="preserve"> </v>
      </c>
      <c r="B508" s="178"/>
      <c r="C508" s="178"/>
      <c r="D508" s="193"/>
      <c r="E508" s="193"/>
      <c r="F508" s="180"/>
      <c r="G508" s="180"/>
      <c r="H508" s="180"/>
      <c r="I508" s="180"/>
      <c r="J508" s="180"/>
      <c r="K508" s="180"/>
      <c r="L508" s="180"/>
      <c r="M508" s="181"/>
      <c r="N508" s="163" t="str">
        <f t="shared" si="39"/>
        <v/>
      </c>
      <c r="O508" s="126" t="str">
        <f t="shared" si="40"/>
        <v>-</v>
      </c>
      <c r="P508" s="164"/>
      <c r="Q508" s="164"/>
      <c r="R508" s="164"/>
      <c r="S508" s="164"/>
      <c r="T508" s="164"/>
      <c r="U508" s="164"/>
      <c r="V508" s="166"/>
      <c r="W508" s="164"/>
      <c r="X508" s="164"/>
      <c r="Y508" s="164"/>
    </row>
    <row r="509" spans="1:25" ht="27" customHeight="1">
      <c r="A509" s="172" t="s">
        <v>44</v>
      </c>
      <c r="B509" s="173"/>
      <c r="C509" s="174"/>
      <c r="D509" s="194"/>
      <c r="E509" s="194">
        <f>SUM(E489:E508)</f>
        <v>0</v>
      </c>
      <c r="F509" s="176"/>
      <c r="G509" s="176"/>
      <c r="H509" s="176"/>
      <c r="I509" s="176"/>
      <c r="J509" s="176"/>
      <c r="K509" s="176"/>
      <c r="L509" s="176"/>
      <c r="M509" s="177"/>
      <c r="N509" s="163" t="str">
        <f t="shared" si="39"/>
        <v/>
      </c>
      <c r="O509" s="126"/>
      <c r="P509" s="164"/>
      <c r="Q509" s="164"/>
      <c r="R509" s="164"/>
      <c r="S509" s="164"/>
      <c r="T509" s="164"/>
      <c r="U509" s="164"/>
      <c r="V509" s="166"/>
      <c r="W509" s="164"/>
      <c r="X509" s="164"/>
      <c r="Y509" s="164"/>
    </row>
    <row r="510" spans="1:25" ht="27" customHeight="1">
      <c r="A510" s="187" t="str">
        <f>IF(ISBLANK(C510)," ",505-COUNTBLANK($C$6:C510))</f>
        <v xml:space="preserve"> </v>
      </c>
      <c r="B510" s="188"/>
      <c r="C510" s="188"/>
      <c r="D510" s="189"/>
      <c r="E510" s="189"/>
      <c r="F510" s="190"/>
      <c r="G510" s="190"/>
      <c r="H510" s="190"/>
      <c r="I510" s="190"/>
      <c r="J510" s="190"/>
      <c r="K510" s="190"/>
      <c r="L510" s="190"/>
      <c r="M510" s="191"/>
      <c r="N510" s="163" t="str">
        <f>CONCATENATE(C510,H510)</f>
        <v/>
      </c>
      <c r="O510" s="126" t="str">
        <f>IF(D510&gt;=E510,"-","ERR")</f>
        <v>-</v>
      </c>
      <c r="P510" s="164"/>
      <c r="Q510" s="164"/>
      <c r="R510" s="164"/>
      <c r="S510" s="164"/>
      <c r="T510" s="164"/>
      <c r="U510" s="164"/>
      <c r="V510" s="164"/>
    </row>
    <row r="511" spans="1:25" ht="27" customHeight="1">
      <c r="A511" s="192" t="str">
        <f>IF(ISBLANK(C511)," ",506-COUNTBLANK($C$6:C511))</f>
        <v xml:space="preserve"> </v>
      </c>
      <c r="B511" s="178"/>
      <c r="C511" s="178"/>
      <c r="D511" s="193"/>
      <c r="E511" s="193"/>
      <c r="F511" s="180"/>
      <c r="G511" s="180"/>
      <c r="H511" s="180"/>
      <c r="I511" s="180"/>
      <c r="J511" s="180"/>
      <c r="K511" s="180"/>
      <c r="L511" s="180"/>
      <c r="M511" s="181"/>
      <c r="N511" s="163" t="str">
        <f t="shared" ref="N511:N530" si="41">CONCATENATE(C511,H511)</f>
        <v/>
      </c>
      <c r="O511" s="126" t="str">
        <f t="shared" ref="O511:O529" si="42">IF(D511&gt;=E511,"-","ERR")</f>
        <v>-</v>
      </c>
      <c r="P511" s="164"/>
      <c r="Q511" s="164"/>
      <c r="R511" s="164"/>
      <c r="S511" s="164"/>
      <c r="T511" s="164"/>
      <c r="U511" s="164"/>
      <c r="V511" s="164"/>
    </row>
    <row r="512" spans="1:25" ht="27" customHeight="1">
      <c r="A512" s="192" t="str">
        <f>IF(ISBLANK(C512)," ",507-COUNTBLANK($C$6:C512))</f>
        <v xml:space="preserve"> </v>
      </c>
      <c r="B512" s="178"/>
      <c r="C512" s="178"/>
      <c r="D512" s="193"/>
      <c r="E512" s="193"/>
      <c r="F512" s="180"/>
      <c r="G512" s="180"/>
      <c r="H512" s="180"/>
      <c r="I512" s="180"/>
      <c r="J512" s="180"/>
      <c r="K512" s="180"/>
      <c r="L512" s="180"/>
      <c r="M512" s="181"/>
      <c r="N512" s="163" t="str">
        <f t="shared" si="41"/>
        <v/>
      </c>
      <c r="O512" s="126" t="str">
        <f t="shared" si="42"/>
        <v>-</v>
      </c>
      <c r="P512" s="164"/>
      <c r="Q512" s="164"/>
      <c r="R512" s="164"/>
      <c r="S512" s="164"/>
      <c r="T512" s="164"/>
      <c r="U512" s="164"/>
      <c r="V512" s="164"/>
    </row>
    <row r="513" spans="1:22" ht="27" customHeight="1">
      <c r="A513" s="192" t="str">
        <f>IF(ISBLANK(C513)," ",508-COUNTBLANK($C$6:C513))</f>
        <v xml:space="preserve"> </v>
      </c>
      <c r="B513" s="178"/>
      <c r="C513" s="178"/>
      <c r="D513" s="193"/>
      <c r="E513" s="193"/>
      <c r="F513" s="180"/>
      <c r="G513" s="180"/>
      <c r="H513" s="180"/>
      <c r="I513" s="180"/>
      <c r="J513" s="180"/>
      <c r="K513" s="180"/>
      <c r="L513" s="180"/>
      <c r="M513" s="181"/>
      <c r="N513" s="163" t="str">
        <f t="shared" si="41"/>
        <v/>
      </c>
      <c r="O513" s="126" t="str">
        <f t="shared" si="42"/>
        <v>-</v>
      </c>
      <c r="P513" s="164"/>
      <c r="Q513" s="164"/>
      <c r="R513" s="164"/>
      <c r="S513" s="164"/>
      <c r="T513" s="164"/>
      <c r="U513" s="164"/>
      <c r="V513" s="164"/>
    </row>
    <row r="514" spans="1:22" ht="27" customHeight="1">
      <c r="A514" s="192" t="str">
        <f>IF(ISBLANK(C514)," ",509-COUNTBLANK($C$6:C514))</f>
        <v xml:space="preserve"> </v>
      </c>
      <c r="B514" s="178"/>
      <c r="C514" s="178"/>
      <c r="D514" s="193"/>
      <c r="E514" s="193"/>
      <c r="F514" s="180"/>
      <c r="G514" s="180"/>
      <c r="H514" s="180"/>
      <c r="I514" s="180"/>
      <c r="J514" s="180"/>
      <c r="K514" s="180"/>
      <c r="L514" s="180"/>
      <c r="M514" s="181"/>
      <c r="N514" s="163" t="str">
        <f t="shared" si="41"/>
        <v/>
      </c>
      <c r="O514" s="126" t="str">
        <f t="shared" si="42"/>
        <v>-</v>
      </c>
      <c r="P514" s="164"/>
      <c r="Q514" s="164"/>
      <c r="R514" s="164"/>
      <c r="S514" s="164"/>
      <c r="T514" s="164"/>
      <c r="U514" s="164"/>
      <c r="V514" s="164"/>
    </row>
    <row r="515" spans="1:22" ht="27" customHeight="1">
      <c r="A515" s="192" t="str">
        <f>IF(ISBLANK(C515)," ",510-COUNTBLANK($C$6:C515))</f>
        <v xml:space="preserve"> </v>
      </c>
      <c r="B515" s="178"/>
      <c r="C515" s="178"/>
      <c r="D515" s="193"/>
      <c r="E515" s="193"/>
      <c r="F515" s="180"/>
      <c r="G515" s="180"/>
      <c r="H515" s="180"/>
      <c r="I515" s="180"/>
      <c r="J515" s="180"/>
      <c r="K515" s="180"/>
      <c r="L515" s="180"/>
      <c r="M515" s="181"/>
      <c r="N515" s="163" t="str">
        <f t="shared" si="41"/>
        <v/>
      </c>
      <c r="O515" s="126" t="str">
        <f t="shared" si="42"/>
        <v>-</v>
      </c>
      <c r="P515" s="164"/>
      <c r="Q515" s="164"/>
      <c r="R515" s="164"/>
      <c r="S515" s="164"/>
      <c r="T515" s="164"/>
      <c r="U515" s="164"/>
      <c r="V515" s="164"/>
    </row>
    <row r="516" spans="1:22" ht="27" customHeight="1">
      <c r="A516" s="192" t="str">
        <f>IF(ISBLANK(C516)," ",511-COUNTBLANK($C$6:C516))</f>
        <v xml:space="preserve"> </v>
      </c>
      <c r="B516" s="178"/>
      <c r="C516" s="178"/>
      <c r="D516" s="193"/>
      <c r="E516" s="193"/>
      <c r="F516" s="180"/>
      <c r="G516" s="180"/>
      <c r="H516" s="180"/>
      <c r="I516" s="180"/>
      <c r="J516" s="180"/>
      <c r="K516" s="180"/>
      <c r="L516" s="180"/>
      <c r="M516" s="181"/>
      <c r="N516" s="163" t="str">
        <f t="shared" si="41"/>
        <v/>
      </c>
      <c r="O516" s="126" t="str">
        <f t="shared" si="42"/>
        <v>-</v>
      </c>
      <c r="P516" s="164"/>
      <c r="Q516" s="164"/>
      <c r="R516" s="164"/>
      <c r="S516" s="164"/>
      <c r="T516" s="164"/>
      <c r="U516" s="164"/>
      <c r="V516" s="164"/>
    </row>
    <row r="517" spans="1:22" ht="27" customHeight="1">
      <c r="A517" s="192" t="str">
        <f>IF(ISBLANK(C517)," ",512-COUNTBLANK($C$6:C517))</f>
        <v xml:space="preserve"> </v>
      </c>
      <c r="B517" s="178"/>
      <c r="C517" s="178"/>
      <c r="D517" s="193"/>
      <c r="E517" s="193"/>
      <c r="F517" s="180"/>
      <c r="G517" s="180"/>
      <c r="H517" s="180"/>
      <c r="I517" s="180"/>
      <c r="J517" s="180"/>
      <c r="K517" s="180"/>
      <c r="L517" s="180"/>
      <c r="M517" s="181"/>
      <c r="N517" s="163" t="str">
        <f t="shared" si="41"/>
        <v/>
      </c>
      <c r="O517" s="126" t="str">
        <f t="shared" si="42"/>
        <v>-</v>
      </c>
      <c r="P517" s="164"/>
      <c r="Q517" s="164"/>
      <c r="R517" s="164"/>
      <c r="S517" s="164"/>
      <c r="T517" s="164"/>
      <c r="U517" s="164"/>
      <c r="V517" s="164"/>
    </row>
    <row r="518" spans="1:22" ht="27" customHeight="1">
      <c r="A518" s="192" t="str">
        <f>IF(ISBLANK(C518)," ",513-COUNTBLANK($C$6:C518))</f>
        <v xml:space="preserve"> </v>
      </c>
      <c r="B518" s="178"/>
      <c r="C518" s="178"/>
      <c r="D518" s="193"/>
      <c r="E518" s="193"/>
      <c r="F518" s="180"/>
      <c r="G518" s="180"/>
      <c r="H518" s="180"/>
      <c r="I518" s="180"/>
      <c r="J518" s="180"/>
      <c r="K518" s="180"/>
      <c r="L518" s="180"/>
      <c r="M518" s="181"/>
      <c r="N518" s="163" t="str">
        <f t="shared" si="41"/>
        <v/>
      </c>
      <c r="O518" s="126" t="str">
        <f t="shared" si="42"/>
        <v>-</v>
      </c>
      <c r="P518" s="164"/>
      <c r="Q518" s="164"/>
      <c r="R518" s="164"/>
      <c r="S518" s="164"/>
      <c r="T518" s="164"/>
      <c r="U518" s="164"/>
      <c r="V518" s="164"/>
    </row>
    <row r="519" spans="1:22" ht="27" customHeight="1">
      <c r="A519" s="192" t="str">
        <f>IF(ISBLANK(C519)," ",514-COUNTBLANK($C$6:C519))</f>
        <v xml:space="preserve"> </v>
      </c>
      <c r="B519" s="178"/>
      <c r="C519" s="178"/>
      <c r="D519" s="193"/>
      <c r="E519" s="193"/>
      <c r="F519" s="180"/>
      <c r="G519" s="180"/>
      <c r="H519" s="180"/>
      <c r="I519" s="180"/>
      <c r="J519" s="180"/>
      <c r="K519" s="180"/>
      <c r="L519" s="180"/>
      <c r="M519" s="181"/>
      <c r="N519" s="163" t="str">
        <f t="shared" si="41"/>
        <v/>
      </c>
      <c r="O519" s="126" t="str">
        <f t="shared" si="42"/>
        <v>-</v>
      </c>
      <c r="P519" s="164"/>
      <c r="Q519" s="164"/>
      <c r="R519" s="164"/>
      <c r="S519" s="164"/>
      <c r="T519" s="164"/>
      <c r="U519" s="164"/>
      <c r="V519" s="164"/>
    </row>
    <row r="520" spans="1:22" ht="27" customHeight="1">
      <c r="A520" s="192" t="str">
        <f>IF(ISBLANK(C520)," ",515-COUNTBLANK($C$6:C520))</f>
        <v xml:space="preserve"> </v>
      </c>
      <c r="B520" s="178"/>
      <c r="C520" s="178"/>
      <c r="D520" s="193"/>
      <c r="E520" s="193"/>
      <c r="F520" s="180"/>
      <c r="G520" s="180"/>
      <c r="H520" s="180"/>
      <c r="I520" s="180"/>
      <c r="J520" s="180"/>
      <c r="K520" s="180"/>
      <c r="L520" s="180"/>
      <c r="M520" s="181"/>
      <c r="N520" s="163" t="str">
        <f t="shared" si="41"/>
        <v/>
      </c>
      <c r="O520" s="126" t="str">
        <f t="shared" si="42"/>
        <v>-</v>
      </c>
      <c r="P520" s="164"/>
      <c r="Q520" s="164"/>
      <c r="R520" s="164"/>
      <c r="S520" s="164"/>
      <c r="T520" s="164"/>
      <c r="U520" s="164"/>
      <c r="V520" s="164"/>
    </row>
    <row r="521" spans="1:22" ht="27" customHeight="1">
      <c r="A521" s="192" t="str">
        <f>IF(ISBLANK(C521)," ",516-COUNTBLANK($C$6:C521))</f>
        <v xml:space="preserve"> </v>
      </c>
      <c r="B521" s="178"/>
      <c r="C521" s="178"/>
      <c r="D521" s="193"/>
      <c r="E521" s="193"/>
      <c r="F521" s="180"/>
      <c r="G521" s="180"/>
      <c r="H521" s="180"/>
      <c r="I521" s="180"/>
      <c r="J521" s="180"/>
      <c r="K521" s="180"/>
      <c r="L521" s="180"/>
      <c r="M521" s="181"/>
      <c r="N521" s="163" t="str">
        <f t="shared" si="41"/>
        <v/>
      </c>
      <c r="O521" s="126" t="str">
        <f t="shared" si="42"/>
        <v>-</v>
      </c>
      <c r="P521" s="164"/>
      <c r="Q521" s="164"/>
      <c r="R521" s="164"/>
      <c r="S521" s="164"/>
      <c r="T521" s="164"/>
      <c r="U521" s="164"/>
      <c r="V521" s="164"/>
    </row>
    <row r="522" spans="1:22" ht="27" customHeight="1">
      <c r="A522" s="192" t="str">
        <f>IF(ISBLANK(C522)," ",517-COUNTBLANK($C$6:C522))</f>
        <v xml:space="preserve"> </v>
      </c>
      <c r="B522" s="178"/>
      <c r="C522" s="178"/>
      <c r="D522" s="193"/>
      <c r="E522" s="193"/>
      <c r="F522" s="180"/>
      <c r="G522" s="180"/>
      <c r="H522" s="180"/>
      <c r="I522" s="180"/>
      <c r="J522" s="180"/>
      <c r="K522" s="180"/>
      <c r="L522" s="180"/>
      <c r="M522" s="181"/>
      <c r="N522" s="163" t="str">
        <f t="shared" si="41"/>
        <v/>
      </c>
      <c r="O522" s="126" t="str">
        <f t="shared" si="42"/>
        <v>-</v>
      </c>
      <c r="P522" s="164"/>
      <c r="Q522" s="164"/>
      <c r="R522" s="164"/>
      <c r="S522" s="164"/>
      <c r="T522" s="164"/>
      <c r="U522" s="164"/>
      <c r="V522" s="164"/>
    </row>
    <row r="523" spans="1:22" ht="27" customHeight="1">
      <c r="A523" s="192" t="str">
        <f>IF(ISBLANK(C523)," ",518-COUNTBLANK($C$6:C523))</f>
        <v xml:space="preserve"> </v>
      </c>
      <c r="B523" s="178"/>
      <c r="C523" s="178"/>
      <c r="D523" s="193"/>
      <c r="E523" s="193"/>
      <c r="F523" s="180"/>
      <c r="G523" s="180"/>
      <c r="H523" s="180"/>
      <c r="I523" s="180"/>
      <c r="J523" s="180"/>
      <c r="K523" s="180"/>
      <c r="L523" s="180"/>
      <c r="M523" s="181"/>
      <c r="N523" s="163" t="str">
        <f t="shared" si="41"/>
        <v/>
      </c>
      <c r="O523" s="126" t="str">
        <f t="shared" si="42"/>
        <v>-</v>
      </c>
      <c r="P523" s="164"/>
      <c r="Q523" s="164"/>
      <c r="R523" s="164"/>
      <c r="S523" s="164"/>
      <c r="T523" s="164"/>
      <c r="U523" s="164"/>
      <c r="V523" s="164"/>
    </row>
    <row r="524" spans="1:22" ht="27" customHeight="1">
      <c r="A524" s="192" t="str">
        <f>IF(ISBLANK(C524)," ",519-COUNTBLANK($C$6:C524))</f>
        <v xml:space="preserve"> </v>
      </c>
      <c r="B524" s="178"/>
      <c r="C524" s="178"/>
      <c r="D524" s="193"/>
      <c r="E524" s="193"/>
      <c r="F524" s="180"/>
      <c r="G524" s="180"/>
      <c r="H524" s="180"/>
      <c r="I524" s="180"/>
      <c r="J524" s="180"/>
      <c r="K524" s="180"/>
      <c r="L524" s="180"/>
      <c r="M524" s="181"/>
      <c r="N524" s="163" t="str">
        <f t="shared" si="41"/>
        <v/>
      </c>
      <c r="O524" s="126" t="str">
        <f t="shared" si="42"/>
        <v>-</v>
      </c>
      <c r="P524" s="164"/>
      <c r="Q524" s="164"/>
      <c r="R524" s="164"/>
      <c r="S524" s="164"/>
      <c r="T524" s="164"/>
      <c r="U524" s="164"/>
      <c r="V524" s="164"/>
    </row>
    <row r="525" spans="1:22" ht="27" customHeight="1">
      <c r="A525" s="192" t="str">
        <f>IF(ISBLANK(C525)," ",520-COUNTBLANK($C$6:C525))</f>
        <v xml:space="preserve"> </v>
      </c>
      <c r="B525" s="178"/>
      <c r="C525" s="178"/>
      <c r="D525" s="193"/>
      <c r="E525" s="193"/>
      <c r="F525" s="180"/>
      <c r="G525" s="180"/>
      <c r="H525" s="180"/>
      <c r="I525" s="180"/>
      <c r="J525" s="180"/>
      <c r="K525" s="180"/>
      <c r="L525" s="180"/>
      <c r="M525" s="181"/>
      <c r="N525" s="163" t="str">
        <f t="shared" si="41"/>
        <v/>
      </c>
      <c r="O525" s="126" t="str">
        <f t="shared" si="42"/>
        <v>-</v>
      </c>
      <c r="P525" s="164"/>
      <c r="Q525" s="164"/>
      <c r="R525" s="164"/>
      <c r="S525" s="164"/>
      <c r="T525" s="164"/>
      <c r="U525" s="164"/>
      <c r="V525" s="165"/>
    </row>
    <row r="526" spans="1:22" ht="27" customHeight="1">
      <c r="A526" s="192" t="str">
        <f>IF(ISBLANK(C526)," ",521-COUNTBLANK($C$6:C526))</f>
        <v xml:space="preserve"> </v>
      </c>
      <c r="B526" s="178"/>
      <c r="C526" s="178"/>
      <c r="D526" s="193"/>
      <c r="E526" s="193"/>
      <c r="F526" s="180"/>
      <c r="G526" s="180"/>
      <c r="H526" s="180"/>
      <c r="I526" s="180"/>
      <c r="J526" s="180"/>
      <c r="K526" s="180"/>
      <c r="L526" s="180"/>
      <c r="M526" s="181"/>
      <c r="N526" s="163" t="str">
        <f t="shared" si="41"/>
        <v/>
      </c>
      <c r="O526" s="126" t="str">
        <f t="shared" si="42"/>
        <v>-</v>
      </c>
      <c r="P526" s="164"/>
      <c r="Q526" s="164"/>
      <c r="R526" s="164"/>
      <c r="S526" s="164"/>
      <c r="T526" s="164"/>
      <c r="U526" s="164"/>
      <c r="V526" s="165"/>
    </row>
    <row r="527" spans="1:22" ht="27" customHeight="1">
      <c r="A527" s="192" t="str">
        <f>IF(ISBLANK(C527)," ",522-COUNTBLANK($C$6:C527))</f>
        <v xml:space="preserve"> </v>
      </c>
      <c r="B527" s="178"/>
      <c r="C527" s="178"/>
      <c r="D527" s="193"/>
      <c r="E527" s="193"/>
      <c r="F527" s="180"/>
      <c r="G527" s="180"/>
      <c r="H527" s="180"/>
      <c r="I527" s="180"/>
      <c r="J527" s="180"/>
      <c r="K527" s="180"/>
      <c r="L527" s="180"/>
      <c r="M527" s="181"/>
      <c r="N527" s="163" t="str">
        <f t="shared" si="41"/>
        <v/>
      </c>
      <c r="O527" s="126" t="str">
        <f t="shared" si="42"/>
        <v>-</v>
      </c>
      <c r="P527" s="164"/>
      <c r="Q527" s="164"/>
      <c r="R527" s="164"/>
      <c r="S527" s="164"/>
      <c r="T527" s="164"/>
      <c r="U527" s="164"/>
      <c r="V527" s="165"/>
    </row>
    <row r="528" spans="1:22" ht="27" customHeight="1">
      <c r="A528" s="192" t="str">
        <f>IF(ISBLANK(C528)," ",523-COUNTBLANK($C$6:C528))</f>
        <v xml:space="preserve"> </v>
      </c>
      <c r="B528" s="178"/>
      <c r="C528" s="178"/>
      <c r="D528" s="193"/>
      <c r="E528" s="193"/>
      <c r="F528" s="180"/>
      <c r="G528" s="180"/>
      <c r="H528" s="180"/>
      <c r="I528" s="180"/>
      <c r="J528" s="180"/>
      <c r="K528" s="180"/>
      <c r="L528" s="180"/>
      <c r="M528" s="181"/>
      <c r="N528" s="163" t="str">
        <f t="shared" si="41"/>
        <v/>
      </c>
      <c r="O528" s="126" t="str">
        <f t="shared" si="42"/>
        <v>-</v>
      </c>
      <c r="P528" s="164"/>
      <c r="Q528" s="164"/>
      <c r="R528" s="164"/>
      <c r="S528" s="164"/>
      <c r="T528" s="164"/>
      <c r="U528" s="164"/>
      <c r="V528" s="165"/>
    </row>
    <row r="529" spans="1:25" ht="27" customHeight="1">
      <c r="A529" s="192" t="str">
        <f>IF(ISBLANK(C529)," ",524-COUNTBLANK($C$6:C529))</f>
        <v xml:space="preserve"> </v>
      </c>
      <c r="B529" s="178"/>
      <c r="C529" s="178"/>
      <c r="D529" s="193"/>
      <c r="E529" s="193"/>
      <c r="F529" s="180"/>
      <c r="G529" s="180"/>
      <c r="H529" s="180"/>
      <c r="I529" s="180"/>
      <c r="J529" s="180"/>
      <c r="K529" s="180"/>
      <c r="L529" s="180"/>
      <c r="M529" s="181"/>
      <c r="N529" s="163" t="str">
        <f t="shared" si="41"/>
        <v/>
      </c>
      <c r="O529" s="126" t="str">
        <f t="shared" si="42"/>
        <v>-</v>
      </c>
      <c r="P529" s="164"/>
      <c r="Q529" s="164"/>
      <c r="R529" s="164"/>
      <c r="S529" s="164"/>
      <c r="T529" s="164"/>
      <c r="U529" s="164"/>
      <c r="V529" s="166"/>
      <c r="W529" s="164"/>
      <c r="X529" s="164"/>
      <c r="Y529" s="164"/>
    </row>
    <row r="530" spans="1:25" ht="27" customHeight="1">
      <c r="A530" s="172" t="s">
        <v>44</v>
      </c>
      <c r="B530" s="173"/>
      <c r="C530" s="174"/>
      <c r="D530" s="194"/>
      <c r="E530" s="194">
        <f>SUM(E510:E529)</f>
        <v>0</v>
      </c>
      <c r="F530" s="176"/>
      <c r="G530" s="176"/>
      <c r="H530" s="176"/>
      <c r="I530" s="176"/>
      <c r="J530" s="176"/>
      <c r="K530" s="176"/>
      <c r="L530" s="176"/>
      <c r="M530" s="177"/>
      <c r="N530" s="163" t="str">
        <f t="shared" si="41"/>
        <v/>
      </c>
      <c r="O530" s="126"/>
      <c r="P530" s="164"/>
      <c r="Q530" s="164"/>
      <c r="R530" s="164"/>
      <c r="S530" s="164"/>
      <c r="T530" s="164"/>
      <c r="U530" s="164"/>
      <c r="V530" s="166"/>
      <c r="W530" s="164"/>
      <c r="X530" s="164"/>
      <c r="Y530" s="164"/>
    </row>
    <row r="531" spans="1:25">
      <c r="O531" s="142"/>
      <c r="P531" s="197"/>
      <c r="Q531" s="197"/>
      <c r="R531" s="197"/>
      <c r="S531" s="197"/>
      <c r="T531" s="197"/>
      <c r="U531" s="197"/>
      <c r="V531" s="197"/>
    </row>
    <row r="532" spans="1:25">
      <c r="O532" s="142"/>
      <c r="P532" s="197"/>
      <c r="Q532" s="197"/>
      <c r="R532" s="197"/>
      <c r="S532" s="197"/>
      <c r="T532" s="197"/>
      <c r="U532" s="197"/>
      <c r="V532" s="197"/>
    </row>
  </sheetData>
  <autoFilter ref="A5:N530"/>
  <mergeCells count="4">
    <mergeCell ref="B4:B5"/>
    <mergeCell ref="C4:C5"/>
    <mergeCell ref="H4:I4"/>
    <mergeCell ref="M4:M5"/>
  </mergeCells>
  <phoneticPr fontId="6" type="noConversion"/>
  <printOptions horizontalCentered="1" verticalCentered="1"/>
  <pageMargins left="0.19685039370078741" right="0.19685039370078741" top="1.1811023622047245" bottom="0.96" header="0.59055118110236227" footer="0.19685039370078741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showZeros="0" view="pageBreakPreview" zoomScaleNormal="100" workbookViewId="0">
      <selection activeCell="G139" sqref="G139"/>
    </sheetView>
  </sheetViews>
  <sheetFormatPr defaultRowHeight="11.25"/>
  <cols>
    <col min="1" max="1" width="3.88671875" style="149" customWidth="1"/>
    <col min="2" max="2" width="5.77734375" style="195" customWidth="1"/>
    <col min="3" max="3" width="3.77734375" style="149" customWidth="1"/>
    <col min="4" max="4" width="8.44140625" style="149" customWidth="1"/>
    <col min="5" max="5" width="6.77734375" style="196" customWidth="1"/>
    <col min="6" max="6" width="4.21875" style="149" customWidth="1"/>
    <col min="7" max="7" width="6.77734375" style="149" customWidth="1"/>
    <col min="8" max="8" width="5.77734375" style="149" customWidth="1"/>
    <col min="9" max="9" width="11.6640625" style="149" customWidth="1"/>
    <col min="10" max="10" width="5.77734375" style="149" customWidth="1"/>
    <col min="11" max="11" width="11.77734375" style="149" customWidth="1"/>
    <col min="12" max="12" width="6.77734375" style="149" customWidth="1"/>
    <col min="13" max="13" width="4.77734375" style="149" customWidth="1"/>
    <col min="14" max="14" width="20.77734375" style="197" customWidth="1"/>
    <col min="15" max="15" width="9.77734375" style="56" customWidth="1"/>
    <col min="16" max="21" width="9.77734375" style="149" customWidth="1"/>
    <col min="22" max="22" width="10.77734375" style="149" customWidth="1"/>
    <col min="23" max="16384" width="8.88671875" style="149"/>
  </cols>
  <sheetData>
    <row r="1" spans="1:22" ht="30" customHeight="1">
      <c r="A1" s="143" t="s">
        <v>45</v>
      </c>
      <c r="B1" s="144"/>
      <c r="C1" s="145"/>
      <c r="D1" s="145"/>
      <c r="E1" s="146"/>
      <c r="F1" s="145"/>
      <c r="G1" s="145"/>
      <c r="H1" s="145"/>
      <c r="I1" s="145"/>
      <c r="J1" s="145"/>
      <c r="K1" s="145"/>
      <c r="L1" s="145"/>
      <c r="M1" s="145"/>
      <c r="N1" s="147"/>
      <c r="O1" s="80"/>
      <c r="P1" s="148"/>
      <c r="Q1" s="148"/>
      <c r="R1" s="148"/>
      <c r="S1" s="148"/>
      <c r="T1" s="148"/>
      <c r="U1" s="148"/>
      <c r="V1" s="148"/>
    </row>
    <row r="2" spans="1:22" ht="19.899999999999999" customHeight="1">
      <c r="A2" s="150"/>
      <c r="B2" s="151"/>
      <c r="C2" s="150"/>
      <c r="D2" s="150"/>
      <c r="E2" s="152"/>
      <c r="F2" s="150"/>
      <c r="G2" s="150"/>
      <c r="H2" s="150"/>
      <c r="I2" s="150"/>
      <c r="J2" s="153"/>
      <c r="K2" s="154"/>
      <c r="L2" s="155"/>
      <c r="M2" s="155"/>
      <c r="N2" s="156"/>
      <c r="O2" s="80"/>
      <c r="P2" s="148"/>
      <c r="Q2" s="148"/>
      <c r="R2" s="148"/>
      <c r="S2" s="148"/>
      <c r="T2" s="148"/>
      <c r="U2" s="148"/>
      <c r="V2" s="148"/>
    </row>
    <row r="3" spans="1:22" ht="10.15" customHeight="1">
      <c r="A3" s="150"/>
      <c r="B3" s="151"/>
      <c r="C3" s="150"/>
      <c r="D3" s="150"/>
      <c r="E3" s="152"/>
      <c r="F3" s="150"/>
      <c r="G3" s="150"/>
      <c r="H3" s="150"/>
      <c r="I3" s="150"/>
      <c r="J3" s="150"/>
      <c r="K3" s="150"/>
      <c r="L3" s="150"/>
      <c r="M3" s="150"/>
      <c r="N3" s="150"/>
      <c r="O3" s="80"/>
      <c r="P3" s="148"/>
      <c r="Q3" s="148"/>
      <c r="R3" s="148"/>
      <c r="S3" s="148"/>
      <c r="T3" s="148"/>
      <c r="U3" s="148"/>
      <c r="V3" s="148"/>
    </row>
    <row r="4" spans="1:22" s="159" customFormat="1" ht="27" customHeight="1">
      <c r="A4" s="19" t="s">
        <v>31</v>
      </c>
      <c r="B4" s="225" t="s">
        <v>32</v>
      </c>
      <c r="C4" s="227" t="s">
        <v>33</v>
      </c>
      <c r="D4" s="20" t="s">
        <v>34</v>
      </c>
      <c r="E4" s="21" t="s">
        <v>35</v>
      </c>
      <c r="F4" s="22" t="s">
        <v>36</v>
      </c>
      <c r="G4" s="22"/>
      <c r="H4" s="229" t="s">
        <v>37</v>
      </c>
      <c r="I4" s="230"/>
      <c r="J4" s="23" t="s">
        <v>38</v>
      </c>
      <c r="K4" s="22"/>
      <c r="L4" s="24"/>
      <c r="M4" s="231" t="s">
        <v>30</v>
      </c>
      <c r="N4" s="157"/>
      <c r="O4" s="134"/>
      <c r="P4" s="158"/>
      <c r="Q4" s="158"/>
      <c r="R4" s="158"/>
      <c r="S4" s="158"/>
      <c r="T4" s="158"/>
      <c r="U4" s="158"/>
      <c r="V4" s="158"/>
    </row>
    <row r="5" spans="1:22" s="159" customFormat="1" ht="27" customHeight="1">
      <c r="A5" s="25" t="s">
        <v>39</v>
      </c>
      <c r="B5" s="226"/>
      <c r="C5" s="228"/>
      <c r="D5" s="26" t="s">
        <v>46</v>
      </c>
      <c r="E5" s="26" t="s">
        <v>46</v>
      </c>
      <c r="F5" s="1" t="s">
        <v>33</v>
      </c>
      <c r="G5" s="27" t="s">
        <v>40</v>
      </c>
      <c r="H5" s="27" t="s">
        <v>41</v>
      </c>
      <c r="I5" s="1" t="s">
        <v>42</v>
      </c>
      <c r="J5" s="27" t="s">
        <v>41</v>
      </c>
      <c r="K5" s="27" t="s">
        <v>42</v>
      </c>
      <c r="L5" s="1" t="s">
        <v>43</v>
      </c>
      <c r="M5" s="232"/>
      <c r="N5" s="160"/>
      <c r="O5" s="137"/>
      <c r="P5" s="161"/>
      <c r="Q5" s="161"/>
      <c r="R5" s="161"/>
      <c r="S5" s="161"/>
      <c r="T5" s="161"/>
      <c r="U5" s="161"/>
      <c r="V5" s="162"/>
    </row>
    <row r="6" spans="1:22" ht="27" customHeight="1">
      <c r="A6" s="37" t="str">
        <f>IF(ISBLANK(C6)," ",1-COUNTBLANK($C$6:C6))</f>
        <v xml:space="preserve"> </v>
      </c>
      <c r="B6" s="9"/>
      <c r="C6" s="10"/>
      <c r="D6" s="33"/>
      <c r="E6" s="33"/>
      <c r="F6" s="11"/>
      <c r="G6" s="11"/>
      <c r="H6" s="12"/>
      <c r="I6" s="12"/>
      <c r="J6" s="32"/>
      <c r="K6" s="32"/>
      <c r="L6" s="32"/>
      <c r="M6" s="13"/>
      <c r="N6" s="163" t="str">
        <f>CONCATENATE(C6,H6)</f>
        <v/>
      </c>
      <c r="O6" s="126" t="str">
        <f>IF(D6&gt;=E6,"-","ERR")</f>
        <v>-</v>
      </c>
      <c r="P6" s="164"/>
      <c r="Q6" s="164"/>
      <c r="R6" s="164"/>
      <c r="S6" s="164"/>
      <c r="T6" s="164"/>
      <c r="U6" s="164"/>
      <c r="V6" s="164"/>
    </row>
    <row r="7" spans="1:22" ht="27" customHeight="1">
      <c r="A7" s="38" t="str">
        <f>IF(ISBLANK(C7)," ",2-COUNTBLANK($C$6:C7))</f>
        <v xml:space="preserve"> </v>
      </c>
      <c r="B7" s="4"/>
      <c r="C7" s="5"/>
      <c r="D7" s="34"/>
      <c r="E7" s="34"/>
      <c r="F7" s="6"/>
      <c r="G7" s="6"/>
      <c r="H7" s="7"/>
      <c r="I7" s="7"/>
      <c r="J7" s="2"/>
      <c r="K7" s="2"/>
      <c r="L7" s="2"/>
      <c r="M7" s="8"/>
      <c r="N7" s="163" t="str">
        <f t="shared" ref="N7:N70" si="0">CONCATENATE(C7,H7)</f>
        <v/>
      </c>
      <c r="O7" s="126" t="str">
        <f t="shared" ref="O7:O25" si="1">IF(D7&gt;=E7,"-","ERR")</f>
        <v>-</v>
      </c>
      <c r="P7" s="164"/>
      <c r="Q7" s="164"/>
      <c r="R7" s="164"/>
      <c r="S7" s="164"/>
      <c r="T7" s="164"/>
      <c r="U7" s="164"/>
      <c r="V7" s="164"/>
    </row>
    <row r="8" spans="1:22" ht="27" customHeight="1">
      <c r="A8" s="38" t="str">
        <f>IF(ISBLANK(C8)," ",3-COUNTBLANK($C$6:C8))</f>
        <v xml:space="preserve"> </v>
      </c>
      <c r="B8" s="4"/>
      <c r="C8" s="5"/>
      <c r="D8" s="34"/>
      <c r="E8" s="34"/>
      <c r="F8" s="6"/>
      <c r="G8" s="6"/>
      <c r="H8" s="7"/>
      <c r="I8" s="7"/>
      <c r="J8" s="2"/>
      <c r="K8" s="2"/>
      <c r="L8" s="2"/>
      <c r="M8" s="8"/>
      <c r="N8" s="163" t="str">
        <f t="shared" si="0"/>
        <v/>
      </c>
      <c r="O8" s="126" t="str">
        <f t="shared" si="1"/>
        <v>-</v>
      </c>
      <c r="P8" s="164"/>
      <c r="Q8" s="164"/>
      <c r="R8" s="164"/>
      <c r="S8" s="164"/>
      <c r="T8" s="164"/>
      <c r="U8" s="164"/>
      <c r="V8" s="164"/>
    </row>
    <row r="9" spans="1:22" ht="27" customHeight="1">
      <c r="A9" s="38" t="str">
        <f>IF(ISBLANK(C9)," ",4-COUNTBLANK($C$6:C9))</f>
        <v xml:space="preserve"> </v>
      </c>
      <c r="B9" s="4"/>
      <c r="C9" s="5"/>
      <c r="D9" s="34"/>
      <c r="E9" s="34"/>
      <c r="F9" s="6"/>
      <c r="G9" s="6"/>
      <c r="H9" s="7"/>
      <c r="I9" s="7"/>
      <c r="J9" s="2"/>
      <c r="K9" s="2"/>
      <c r="L9" s="2"/>
      <c r="M9" s="8"/>
      <c r="N9" s="163" t="str">
        <f t="shared" si="0"/>
        <v/>
      </c>
      <c r="O9" s="126" t="str">
        <f t="shared" si="1"/>
        <v>-</v>
      </c>
      <c r="P9" s="164"/>
      <c r="Q9" s="164"/>
      <c r="R9" s="164"/>
      <c r="S9" s="164"/>
      <c r="T9" s="164"/>
      <c r="U9" s="164"/>
      <c r="V9" s="164"/>
    </row>
    <row r="10" spans="1:22" ht="27" customHeight="1">
      <c r="A10" s="38" t="str">
        <f>IF(ISBLANK(C10)," ",5-COUNTBLANK($C$6:C10))</f>
        <v xml:space="preserve"> </v>
      </c>
      <c r="B10" s="4"/>
      <c r="C10" s="5"/>
      <c r="D10" s="34"/>
      <c r="E10" s="34"/>
      <c r="F10" s="6"/>
      <c r="G10" s="6"/>
      <c r="H10" s="7"/>
      <c r="I10" s="7"/>
      <c r="J10" s="2"/>
      <c r="K10" s="2"/>
      <c r="L10" s="2"/>
      <c r="M10" s="8"/>
      <c r="N10" s="163" t="str">
        <f t="shared" si="0"/>
        <v/>
      </c>
      <c r="O10" s="126" t="str">
        <f t="shared" si="1"/>
        <v>-</v>
      </c>
      <c r="P10" s="164"/>
      <c r="Q10" s="164"/>
      <c r="R10" s="164"/>
      <c r="S10" s="164"/>
      <c r="T10" s="164"/>
      <c r="U10" s="164"/>
      <c r="V10" s="164"/>
    </row>
    <row r="11" spans="1:22" ht="27" customHeight="1">
      <c r="A11" s="38" t="str">
        <f>IF(ISBLANK(C11)," ",6-COUNTBLANK($C$6:C11))</f>
        <v xml:space="preserve"> </v>
      </c>
      <c r="B11" s="4"/>
      <c r="C11" s="5"/>
      <c r="D11" s="34"/>
      <c r="E11" s="34"/>
      <c r="F11" s="6"/>
      <c r="G11" s="6"/>
      <c r="H11" s="7"/>
      <c r="I11" s="7"/>
      <c r="J11" s="2"/>
      <c r="K11" s="2"/>
      <c r="L11" s="2"/>
      <c r="M11" s="8"/>
      <c r="N11" s="163" t="str">
        <f t="shared" si="0"/>
        <v/>
      </c>
      <c r="O11" s="126" t="str">
        <f t="shared" si="1"/>
        <v>-</v>
      </c>
      <c r="P11" s="164"/>
      <c r="Q11" s="164"/>
      <c r="R11" s="164"/>
      <c r="S11" s="164"/>
      <c r="T11" s="164"/>
      <c r="U11" s="164"/>
      <c r="V11" s="164"/>
    </row>
    <row r="12" spans="1:22" ht="27" customHeight="1">
      <c r="A12" s="38" t="str">
        <f>IF(ISBLANK(C12)," ",7-COUNTBLANK($C$6:C12))</f>
        <v xml:space="preserve"> </v>
      </c>
      <c r="B12" s="4"/>
      <c r="C12" s="5"/>
      <c r="D12" s="34"/>
      <c r="E12" s="34"/>
      <c r="F12" s="6"/>
      <c r="G12" s="6"/>
      <c r="H12" s="7"/>
      <c r="I12" s="7"/>
      <c r="J12" s="2"/>
      <c r="K12" s="2"/>
      <c r="L12" s="2"/>
      <c r="M12" s="8"/>
      <c r="N12" s="163" t="str">
        <f t="shared" si="0"/>
        <v/>
      </c>
      <c r="O12" s="126" t="str">
        <f t="shared" si="1"/>
        <v>-</v>
      </c>
      <c r="P12" s="164"/>
      <c r="Q12" s="164"/>
      <c r="R12" s="164"/>
      <c r="S12" s="164"/>
      <c r="T12" s="164"/>
      <c r="U12" s="164"/>
      <c r="V12" s="164"/>
    </row>
    <row r="13" spans="1:22" ht="27" customHeight="1">
      <c r="A13" s="38" t="str">
        <f>IF(ISBLANK(C13)," ",8-COUNTBLANK($C$6:C13))</f>
        <v xml:space="preserve"> </v>
      </c>
      <c r="B13" s="4"/>
      <c r="C13" s="5"/>
      <c r="D13" s="34"/>
      <c r="E13" s="34"/>
      <c r="F13" s="6"/>
      <c r="G13" s="6"/>
      <c r="H13" s="7"/>
      <c r="I13" s="7"/>
      <c r="J13" s="2"/>
      <c r="K13" s="2"/>
      <c r="L13" s="2"/>
      <c r="M13" s="8"/>
      <c r="N13" s="163" t="str">
        <f t="shared" si="0"/>
        <v/>
      </c>
      <c r="O13" s="126" t="str">
        <f t="shared" si="1"/>
        <v>-</v>
      </c>
      <c r="P13" s="164"/>
      <c r="Q13" s="164"/>
      <c r="R13" s="164"/>
      <c r="S13" s="164"/>
      <c r="T13" s="164"/>
      <c r="U13" s="164"/>
      <c r="V13" s="164"/>
    </row>
    <row r="14" spans="1:22" ht="27" customHeight="1">
      <c r="A14" s="38" t="str">
        <f>IF(ISBLANK(C14)," ",9-COUNTBLANK($C$6:C14))</f>
        <v xml:space="preserve"> </v>
      </c>
      <c r="B14" s="4"/>
      <c r="C14" s="5"/>
      <c r="D14" s="34"/>
      <c r="E14" s="34"/>
      <c r="F14" s="6"/>
      <c r="G14" s="6"/>
      <c r="H14" s="7"/>
      <c r="I14" s="7"/>
      <c r="J14" s="2"/>
      <c r="K14" s="2"/>
      <c r="L14" s="2"/>
      <c r="M14" s="8"/>
      <c r="N14" s="163" t="str">
        <f t="shared" si="0"/>
        <v/>
      </c>
      <c r="O14" s="126" t="str">
        <f t="shared" si="1"/>
        <v>-</v>
      </c>
      <c r="P14" s="164"/>
      <c r="Q14" s="164"/>
      <c r="R14" s="164"/>
      <c r="S14" s="164"/>
      <c r="T14" s="164"/>
      <c r="U14" s="164"/>
      <c r="V14" s="164"/>
    </row>
    <row r="15" spans="1:22" ht="27" customHeight="1">
      <c r="A15" s="38" t="str">
        <f>IF(ISBLANK(C15)," ",10-COUNTBLANK($C$6:C15))</f>
        <v xml:space="preserve"> </v>
      </c>
      <c r="B15" s="4"/>
      <c r="C15" s="5"/>
      <c r="D15" s="34"/>
      <c r="E15" s="34"/>
      <c r="F15" s="6"/>
      <c r="G15" s="6"/>
      <c r="H15" s="7"/>
      <c r="I15" s="7"/>
      <c r="J15" s="2"/>
      <c r="K15" s="2"/>
      <c r="L15" s="2"/>
      <c r="M15" s="8"/>
      <c r="N15" s="163" t="str">
        <f t="shared" si="0"/>
        <v/>
      </c>
      <c r="O15" s="126" t="str">
        <f t="shared" si="1"/>
        <v>-</v>
      </c>
      <c r="P15" s="164"/>
      <c r="Q15" s="164"/>
      <c r="R15" s="164"/>
      <c r="S15" s="164"/>
      <c r="T15" s="164"/>
      <c r="U15" s="164"/>
      <c r="V15" s="164"/>
    </row>
    <row r="16" spans="1:22" ht="27" customHeight="1">
      <c r="A16" s="38" t="str">
        <f>IF(ISBLANK(C16)," ",11-COUNTBLANK($C$6:C16))</f>
        <v xml:space="preserve"> </v>
      </c>
      <c r="B16" s="4"/>
      <c r="C16" s="5"/>
      <c r="D16" s="34"/>
      <c r="E16" s="34"/>
      <c r="F16" s="6"/>
      <c r="G16" s="6"/>
      <c r="H16" s="7"/>
      <c r="I16" s="7"/>
      <c r="J16" s="2"/>
      <c r="K16" s="2"/>
      <c r="L16" s="2"/>
      <c r="M16" s="8"/>
      <c r="N16" s="163" t="str">
        <f t="shared" si="0"/>
        <v/>
      </c>
      <c r="O16" s="126" t="str">
        <f t="shared" si="1"/>
        <v>-</v>
      </c>
      <c r="P16" s="164"/>
      <c r="Q16" s="164"/>
      <c r="R16" s="164"/>
      <c r="S16" s="164"/>
      <c r="T16" s="164"/>
      <c r="U16" s="164"/>
      <c r="V16" s="164"/>
    </row>
    <row r="17" spans="1:25" ht="27" customHeight="1">
      <c r="A17" s="38" t="str">
        <f>IF(ISBLANK(C17)," ",12-COUNTBLANK($C$6:C17))</f>
        <v xml:space="preserve"> </v>
      </c>
      <c r="B17" s="4"/>
      <c r="C17" s="5"/>
      <c r="D17" s="34"/>
      <c r="E17" s="34"/>
      <c r="F17" s="6"/>
      <c r="G17" s="6"/>
      <c r="H17" s="7"/>
      <c r="I17" s="7"/>
      <c r="J17" s="2"/>
      <c r="K17" s="2"/>
      <c r="L17" s="2"/>
      <c r="M17" s="8"/>
      <c r="N17" s="163" t="str">
        <f t="shared" si="0"/>
        <v/>
      </c>
      <c r="O17" s="126" t="str">
        <f t="shared" si="1"/>
        <v>-</v>
      </c>
      <c r="P17" s="164"/>
      <c r="Q17" s="164"/>
      <c r="R17" s="164"/>
      <c r="S17" s="164"/>
      <c r="T17" s="164"/>
      <c r="U17" s="164"/>
      <c r="V17" s="164"/>
    </row>
    <row r="18" spans="1:25" ht="27" customHeight="1">
      <c r="A18" s="38" t="str">
        <f>IF(ISBLANK(C18)," ",13-COUNTBLANK($C$6:C18))</f>
        <v xml:space="preserve"> </v>
      </c>
      <c r="B18" s="4"/>
      <c r="C18" s="5"/>
      <c r="D18" s="34"/>
      <c r="E18" s="34"/>
      <c r="F18" s="6"/>
      <c r="G18" s="6"/>
      <c r="H18" s="7"/>
      <c r="I18" s="7"/>
      <c r="J18" s="2"/>
      <c r="K18" s="2"/>
      <c r="L18" s="2"/>
      <c r="M18" s="8"/>
      <c r="N18" s="163" t="str">
        <f t="shared" si="0"/>
        <v/>
      </c>
      <c r="O18" s="126" t="str">
        <f t="shared" si="1"/>
        <v>-</v>
      </c>
      <c r="P18" s="164"/>
      <c r="Q18" s="164"/>
      <c r="R18" s="164"/>
      <c r="S18" s="164"/>
      <c r="T18" s="164"/>
      <c r="U18" s="164"/>
      <c r="V18" s="164"/>
    </row>
    <row r="19" spans="1:25" ht="27" customHeight="1">
      <c r="A19" s="38" t="str">
        <f>IF(ISBLANK(C19)," ",14-COUNTBLANK($C$6:C19))</f>
        <v xml:space="preserve"> </v>
      </c>
      <c r="B19" s="4"/>
      <c r="C19" s="5"/>
      <c r="D19" s="34"/>
      <c r="E19" s="34"/>
      <c r="F19" s="6"/>
      <c r="G19" s="6"/>
      <c r="H19" s="7"/>
      <c r="I19" s="7"/>
      <c r="J19" s="2"/>
      <c r="K19" s="2"/>
      <c r="L19" s="2"/>
      <c r="M19" s="8"/>
      <c r="N19" s="163" t="str">
        <f t="shared" si="0"/>
        <v/>
      </c>
      <c r="O19" s="126" t="str">
        <f t="shared" si="1"/>
        <v>-</v>
      </c>
      <c r="P19" s="164"/>
      <c r="Q19" s="164"/>
      <c r="R19" s="164"/>
      <c r="S19" s="164"/>
      <c r="T19" s="164"/>
      <c r="U19" s="164"/>
      <c r="V19" s="164"/>
    </row>
    <row r="20" spans="1:25" ht="27" customHeight="1">
      <c r="A20" s="38" t="str">
        <f>IF(ISBLANK(C20)," ",15-COUNTBLANK($C$6:C20))</f>
        <v xml:space="preserve"> </v>
      </c>
      <c r="B20" s="4"/>
      <c r="C20" s="5"/>
      <c r="D20" s="34"/>
      <c r="E20" s="34"/>
      <c r="F20" s="6"/>
      <c r="G20" s="6"/>
      <c r="H20" s="7"/>
      <c r="I20" s="7"/>
      <c r="J20" s="2"/>
      <c r="K20" s="2"/>
      <c r="L20" s="2"/>
      <c r="M20" s="8"/>
      <c r="N20" s="163" t="str">
        <f t="shared" si="0"/>
        <v/>
      </c>
      <c r="O20" s="126" t="str">
        <f t="shared" si="1"/>
        <v>-</v>
      </c>
      <c r="P20" s="164"/>
      <c r="Q20" s="164"/>
      <c r="R20" s="164"/>
      <c r="S20" s="164"/>
      <c r="T20" s="164"/>
      <c r="U20" s="164"/>
      <c r="V20" s="164"/>
    </row>
    <row r="21" spans="1:25" ht="27" customHeight="1">
      <c r="A21" s="38" t="str">
        <f>IF(ISBLANK(C21)," ",16-COUNTBLANK($C$6:C21))</f>
        <v xml:space="preserve"> </v>
      </c>
      <c r="B21" s="4"/>
      <c r="C21" s="5"/>
      <c r="D21" s="34"/>
      <c r="E21" s="34"/>
      <c r="F21" s="6"/>
      <c r="G21" s="6"/>
      <c r="H21" s="7"/>
      <c r="I21" s="7"/>
      <c r="J21" s="2"/>
      <c r="K21" s="2"/>
      <c r="L21" s="2"/>
      <c r="M21" s="8"/>
      <c r="N21" s="163" t="str">
        <f t="shared" si="0"/>
        <v/>
      </c>
      <c r="O21" s="126" t="str">
        <f t="shared" si="1"/>
        <v>-</v>
      </c>
      <c r="P21" s="164"/>
      <c r="Q21" s="164"/>
      <c r="R21" s="164"/>
      <c r="S21" s="164"/>
      <c r="T21" s="164"/>
      <c r="U21" s="164"/>
      <c r="V21" s="165"/>
    </row>
    <row r="22" spans="1:25" ht="27" customHeight="1">
      <c r="A22" s="38" t="str">
        <f>IF(ISBLANK(C22)," ",17-COUNTBLANK($C$6:C22))</f>
        <v xml:space="preserve"> </v>
      </c>
      <c r="B22" s="4"/>
      <c r="C22" s="5"/>
      <c r="D22" s="34"/>
      <c r="E22" s="34"/>
      <c r="F22" s="6"/>
      <c r="G22" s="6"/>
      <c r="H22" s="7"/>
      <c r="I22" s="7"/>
      <c r="J22" s="2"/>
      <c r="K22" s="2"/>
      <c r="L22" s="2"/>
      <c r="M22" s="8"/>
      <c r="N22" s="163" t="str">
        <f t="shared" si="0"/>
        <v/>
      </c>
      <c r="O22" s="126" t="str">
        <f t="shared" si="1"/>
        <v>-</v>
      </c>
      <c r="P22" s="164"/>
      <c r="Q22" s="164"/>
      <c r="R22" s="164"/>
      <c r="S22" s="164"/>
      <c r="T22" s="164"/>
      <c r="U22" s="164"/>
      <c r="V22" s="165"/>
    </row>
    <row r="23" spans="1:25" ht="27" customHeight="1">
      <c r="A23" s="38" t="str">
        <f>IF(ISBLANK(C23)," ",18-COUNTBLANK($C$6:C23))</f>
        <v xml:space="preserve"> </v>
      </c>
      <c r="B23" s="4"/>
      <c r="C23" s="5"/>
      <c r="D23" s="34"/>
      <c r="E23" s="34"/>
      <c r="F23" s="6"/>
      <c r="G23" s="6"/>
      <c r="H23" s="7"/>
      <c r="I23" s="7"/>
      <c r="J23" s="2"/>
      <c r="K23" s="2"/>
      <c r="L23" s="2"/>
      <c r="M23" s="8"/>
      <c r="N23" s="163" t="str">
        <f t="shared" si="0"/>
        <v/>
      </c>
      <c r="O23" s="126" t="str">
        <f t="shared" si="1"/>
        <v>-</v>
      </c>
      <c r="P23" s="164"/>
      <c r="Q23" s="164"/>
      <c r="R23" s="164"/>
      <c r="S23" s="164"/>
      <c r="T23" s="164"/>
      <c r="U23" s="164"/>
      <c r="V23" s="165"/>
    </row>
    <row r="24" spans="1:25" ht="27" customHeight="1">
      <c r="A24" s="38" t="str">
        <f>IF(ISBLANK(C24)," ",19-COUNTBLANK($C$6:C24))</f>
        <v xml:space="preserve"> </v>
      </c>
      <c r="B24" s="4"/>
      <c r="C24" s="5"/>
      <c r="D24" s="34"/>
      <c r="E24" s="34"/>
      <c r="F24" s="6"/>
      <c r="G24" s="6"/>
      <c r="H24" s="7"/>
      <c r="I24" s="7"/>
      <c r="J24" s="2"/>
      <c r="K24" s="2"/>
      <c r="L24" s="2"/>
      <c r="M24" s="8"/>
      <c r="N24" s="163" t="str">
        <f t="shared" si="0"/>
        <v/>
      </c>
      <c r="O24" s="126" t="str">
        <f t="shared" si="1"/>
        <v>-</v>
      </c>
      <c r="P24" s="164"/>
      <c r="Q24" s="164"/>
      <c r="R24" s="164"/>
      <c r="S24" s="164"/>
      <c r="T24" s="164"/>
      <c r="U24" s="164"/>
      <c r="V24" s="165"/>
    </row>
    <row r="25" spans="1:25" ht="27" customHeight="1">
      <c r="A25" s="39" t="str">
        <f>IF(ISBLANK(C25)," ",20-COUNTBLANK($C$6:C25))</f>
        <v xml:space="preserve"> </v>
      </c>
      <c r="B25" s="14"/>
      <c r="C25" s="15"/>
      <c r="D25" s="35"/>
      <c r="E25" s="35"/>
      <c r="F25" s="16"/>
      <c r="G25" s="16"/>
      <c r="H25" s="17"/>
      <c r="I25" s="17"/>
      <c r="J25" s="3"/>
      <c r="K25" s="3"/>
      <c r="L25" s="3"/>
      <c r="M25" s="18"/>
      <c r="N25" s="163" t="str">
        <f t="shared" si="0"/>
        <v/>
      </c>
      <c r="O25" s="126" t="str">
        <f t="shared" si="1"/>
        <v>-</v>
      </c>
      <c r="P25" s="164"/>
      <c r="Q25" s="164"/>
      <c r="R25" s="164"/>
      <c r="S25" s="164"/>
      <c r="T25" s="164"/>
      <c r="U25" s="164"/>
      <c r="V25" s="166"/>
      <c r="W25" s="164"/>
      <c r="X25" s="164"/>
      <c r="Y25" s="164"/>
    </row>
    <row r="26" spans="1:25" ht="27" customHeight="1">
      <c r="A26" s="167" t="s">
        <v>44</v>
      </c>
      <c r="B26" s="168"/>
      <c r="C26" s="168"/>
      <c r="D26" s="169"/>
      <c r="E26" s="169">
        <f>SUM(E6:E25)</f>
        <v>0</v>
      </c>
      <c r="F26" s="170"/>
      <c r="G26" s="170"/>
      <c r="H26" s="170"/>
      <c r="I26" s="170"/>
      <c r="J26" s="170"/>
      <c r="K26" s="170"/>
      <c r="L26" s="170"/>
      <c r="M26" s="171"/>
      <c r="N26" s="163" t="str">
        <f t="shared" si="0"/>
        <v/>
      </c>
      <c r="O26" s="126"/>
      <c r="P26" s="164"/>
      <c r="Q26" s="164"/>
      <c r="R26" s="164"/>
      <c r="S26" s="164"/>
      <c r="T26" s="164"/>
      <c r="U26" s="164"/>
      <c r="V26" s="166"/>
      <c r="W26" s="164"/>
      <c r="X26" s="164"/>
      <c r="Y26" s="164"/>
    </row>
    <row r="27" spans="1:25" ht="27" customHeight="1">
      <c r="A27" s="37" t="str">
        <f>IF(ISBLANK(C27)," ",22-COUNTBLANK($C$6:C27))</f>
        <v xml:space="preserve"> </v>
      </c>
      <c r="B27" s="9"/>
      <c r="C27" s="10"/>
      <c r="D27" s="33"/>
      <c r="E27" s="33"/>
      <c r="F27" s="11"/>
      <c r="G27" s="11"/>
      <c r="H27" s="12"/>
      <c r="I27" s="12"/>
      <c r="J27" s="32"/>
      <c r="K27" s="32"/>
      <c r="L27" s="32"/>
      <c r="M27" s="13"/>
      <c r="N27" s="163" t="str">
        <f t="shared" si="0"/>
        <v/>
      </c>
      <c r="O27" s="126" t="str">
        <f>IF(D27&gt;=E27,"-","ERR")</f>
        <v>-</v>
      </c>
      <c r="P27" s="164"/>
      <c r="Q27" s="164"/>
      <c r="R27" s="164"/>
      <c r="S27" s="164"/>
      <c r="T27" s="164"/>
      <c r="U27" s="164"/>
      <c r="V27" s="164"/>
    </row>
    <row r="28" spans="1:25" ht="27" customHeight="1">
      <c r="A28" s="38" t="str">
        <f>IF(ISBLANK(C28)," ",23-COUNTBLANK($C$6:C28))</f>
        <v xml:space="preserve"> </v>
      </c>
      <c r="B28" s="4"/>
      <c r="C28" s="5"/>
      <c r="D28" s="34"/>
      <c r="E28" s="34"/>
      <c r="F28" s="6"/>
      <c r="G28" s="6"/>
      <c r="H28" s="7"/>
      <c r="I28" s="7"/>
      <c r="J28" s="2"/>
      <c r="K28" s="2"/>
      <c r="L28" s="2"/>
      <c r="M28" s="8"/>
      <c r="N28" s="163" t="str">
        <f t="shared" si="0"/>
        <v/>
      </c>
      <c r="O28" s="126" t="str">
        <f t="shared" ref="O28:O46" si="2">IF(D28&gt;=E28,"-","ERR")</f>
        <v>-</v>
      </c>
      <c r="P28" s="164"/>
      <c r="Q28" s="164"/>
      <c r="R28" s="164"/>
      <c r="S28" s="164"/>
      <c r="T28" s="164"/>
      <c r="U28" s="164"/>
      <c r="V28" s="164"/>
    </row>
    <row r="29" spans="1:25" ht="27" customHeight="1">
      <c r="A29" s="38" t="str">
        <f>IF(ISBLANK(C29)," ",24-COUNTBLANK($C$6:C29))</f>
        <v xml:space="preserve"> </v>
      </c>
      <c r="B29" s="4"/>
      <c r="C29" s="5"/>
      <c r="D29" s="34"/>
      <c r="E29" s="34"/>
      <c r="F29" s="6"/>
      <c r="G29" s="6"/>
      <c r="H29" s="7"/>
      <c r="I29" s="7"/>
      <c r="J29" s="2"/>
      <c r="K29" s="2"/>
      <c r="L29" s="2"/>
      <c r="M29" s="8"/>
      <c r="N29" s="163" t="str">
        <f t="shared" si="0"/>
        <v/>
      </c>
      <c r="O29" s="126" t="str">
        <f t="shared" si="2"/>
        <v>-</v>
      </c>
      <c r="P29" s="164"/>
      <c r="Q29" s="164"/>
      <c r="R29" s="164"/>
      <c r="S29" s="164"/>
      <c r="T29" s="164"/>
      <c r="U29" s="164"/>
      <c r="V29" s="164"/>
    </row>
    <row r="30" spans="1:25" ht="27" customHeight="1">
      <c r="A30" s="38" t="str">
        <f>IF(ISBLANK(C30)," ",25-COUNTBLANK($C$6:C30))</f>
        <v xml:space="preserve"> </v>
      </c>
      <c r="B30" s="4"/>
      <c r="C30" s="5"/>
      <c r="D30" s="34"/>
      <c r="E30" s="34"/>
      <c r="F30" s="6"/>
      <c r="G30" s="6"/>
      <c r="H30" s="7"/>
      <c r="I30" s="7"/>
      <c r="J30" s="2"/>
      <c r="K30" s="2"/>
      <c r="L30" s="2"/>
      <c r="M30" s="8"/>
      <c r="N30" s="163" t="str">
        <f t="shared" si="0"/>
        <v/>
      </c>
      <c r="O30" s="126" t="str">
        <f t="shared" si="2"/>
        <v>-</v>
      </c>
      <c r="P30" s="164"/>
      <c r="Q30" s="164"/>
      <c r="R30" s="164"/>
      <c r="S30" s="164"/>
      <c r="T30" s="164"/>
      <c r="U30" s="164"/>
      <c r="V30" s="164"/>
    </row>
    <row r="31" spans="1:25" ht="27" customHeight="1">
      <c r="A31" s="38" t="str">
        <f>IF(ISBLANK(C31)," ",26-COUNTBLANK($C$6:C31))</f>
        <v xml:space="preserve"> </v>
      </c>
      <c r="B31" s="4"/>
      <c r="C31" s="5"/>
      <c r="D31" s="34"/>
      <c r="E31" s="34"/>
      <c r="F31" s="6"/>
      <c r="G31" s="6"/>
      <c r="H31" s="7"/>
      <c r="I31" s="7"/>
      <c r="J31" s="2"/>
      <c r="K31" s="2"/>
      <c r="L31" s="2"/>
      <c r="M31" s="8"/>
      <c r="N31" s="163" t="str">
        <f t="shared" si="0"/>
        <v/>
      </c>
      <c r="O31" s="126" t="str">
        <f t="shared" si="2"/>
        <v>-</v>
      </c>
      <c r="P31" s="164"/>
      <c r="Q31" s="164"/>
      <c r="R31" s="164"/>
      <c r="S31" s="164"/>
      <c r="T31" s="164"/>
      <c r="U31" s="164"/>
      <c r="V31" s="164"/>
    </row>
    <row r="32" spans="1:25" ht="27" customHeight="1">
      <c r="A32" s="38" t="str">
        <f>IF(ISBLANK(C32)," ",27-COUNTBLANK($C$6:C32))</f>
        <v xml:space="preserve"> </v>
      </c>
      <c r="B32" s="4"/>
      <c r="C32" s="5"/>
      <c r="D32" s="34"/>
      <c r="E32" s="34"/>
      <c r="F32" s="6"/>
      <c r="G32" s="6"/>
      <c r="H32" s="7"/>
      <c r="I32" s="7"/>
      <c r="J32" s="2"/>
      <c r="K32" s="2"/>
      <c r="L32" s="2"/>
      <c r="M32" s="8"/>
      <c r="N32" s="163" t="str">
        <f t="shared" si="0"/>
        <v/>
      </c>
      <c r="O32" s="126" t="str">
        <f t="shared" si="2"/>
        <v>-</v>
      </c>
      <c r="P32" s="164"/>
      <c r="Q32" s="164"/>
      <c r="R32" s="164"/>
      <c r="S32" s="164"/>
      <c r="T32" s="164"/>
      <c r="U32" s="164"/>
      <c r="V32" s="164"/>
    </row>
    <row r="33" spans="1:25" ht="27" customHeight="1">
      <c r="A33" s="38" t="str">
        <f>IF(ISBLANK(C33)," ",28-COUNTBLANK($C$6:C33))</f>
        <v xml:space="preserve"> </v>
      </c>
      <c r="B33" s="4"/>
      <c r="C33" s="5"/>
      <c r="D33" s="34"/>
      <c r="E33" s="34"/>
      <c r="F33" s="6"/>
      <c r="G33" s="6"/>
      <c r="H33" s="7"/>
      <c r="I33" s="7"/>
      <c r="J33" s="2"/>
      <c r="K33" s="2"/>
      <c r="L33" s="2"/>
      <c r="M33" s="8"/>
      <c r="N33" s="163" t="str">
        <f t="shared" si="0"/>
        <v/>
      </c>
      <c r="O33" s="126" t="str">
        <f t="shared" si="2"/>
        <v>-</v>
      </c>
      <c r="P33" s="164"/>
      <c r="Q33" s="164"/>
      <c r="R33" s="164"/>
      <c r="S33" s="164"/>
      <c r="T33" s="164"/>
      <c r="U33" s="164"/>
      <c r="V33" s="164"/>
    </row>
    <row r="34" spans="1:25" ht="27" customHeight="1">
      <c r="A34" s="38" t="str">
        <f>IF(ISBLANK(C34)," ",29-COUNTBLANK($C$6:C34))</f>
        <v xml:space="preserve"> </v>
      </c>
      <c r="B34" s="4"/>
      <c r="C34" s="5"/>
      <c r="D34" s="34"/>
      <c r="E34" s="34"/>
      <c r="F34" s="6"/>
      <c r="G34" s="6"/>
      <c r="H34" s="7"/>
      <c r="I34" s="7"/>
      <c r="J34" s="2"/>
      <c r="K34" s="2"/>
      <c r="L34" s="2"/>
      <c r="M34" s="8"/>
      <c r="N34" s="163" t="str">
        <f t="shared" si="0"/>
        <v/>
      </c>
      <c r="O34" s="126" t="str">
        <f t="shared" si="2"/>
        <v>-</v>
      </c>
      <c r="P34" s="164"/>
      <c r="Q34" s="164"/>
      <c r="R34" s="164"/>
      <c r="S34" s="164"/>
      <c r="T34" s="164"/>
      <c r="U34" s="164"/>
      <c r="V34" s="164"/>
    </row>
    <row r="35" spans="1:25" ht="27" customHeight="1">
      <c r="A35" s="38" t="str">
        <f>IF(ISBLANK(C35)," ",30-COUNTBLANK($C$6:C35))</f>
        <v xml:space="preserve"> </v>
      </c>
      <c r="B35" s="4"/>
      <c r="C35" s="5"/>
      <c r="D35" s="34"/>
      <c r="E35" s="34"/>
      <c r="F35" s="6"/>
      <c r="G35" s="6"/>
      <c r="H35" s="7"/>
      <c r="I35" s="7"/>
      <c r="J35" s="2"/>
      <c r="K35" s="2"/>
      <c r="L35" s="2"/>
      <c r="M35" s="8"/>
      <c r="N35" s="163" t="str">
        <f t="shared" si="0"/>
        <v/>
      </c>
      <c r="O35" s="126" t="str">
        <f t="shared" si="2"/>
        <v>-</v>
      </c>
      <c r="P35" s="164"/>
      <c r="Q35" s="164"/>
      <c r="R35" s="164"/>
      <c r="S35" s="164"/>
      <c r="T35" s="164"/>
      <c r="U35" s="164"/>
      <c r="V35" s="164"/>
    </row>
    <row r="36" spans="1:25" ht="27" customHeight="1">
      <c r="A36" s="38" t="str">
        <f>IF(ISBLANK(C36)," ",31-COUNTBLANK($C$6:C36))</f>
        <v xml:space="preserve"> </v>
      </c>
      <c r="B36" s="4"/>
      <c r="C36" s="5"/>
      <c r="D36" s="34"/>
      <c r="E36" s="34"/>
      <c r="F36" s="6"/>
      <c r="G36" s="6"/>
      <c r="H36" s="7"/>
      <c r="I36" s="7"/>
      <c r="J36" s="2"/>
      <c r="K36" s="2"/>
      <c r="L36" s="2"/>
      <c r="M36" s="8"/>
      <c r="N36" s="163" t="str">
        <f t="shared" si="0"/>
        <v/>
      </c>
      <c r="O36" s="126" t="str">
        <f t="shared" si="2"/>
        <v>-</v>
      </c>
      <c r="P36" s="164"/>
      <c r="Q36" s="164"/>
      <c r="R36" s="164"/>
      <c r="S36" s="164"/>
      <c r="T36" s="164"/>
      <c r="U36" s="164"/>
      <c r="V36" s="164"/>
    </row>
    <row r="37" spans="1:25" ht="27" customHeight="1">
      <c r="A37" s="38" t="str">
        <f>IF(ISBLANK(C37)," ",32-COUNTBLANK($C$6:C37))</f>
        <v xml:space="preserve"> </v>
      </c>
      <c r="B37" s="4"/>
      <c r="C37" s="5"/>
      <c r="D37" s="34"/>
      <c r="E37" s="34"/>
      <c r="F37" s="6"/>
      <c r="G37" s="6"/>
      <c r="H37" s="7"/>
      <c r="I37" s="7"/>
      <c r="J37" s="2"/>
      <c r="K37" s="2"/>
      <c r="L37" s="2"/>
      <c r="M37" s="8"/>
      <c r="N37" s="163" t="str">
        <f t="shared" si="0"/>
        <v/>
      </c>
      <c r="O37" s="126" t="str">
        <f t="shared" si="2"/>
        <v>-</v>
      </c>
      <c r="P37" s="164"/>
      <c r="Q37" s="164"/>
      <c r="R37" s="164"/>
      <c r="S37" s="164"/>
      <c r="T37" s="164"/>
      <c r="U37" s="164"/>
      <c r="V37" s="164"/>
    </row>
    <row r="38" spans="1:25" ht="27" customHeight="1">
      <c r="A38" s="38" t="str">
        <f>IF(ISBLANK(C38)," ",33-COUNTBLANK($C$6:C38))</f>
        <v xml:space="preserve"> </v>
      </c>
      <c r="B38" s="4"/>
      <c r="C38" s="5"/>
      <c r="D38" s="34"/>
      <c r="E38" s="34"/>
      <c r="F38" s="6"/>
      <c r="G38" s="6"/>
      <c r="H38" s="7"/>
      <c r="I38" s="7"/>
      <c r="J38" s="2"/>
      <c r="K38" s="2"/>
      <c r="L38" s="2"/>
      <c r="M38" s="8"/>
      <c r="N38" s="163" t="str">
        <f t="shared" si="0"/>
        <v/>
      </c>
      <c r="O38" s="126" t="str">
        <f t="shared" si="2"/>
        <v>-</v>
      </c>
      <c r="P38" s="164"/>
      <c r="Q38" s="164"/>
      <c r="R38" s="164"/>
      <c r="S38" s="164"/>
      <c r="T38" s="164"/>
      <c r="U38" s="164"/>
      <c r="V38" s="164"/>
    </row>
    <row r="39" spans="1:25" ht="27" customHeight="1">
      <c r="A39" s="38" t="str">
        <f>IF(ISBLANK(C39)," ",34-COUNTBLANK($C$6:C39))</f>
        <v xml:space="preserve"> </v>
      </c>
      <c r="B39" s="4"/>
      <c r="C39" s="5"/>
      <c r="D39" s="34"/>
      <c r="E39" s="34"/>
      <c r="F39" s="6"/>
      <c r="G39" s="6"/>
      <c r="H39" s="7"/>
      <c r="I39" s="7"/>
      <c r="J39" s="2"/>
      <c r="K39" s="2"/>
      <c r="L39" s="2"/>
      <c r="M39" s="8"/>
      <c r="N39" s="163" t="str">
        <f t="shared" si="0"/>
        <v/>
      </c>
      <c r="O39" s="126" t="str">
        <f t="shared" si="2"/>
        <v>-</v>
      </c>
      <c r="P39" s="164"/>
      <c r="Q39" s="164"/>
      <c r="R39" s="164"/>
      <c r="S39" s="164"/>
      <c r="T39" s="164"/>
      <c r="U39" s="164"/>
      <c r="V39" s="164"/>
    </row>
    <row r="40" spans="1:25" ht="27" customHeight="1">
      <c r="A40" s="38" t="str">
        <f>IF(ISBLANK(C40)," ",35-COUNTBLANK($C$6:C40))</f>
        <v xml:space="preserve"> </v>
      </c>
      <c r="B40" s="4"/>
      <c r="C40" s="5"/>
      <c r="D40" s="34"/>
      <c r="E40" s="34"/>
      <c r="F40" s="6"/>
      <c r="G40" s="6"/>
      <c r="H40" s="7"/>
      <c r="I40" s="7"/>
      <c r="J40" s="2"/>
      <c r="K40" s="2"/>
      <c r="L40" s="2"/>
      <c r="M40" s="8"/>
      <c r="N40" s="163" t="str">
        <f t="shared" si="0"/>
        <v/>
      </c>
      <c r="O40" s="126" t="str">
        <f t="shared" si="2"/>
        <v>-</v>
      </c>
      <c r="P40" s="164"/>
      <c r="Q40" s="164"/>
      <c r="R40" s="164"/>
      <c r="S40" s="164"/>
      <c r="T40" s="164"/>
      <c r="U40" s="164"/>
      <c r="V40" s="164"/>
    </row>
    <row r="41" spans="1:25" ht="27" customHeight="1">
      <c r="A41" s="38" t="str">
        <f>IF(ISBLANK(C41)," ",36-COUNTBLANK($C$6:C41))</f>
        <v xml:space="preserve"> </v>
      </c>
      <c r="B41" s="4"/>
      <c r="C41" s="5"/>
      <c r="D41" s="34"/>
      <c r="E41" s="34"/>
      <c r="F41" s="6"/>
      <c r="G41" s="6"/>
      <c r="H41" s="7"/>
      <c r="I41" s="7"/>
      <c r="J41" s="2"/>
      <c r="K41" s="2"/>
      <c r="L41" s="2"/>
      <c r="M41" s="8"/>
      <c r="N41" s="163" t="str">
        <f t="shared" si="0"/>
        <v/>
      </c>
      <c r="O41" s="126" t="str">
        <f t="shared" si="2"/>
        <v>-</v>
      </c>
      <c r="P41" s="164"/>
      <c r="Q41" s="164"/>
      <c r="R41" s="164"/>
      <c r="S41" s="164"/>
      <c r="T41" s="164"/>
      <c r="U41" s="164"/>
      <c r="V41" s="164"/>
    </row>
    <row r="42" spans="1:25" ht="27" customHeight="1">
      <c r="A42" s="38" t="str">
        <f>IF(ISBLANK(C42)," ",37-COUNTBLANK($C$6:C42))</f>
        <v xml:space="preserve"> </v>
      </c>
      <c r="B42" s="4"/>
      <c r="C42" s="5"/>
      <c r="D42" s="34"/>
      <c r="E42" s="34"/>
      <c r="F42" s="6"/>
      <c r="G42" s="6"/>
      <c r="H42" s="7"/>
      <c r="I42" s="7"/>
      <c r="J42" s="2"/>
      <c r="K42" s="2"/>
      <c r="L42" s="2"/>
      <c r="M42" s="8"/>
      <c r="N42" s="163" t="str">
        <f t="shared" si="0"/>
        <v/>
      </c>
      <c r="O42" s="126" t="str">
        <f t="shared" si="2"/>
        <v>-</v>
      </c>
      <c r="P42" s="164"/>
      <c r="Q42" s="164"/>
      <c r="R42" s="164"/>
      <c r="S42" s="164"/>
      <c r="T42" s="164"/>
      <c r="U42" s="164"/>
      <c r="V42" s="165"/>
    </row>
    <row r="43" spans="1:25" ht="27" customHeight="1">
      <c r="A43" s="38" t="str">
        <f>IF(ISBLANK(C43)," ",38-COUNTBLANK($C$6:C43))</f>
        <v xml:space="preserve"> </v>
      </c>
      <c r="B43" s="4"/>
      <c r="C43" s="5"/>
      <c r="D43" s="34"/>
      <c r="E43" s="34"/>
      <c r="F43" s="6"/>
      <c r="G43" s="6"/>
      <c r="H43" s="7"/>
      <c r="I43" s="7"/>
      <c r="J43" s="2"/>
      <c r="K43" s="2"/>
      <c r="L43" s="2"/>
      <c r="M43" s="8"/>
      <c r="N43" s="163" t="str">
        <f t="shared" si="0"/>
        <v/>
      </c>
      <c r="O43" s="126" t="str">
        <f t="shared" si="2"/>
        <v>-</v>
      </c>
      <c r="P43" s="164"/>
      <c r="Q43" s="164"/>
      <c r="R43" s="164"/>
      <c r="S43" s="164"/>
      <c r="T43" s="164"/>
      <c r="U43" s="164"/>
      <c r="V43" s="165"/>
    </row>
    <row r="44" spans="1:25" ht="27" customHeight="1">
      <c r="A44" s="38" t="str">
        <f>IF(ISBLANK(C44)," ",39-COUNTBLANK($C$6:C44))</f>
        <v xml:space="preserve"> </v>
      </c>
      <c r="B44" s="4"/>
      <c r="C44" s="5"/>
      <c r="D44" s="34"/>
      <c r="E44" s="34"/>
      <c r="F44" s="6"/>
      <c r="G44" s="6"/>
      <c r="H44" s="7"/>
      <c r="I44" s="7"/>
      <c r="J44" s="2"/>
      <c r="K44" s="2"/>
      <c r="L44" s="2"/>
      <c r="M44" s="8"/>
      <c r="N44" s="163" t="str">
        <f t="shared" si="0"/>
        <v/>
      </c>
      <c r="O44" s="126" t="str">
        <f t="shared" si="2"/>
        <v>-</v>
      </c>
      <c r="P44" s="164"/>
      <c r="Q44" s="164"/>
      <c r="R44" s="164"/>
      <c r="S44" s="164"/>
      <c r="T44" s="164"/>
      <c r="U44" s="164"/>
      <c r="V44" s="165"/>
    </row>
    <row r="45" spans="1:25" ht="27" customHeight="1">
      <c r="A45" s="38" t="str">
        <f>IF(ISBLANK(C45)," ",40-COUNTBLANK($C$6:C45))</f>
        <v xml:space="preserve"> </v>
      </c>
      <c r="B45" s="4"/>
      <c r="C45" s="5"/>
      <c r="D45" s="34"/>
      <c r="E45" s="34"/>
      <c r="F45" s="6"/>
      <c r="G45" s="6"/>
      <c r="H45" s="7"/>
      <c r="I45" s="7"/>
      <c r="J45" s="2"/>
      <c r="K45" s="2"/>
      <c r="L45" s="2"/>
      <c r="M45" s="8"/>
      <c r="N45" s="163" t="str">
        <f t="shared" si="0"/>
        <v/>
      </c>
      <c r="O45" s="126" t="str">
        <f t="shared" si="2"/>
        <v>-</v>
      </c>
      <c r="P45" s="164"/>
      <c r="Q45" s="164"/>
      <c r="R45" s="164"/>
      <c r="S45" s="164"/>
      <c r="T45" s="164"/>
      <c r="U45" s="164"/>
      <c r="V45" s="165"/>
    </row>
    <row r="46" spans="1:25" ht="27" customHeight="1">
      <c r="A46" s="39" t="str">
        <f>IF(ISBLANK(C46)," ",41-COUNTBLANK($C$6:C46))</f>
        <v xml:space="preserve"> </v>
      </c>
      <c r="B46" s="14"/>
      <c r="C46" s="15"/>
      <c r="D46" s="35"/>
      <c r="E46" s="35"/>
      <c r="F46" s="16"/>
      <c r="G46" s="16"/>
      <c r="H46" s="17"/>
      <c r="I46" s="17"/>
      <c r="J46" s="3"/>
      <c r="K46" s="3"/>
      <c r="L46" s="3"/>
      <c r="M46" s="18"/>
      <c r="N46" s="163" t="str">
        <f t="shared" si="0"/>
        <v/>
      </c>
      <c r="O46" s="126" t="str">
        <f t="shared" si="2"/>
        <v>-</v>
      </c>
      <c r="P46" s="164"/>
      <c r="Q46" s="164"/>
      <c r="R46" s="164"/>
      <c r="S46" s="164"/>
      <c r="T46" s="164"/>
      <c r="U46" s="164"/>
      <c r="V46" s="166"/>
      <c r="W46" s="164"/>
      <c r="X46" s="164"/>
      <c r="Y46" s="164"/>
    </row>
    <row r="47" spans="1:25" ht="27" customHeight="1">
      <c r="A47" s="167" t="s">
        <v>44</v>
      </c>
      <c r="B47" s="168"/>
      <c r="C47" s="168"/>
      <c r="D47" s="169"/>
      <c r="E47" s="169">
        <f>SUM(E27:E46)</f>
        <v>0</v>
      </c>
      <c r="F47" s="170"/>
      <c r="G47" s="170"/>
      <c r="H47" s="170"/>
      <c r="I47" s="170"/>
      <c r="J47" s="170"/>
      <c r="K47" s="170"/>
      <c r="L47" s="170"/>
      <c r="M47" s="171"/>
      <c r="N47" s="163" t="str">
        <f t="shared" si="0"/>
        <v/>
      </c>
      <c r="O47" s="126"/>
      <c r="P47" s="164"/>
      <c r="Q47" s="164"/>
      <c r="R47" s="164"/>
      <c r="S47" s="164"/>
      <c r="T47" s="164"/>
      <c r="U47" s="164"/>
      <c r="V47" s="166"/>
      <c r="W47" s="164"/>
      <c r="X47" s="164"/>
      <c r="Y47" s="164"/>
    </row>
    <row r="48" spans="1:25" ht="27" customHeight="1">
      <c r="A48" s="37" t="str">
        <f>IF(ISBLANK(C48)," ",43-COUNTBLANK($C$6:C48))</f>
        <v xml:space="preserve"> </v>
      </c>
      <c r="B48" s="9"/>
      <c r="C48" s="10"/>
      <c r="D48" s="33"/>
      <c r="E48" s="33"/>
      <c r="F48" s="11"/>
      <c r="G48" s="11"/>
      <c r="H48" s="12"/>
      <c r="I48" s="12"/>
      <c r="J48" s="32"/>
      <c r="K48" s="32"/>
      <c r="L48" s="32"/>
      <c r="M48" s="13"/>
      <c r="N48" s="163" t="str">
        <f t="shared" si="0"/>
        <v/>
      </c>
      <c r="O48" s="126" t="str">
        <f>IF(D48&gt;=E48,"-","ERR")</f>
        <v>-</v>
      </c>
      <c r="P48" s="164"/>
      <c r="Q48" s="164"/>
      <c r="R48" s="164"/>
      <c r="S48" s="164"/>
      <c r="T48" s="164"/>
      <c r="U48" s="164"/>
      <c r="V48" s="164"/>
    </row>
    <row r="49" spans="1:22" ht="27" customHeight="1">
      <c r="A49" s="38" t="str">
        <f>IF(ISBLANK(C49)," ",44-COUNTBLANK($C$6:C49))</f>
        <v xml:space="preserve"> </v>
      </c>
      <c r="B49" s="4"/>
      <c r="C49" s="5"/>
      <c r="D49" s="34"/>
      <c r="E49" s="34"/>
      <c r="F49" s="6"/>
      <c r="G49" s="6"/>
      <c r="H49" s="7"/>
      <c r="I49" s="7"/>
      <c r="J49" s="2"/>
      <c r="K49" s="2"/>
      <c r="L49" s="2"/>
      <c r="M49" s="8"/>
      <c r="N49" s="163" t="str">
        <f t="shared" si="0"/>
        <v/>
      </c>
      <c r="O49" s="126" t="str">
        <f t="shared" ref="O49:O67" si="3">IF(D49&gt;=E49,"-","ERR")</f>
        <v>-</v>
      </c>
      <c r="P49" s="164"/>
      <c r="Q49" s="164"/>
      <c r="R49" s="164"/>
      <c r="S49" s="164"/>
      <c r="T49" s="164"/>
      <c r="U49" s="164"/>
      <c r="V49" s="164"/>
    </row>
    <row r="50" spans="1:22" ht="27" customHeight="1">
      <c r="A50" s="38" t="str">
        <f>IF(ISBLANK(C50)," ",45-COUNTBLANK($C$6:C50))</f>
        <v xml:space="preserve"> </v>
      </c>
      <c r="B50" s="4"/>
      <c r="C50" s="5"/>
      <c r="D50" s="34"/>
      <c r="E50" s="34"/>
      <c r="F50" s="6"/>
      <c r="G50" s="6"/>
      <c r="H50" s="7"/>
      <c r="I50" s="7"/>
      <c r="J50" s="2"/>
      <c r="K50" s="2"/>
      <c r="L50" s="2"/>
      <c r="M50" s="8"/>
      <c r="N50" s="163" t="str">
        <f t="shared" si="0"/>
        <v/>
      </c>
      <c r="O50" s="126" t="str">
        <f t="shared" si="3"/>
        <v>-</v>
      </c>
      <c r="P50" s="164"/>
      <c r="Q50" s="164"/>
      <c r="R50" s="164"/>
      <c r="S50" s="164"/>
      <c r="T50" s="164"/>
      <c r="U50" s="164"/>
      <c r="V50" s="164"/>
    </row>
    <row r="51" spans="1:22" ht="27" customHeight="1">
      <c r="A51" s="38" t="str">
        <f>IF(ISBLANK(C51)," ",46-COUNTBLANK($C$6:C51))</f>
        <v xml:space="preserve"> </v>
      </c>
      <c r="B51" s="4"/>
      <c r="C51" s="5"/>
      <c r="D51" s="34"/>
      <c r="E51" s="34"/>
      <c r="F51" s="6"/>
      <c r="G51" s="6"/>
      <c r="H51" s="7"/>
      <c r="I51" s="7"/>
      <c r="J51" s="2"/>
      <c r="K51" s="2"/>
      <c r="L51" s="2"/>
      <c r="M51" s="8"/>
      <c r="N51" s="163" t="str">
        <f t="shared" si="0"/>
        <v/>
      </c>
      <c r="O51" s="126" t="str">
        <f t="shared" si="3"/>
        <v>-</v>
      </c>
      <c r="P51" s="164"/>
      <c r="Q51" s="164"/>
      <c r="R51" s="164"/>
      <c r="S51" s="164"/>
      <c r="T51" s="164"/>
      <c r="U51" s="164"/>
      <c r="V51" s="164"/>
    </row>
    <row r="52" spans="1:22" ht="27" customHeight="1">
      <c r="A52" s="38" t="str">
        <f>IF(ISBLANK(C52)," ",47-COUNTBLANK($C$6:C52))</f>
        <v xml:space="preserve"> </v>
      </c>
      <c r="B52" s="4"/>
      <c r="C52" s="5"/>
      <c r="D52" s="34"/>
      <c r="E52" s="34"/>
      <c r="F52" s="6"/>
      <c r="G52" s="6"/>
      <c r="H52" s="7"/>
      <c r="I52" s="7"/>
      <c r="J52" s="2"/>
      <c r="K52" s="2"/>
      <c r="L52" s="2"/>
      <c r="M52" s="8"/>
      <c r="N52" s="163" t="str">
        <f t="shared" si="0"/>
        <v/>
      </c>
      <c r="O52" s="126" t="str">
        <f t="shared" si="3"/>
        <v>-</v>
      </c>
      <c r="P52" s="164"/>
      <c r="Q52" s="164"/>
      <c r="R52" s="164"/>
      <c r="S52" s="164"/>
      <c r="T52" s="164"/>
      <c r="U52" s="164"/>
      <c r="V52" s="164"/>
    </row>
    <row r="53" spans="1:22" ht="27" customHeight="1">
      <c r="A53" s="38" t="str">
        <f>IF(ISBLANK(C53)," ",48-COUNTBLANK($C$6:C53))</f>
        <v xml:space="preserve"> </v>
      </c>
      <c r="B53" s="4"/>
      <c r="C53" s="5"/>
      <c r="D53" s="34"/>
      <c r="E53" s="34"/>
      <c r="F53" s="6"/>
      <c r="G53" s="6"/>
      <c r="H53" s="7"/>
      <c r="I53" s="7"/>
      <c r="J53" s="2"/>
      <c r="K53" s="2"/>
      <c r="L53" s="2"/>
      <c r="M53" s="8"/>
      <c r="N53" s="163" t="str">
        <f t="shared" si="0"/>
        <v/>
      </c>
      <c r="O53" s="126" t="str">
        <f t="shared" si="3"/>
        <v>-</v>
      </c>
      <c r="P53" s="164"/>
      <c r="Q53" s="164"/>
      <c r="R53" s="164"/>
      <c r="S53" s="164"/>
      <c r="T53" s="164"/>
      <c r="U53" s="164"/>
      <c r="V53" s="164"/>
    </row>
    <row r="54" spans="1:22" ht="27" customHeight="1">
      <c r="A54" s="38" t="str">
        <f>IF(ISBLANK(C54)," ",49-COUNTBLANK($C$6:C54))</f>
        <v xml:space="preserve"> </v>
      </c>
      <c r="B54" s="4"/>
      <c r="C54" s="5"/>
      <c r="D54" s="34"/>
      <c r="E54" s="34"/>
      <c r="F54" s="6"/>
      <c r="G54" s="6"/>
      <c r="H54" s="7"/>
      <c r="I54" s="7"/>
      <c r="J54" s="2"/>
      <c r="K54" s="2"/>
      <c r="L54" s="2"/>
      <c r="M54" s="8"/>
      <c r="N54" s="163" t="str">
        <f t="shared" si="0"/>
        <v/>
      </c>
      <c r="O54" s="126" t="str">
        <f t="shared" si="3"/>
        <v>-</v>
      </c>
      <c r="P54" s="164"/>
      <c r="Q54" s="164"/>
      <c r="R54" s="164"/>
      <c r="S54" s="164"/>
      <c r="T54" s="164"/>
      <c r="U54" s="164"/>
      <c r="V54" s="164"/>
    </row>
    <row r="55" spans="1:22" ht="27" customHeight="1">
      <c r="A55" s="38" t="str">
        <f>IF(ISBLANK(C55)," ",50-COUNTBLANK($C$6:C55))</f>
        <v xml:space="preserve"> </v>
      </c>
      <c r="B55" s="4"/>
      <c r="C55" s="5"/>
      <c r="D55" s="34"/>
      <c r="E55" s="34"/>
      <c r="F55" s="6"/>
      <c r="G55" s="6"/>
      <c r="H55" s="7"/>
      <c r="I55" s="7"/>
      <c r="J55" s="2"/>
      <c r="K55" s="2"/>
      <c r="L55" s="2"/>
      <c r="M55" s="8"/>
      <c r="N55" s="163" t="str">
        <f t="shared" si="0"/>
        <v/>
      </c>
      <c r="O55" s="126" t="str">
        <f t="shared" si="3"/>
        <v>-</v>
      </c>
      <c r="P55" s="164"/>
      <c r="Q55" s="164"/>
      <c r="R55" s="164"/>
      <c r="S55" s="164"/>
      <c r="T55" s="164"/>
      <c r="U55" s="164"/>
      <c r="V55" s="164"/>
    </row>
    <row r="56" spans="1:22" ht="27" customHeight="1">
      <c r="A56" s="38" t="str">
        <f>IF(ISBLANK(C56)," ",51-COUNTBLANK($C$6:C56))</f>
        <v xml:space="preserve"> </v>
      </c>
      <c r="B56" s="4"/>
      <c r="C56" s="5"/>
      <c r="D56" s="34"/>
      <c r="E56" s="34"/>
      <c r="F56" s="6"/>
      <c r="G56" s="6"/>
      <c r="H56" s="7"/>
      <c r="I56" s="7"/>
      <c r="J56" s="2"/>
      <c r="K56" s="2"/>
      <c r="L56" s="2"/>
      <c r="M56" s="8"/>
      <c r="N56" s="163" t="str">
        <f t="shared" si="0"/>
        <v/>
      </c>
      <c r="O56" s="126" t="str">
        <f t="shared" si="3"/>
        <v>-</v>
      </c>
      <c r="P56" s="164"/>
      <c r="Q56" s="164"/>
      <c r="R56" s="164"/>
      <c r="S56" s="164"/>
      <c r="T56" s="164"/>
      <c r="U56" s="164"/>
      <c r="V56" s="164"/>
    </row>
    <row r="57" spans="1:22" ht="27" customHeight="1">
      <c r="A57" s="38" t="str">
        <f>IF(ISBLANK(C57)," ",52-COUNTBLANK($C$6:C57))</f>
        <v xml:space="preserve"> </v>
      </c>
      <c r="B57" s="4"/>
      <c r="C57" s="5"/>
      <c r="D57" s="34"/>
      <c r="E57" s="34"/>
      <c r="F57" s="6"/>
      <c r="G57" s="6"/>
      <c r="H57" s="7"/>
      <c r="I57" s="7"/>
      <c r="J57" s="2"/>
      <c r="K57" s="2"/>
      <c r="L57" s="2"/>
      <c r="M57" s="8"/>
      <c r="N57" s="163" t="str">
        <f t="shared" si="0"/>
        <v/>
      </c>
      <c r="O57" s="126" t="str">
        <f t="shared" si="3"/>
        <v>-</v>
      </c>
      <c r="P57" s="164"/>
      <c r="Q57" s="164"/>
      <c r="R57" s="164"/>
      <c r="S57" s="164"/>
      <c r="T57" s="164"/>
      <c r="U57" s="164"/>
      <c r="V57" s="164"/>
    </row>
    <row r="58" spans="1:22" ht="27" customHeight="1">
      <c r="A58" s="38" t="str">
        <f>IF(ISBLANK(C58)," ",53-COUNTBLANK($C$6:C58))</f>
        <v xml:space="preserve"> </v>
      </c>
      <c r="B58" s="4"/>
      <c r="C58" s="5"/>
      <c r="D58" s="34"/>
      <c r="E58" s="34"/>
      <c r="F58" s="6"/>
      <c r="G58" s="6"/>
      <c r="H58" s="7"/>
      <c r="I58" s="7"/>
      <c r="J58" s="2"/>
      <c r="K58" s="2"/>
      <c r="L58" s="2"/>
      <c r="M58" s="8"/>
      <c r="N58" s="163" t="str">
        <f t="shared" si="0"/>
        <v/>
      </c>
      <c r="O58" s="126" t="str">
        <f t="shared" si="3"/>
        <v>-</v>
      </c>
      <c r="P58" s="164"/>
      <c r="Q58" s="164"/>
      <c r="R58" s="164"/>
      <c r="S58" s="164"/>
      <c r="T58" s="164"/>
      <c r="U58" s="164"/>
      <c r="V58" s="164"/>
    </row>
    <row r="59" spans="1:22" ht="27" customHeight="1">
      <c r="A59" s="38" t="str">
        <f>IF(ISBLANK(C59)," ",54-COUNTBLANK($C$6:C59))</f>
        <v xml:space="preserve"> </v>
      </c>
      <c r="B59" s="4"/>
      <c r="C59" s="5"/>
      <c r="D59" s="34"/>
      <c r="E59" s="34"/>
      <c r="F59" s="6"/>
      <c r="G59" s="6"/>
      <c r="H59" s="7"/>
      <c r="I59" s="7"/>
      <c r="J59" s="2"/>
      <c r="K59" s="2"/>
      <c r="L59" s="2"/>
      <c r="M59" s="8"/>
      <c r="N59" s="163" t="str">
        <f t="shared" si="0"/>
        <v/>
      </c>
      <c r="O59" s="126" t="str">
        <f t="shared" si="3"/>
        <v>-</v>
      </c>
      <c r="P59" s="164"/>
      <c r="Q59" s="164"/>
      <c r="R59" s="164"/>
      <c r="S59" s="164"/>
      <c r="T59" s="164"/>
      <c r="U59" s="164"/>
      <c r="V59" s="164"/>
    </row>
    <row r="60" spans="1:22" ht="27" customHeight="1">
      <c r="A60" s="38" t="str">
        <f>IF(ISBLANK(C60)," ",55-COUNTBLANK($C$6:C60))</f>
        <v xml:space="preserve"> </v>
      </c>
      <c r="B60" s="4"/>
      <c r="C60" s="5"/>
      <c r="D60" s="34"/>
      <c r="E60" s="34"/>
      <c r="F60" s="6"/>
      <c r="G60" s="6"/>
      <c r="H60" s="7"/>
      <c r="I60" s="7"/>
      <c r="J60" s="2"/>
      <c r="K60" s="2"/>
      <c r="L60" s="2"/>
      <c r="M60" s="8"/>
      <c r="N60" s="163" t="str">
        <f t="shared" si="0"/>
        <v/>
      </c>
      <c r="O60" s="126" t="str">
        <f t="shared" si="3"/>
        <v>-</v>
      </c>
      <c r="P60" s="164"/>
      <c r="Q60" s="164"/>
      <c r="R60" s="164"/>
      <c r="S60" s="164"/>
      <c r="T60" s="164"/>
      <c r="U60" s="164"/>
      <c r="V60" s="164"/>
    </row>
    <row r="61" spans="1:22" ht="27" customHeight="1">
      <c r="A61" s="38" t="str">
        <f>IF(ISBLANK(C61)," ",56-COUNTBLANK($C$6:C61))</f>
        <v xml:space="preserve"> </v>
      </c>
      <c r="B61" s="4"/>
      <c r="C61" s="5"/>
      <c r="D61" s="34"/>
      <c r="E61" s="34"/>
      <c r="F61" s="6"/>
      <c r="G61" s="6"/>
      <c r="H61" s="7"/>
      <c r="I61" s="7"/>
      <c r="J61" s="2"/>
      <c r="K61" s="2"/>
      <c r="L61" s="2"/>
      <c r="M61" s="8"/>
      <c r="N61" s="163" t="str">
        <f t="shared" si="0"/>
        <v/>
      </c>
      <c r="O61" s="126" t="str">
        <f t="shared" si="3"/>
        <v>-</v>
      </c>
      <c r="P61" s="164"/>
      <c r="Q61" s="164"/>
      <c r="R61" s="164"/>
      <c r="S61" s="164"/>
      <c r="T61" s="164"/>
      <c r="U61" s="164"/>
      <c r="V61" s="164"/>
    </row>
    <row r="62" spans="1:22" ht="27" customHeight="1">
      <c r="A62" s="38" t="str">
        <f>IF(ISBLANK(C62)," ",57-COUNTBLANK($C$6:C62))</f>
        <v xml:space="preserve"> </v>
      </c>
      <c r="B62" s="4"/>
      <c r="C62" s="5"/>
      <c r="D62" s="34"/>
      <c r="E62" s="34"/>
      <c r="F62" s="6"/>
      <c r="G62" s="6"/>
      <c r="H62" s="7"/>
      <c r="I62" s="7"/>
      <c r="J62" s="2"/>
      <c r="K62" s="2"/>
      <c r="L62" s="2"/>
      <c r="M62" s="8"/>
      <c r="N62" s="163" t="str">
        <f t="shared" si="0"/>
        <v/>
      </c>
      <c r="O62" s="126" t="str">
        <f t="shared" si="3"/>
        <v>-</v>
      </c>
      <c r="P62" s="164"/>
      <c r="Q62" s="164"/>
      <c r="R62" s="164"/>
      <c r="S62" s="164"/>
      <c r="T62" s="164"/>
      <c r="U62" s="164"/>
      <c r="V62" s="164"/>
    </row>
    <row r="63" spans="1:22" ht="27" customHeight="1">
      <c r="A63" s="38" t="str">
        <f>IF(ISBLANK(C63)," ",58-COUNTBLANK($C$6:C63))</f>
        <v xml:space="preserve"> </v>
      </c>
      <c r="B63" s="4"/>
      <c r="C63" s="5"/>
      <c r="D63" s="34"/>
      <c r="E63" s="34"/>
      <c r="F63" s="6"/>
      <c r="G63" s="6"/>
      <c r="H63" s="7"/>
      <c r="I63" s="7"/>
      <c r="J63" s="2"/>
      <c r="K63" s="2"/>
      <c r="L63" s="2"/>
      <c r="M63" s="8"/>
      <c r="N63" s="163" t="str">
        <f t="shared" si="0"/>
        <v/>
      </c>
      <c r="O63" s="126" t="str">
        <f t="shared" si="3"/>
        <v>-</v>
      </c>
      <c r="P63" s="164"/>
      <c r="Q63" s="164"/>
      <c r="R63" s="164"/>
      <c r="S63" s="164"/>
      <c r="T63" s="164"/>
      <c r="U63" s="164"/>
      <c r="V63" s="165"/>
    </row>
    <row r="64" spans="1:22" ht="27" customHeight="1">
      <c r="A64" s="38" t="str">
        <f>IF(ISBLANK(C64)," ",59-COUNTBLANK($C$6:C64))</f>
        <v xml:space="preserve"> </v>
      </c>
      <c r="B64" s="4"/>
      <c r="C64" s="5"/>
      <c r="D64" s="34"/>
      <c r="E64" s="34"/>
      <c r="F64" s="6"/>
      <c r="G64" s="6"/>
      <c r="H64" s="7"/>
      <c r="I64" s="7"/>
      <c r="J64" s="2"/>
      <c r="K64" s="2"/>
      <c r="L64" s="2"/>
      <c r="M64" s="8"/>
      <c r="N64" s="163" t="str">
        <f t="shared" si="0"/>
        <v/>
      </c>
      <c r="O64" s="126" t="str">
        <f t="shared" si="3"/>
        <v>-</v>
      </c>
      <c r="P64" s="164"/>
      <c r="Q64" s="164"/>
      <c r="R64" s="164"/>
      <c r="S64" s="164"/>
      <c r="T64" s="164"/>
      <c r="U64" s="164"/>
      <c r="V64" s="165"/>
    </row>
    <row r="65" spans="1:25" ht="27" customHeight="1">
      <c r="A65" s="38" t="str">
        <f>IF(ISBLANK(C65)," ",60-COUNTBLANK($C$6:C65))</f>
        <v xml:space="preserve"> </v>
      </c>
      <c r="B65" s="4"/>
      <c r="C65" s="5"/>
      <c r="D65" s="34"/>
      <c r="E65" s="34"/>
      <c r="F65" s="6"/>
      <c r="G65" s="6"/>
      <c r="H65" s="7"/>
      <c r="I65" s="7"/>
      <c r="J65" s="2"/>
      <c r="K65" s="2"/>
      <c r="L65" s="2"/>
      <c r="M65" s="8"/>
      <c r="N65" s="163" t="str">
        <f t="shared" si="0"/>
        <v/>
      </c>
      <c r="O65" s="126" t="str">
        <f t="shared" si="3"/>
        <v>-</v>
      </c>
      <c r="P65" s="164"/>
      <c r="Q65" s="164"/>
      <c r="R65" s="164"/>
      <c r="S65" s="164"/>
      <c r="T65" s="164"/>
      <c r="U65" s="164"/>
      <c r="V65" s="165"/>
    </row>
    <row r="66" spans="1:25" ht="27" customHeight="1">
      <c r="A66" s="38" t="str">
        <f>IF(ISBLANK(C66)," ",61-COUNTBLANK($C$6:C66))</f>
        <v xml:space="preserve"> </v>
      </c>
      <c r="B66" s="4"/>
      <c r="C66" s="5"/>
      <c r="D66" s="34"/>
      <c r="E66" s="34"/>
      <c r="F66" s="6"/>
      <c r="G66" s="6"/>
      <c r="H66" s="7"/>
      <c r="I66" s="7"/>
      <c r="J66" s="2"/>
      <c r="K66" s="2"/>
      <c r="L66" s="2"/>
      <c r="M66" s="8"/>
      <c r="N66" s="163" t="str">
        <f t="shared" si="0"/>
        <v/>
      </c>
      <c r="O66" s="126" t="str">
        <f t="shared" si="3"/>
        <v>-</v>
      </c>
      <c r="P66" s="164"/>
      <c r="Q66" s="164"/>
      <c r="R66" s="164"/>
      <c r="S66" s="164"/>
      <c r="T66" s="164"/>
      <c r="U66" s="164"/>
      <c r="V66" s="165"/>
    </row>
    <row r="67" spans="1:25" ht="27" customHeight="1">
      <c r="A67" s="39" t="str">
        <f>IF(ISBLANK(C67)," ",62-COUNTBLANK($C$6:C67))</f>
        <v xml:space="preserve"> </v>
      </c>
      <c r="B67" s="14"/>
      <c r="C67" s="15"/>
      <c r="D67" s="35"/>
      <c r="E67" s="35"/>
      <c r="F67" s="16"/>
      <c r="G67" s="16"/>
      <c r="H67" s="17"/>
      <c r="I67" s="17"/>
      <c r="J67" s="3"/>
      <c r="K67" s="3"/>
      <c r="L67" s="3"/>
      <c r="M67" s="18"/>
      <c r="N67" s="163" t="str">
        <f t="shared" si="0"/>
        <v/>
      </c>
      <c r="O67" s="126" t="str">
        <f t="shared" si="3"/>
        <v>-</v>
      </c>
      <c r="P67" s="164"/>
      <c r="Q67" s="164"/>
      <c r="R67" s="164"/>
      <c r="S67" s="164"/>
      <c r="T67" s="164"/>
      <c r="U67" s="164"/>
      <c r="V67" s="166"/>
      <c r="W67" s="164"/>
      <c r="X67" s="164"/>
      <c r="Y67" s="164"/>
    </row>
    <row r="68" spans="1:25" ht="27" customHeight="1">
      <c r="A68" s="167" t="s">
        <v>44</v>
      </c>
      <c r="B68" s="168"/>
      <c r="C68" s="168"/>
      <c r="D68" s="169"/>
      <c r="E68" s="169">
        <f>SUM(E48:E67)</f>
        <v>0</v>
      </c>
      <c r="F68" s="170"/>
      <c r="G68" s="170"/>
      <c r="H68" s="170"/>
      <c r="I68" s="170"/>
      <c r="J68" s="170"/>
      <c r="K68" s="170"/>
      <c r="L68" s="170"/>
      <c r="M68" s="171"/>
      <c r="N68" s="163" t="str">
        <f t="shared" si="0"/>
        <v/>
      </c>
      <c r="O68" s="126"/>
      <c r="P68" s="164"/>
      <c r="Q68" s="164"/>
      <c r="R68" s="164"/>
      <c r="S68" s="164"/>
      <c r="T68" s="164"/>
      <c r="U68" s="164"/>
      <c r="V68" s="166"/>
      <c r="W68" s="164"/>
      <c r="X68" s="164"/>
      <c r="Y68" s="164"/>
    </row>
    <row r="69" spans="1:25" ht="27" customHeight="1">
      <c r="A69" s="37" t="str">
        <f>IF(ISBLANK(C69)," ",64-COUNTBLANK($C$6:C69))</f>
        <v xml:space="preserve"> </v>
      </c>
      <c r="B69" s="9"/>
      <c r="C69" s="10"/>
      <c r="D69" s="33"/>
      <c r="E69" s="33"/>
      <c r="F69" s="11"/>
      <c r="G69" s="11"/>
      <c r="H69" s="12"/>
      <c r="I69" s="12"/>
      <c r="J69" s="32"/>
      <c r="K69" s="32"/>
      <c r="L69" s="32"/>
      <c r="M69" s="13"/>
      <c r="N69" s="163" t="str">
        <f t="shared" si="0"/>
        <v/>
      </c>
      <c r="O69" s="126" t="str">
        <f>IF(D69&gt;=E69,"-","ERR")</f>
        <v>-</v>
      </c>
      <c r="P69" s="164"/>
      <c r="Q69" s="164"/>
      <c r="R69" s="164"/>
      <c r="S69" s="164"/>
      <c r="T69" s="164"/>
      <c r="U69" s="164"/>
      <c r="V69" s="164"/>
    </row>
    <row r="70" spans="1:25" ht="27" customHeight="1">
      <c r="A70" s="38" t="str">
        <f>IF(ISBLANK(C70)," ",65-COUNTBLANK($C$6:C70))</f>
        <v xml:space="preserve"> </v>
      </c>
      <c r="B70" s="4"/>
      <c r="C70" s="5"/>
      <c r="D70" s="34"/>
      <c r="E70" s="34"/>
      <c r="F70" s="6"/>
      <c r="G70" s="6"/>
      <c r="H70" s="7"/>
      <c r="I70" s="7"/>
      <c r="J70" s="2"/>
      <c r="K70" s="2"/>
      <c r="L70" s="2"/>
      <c r="M70" s="8"/>
      <c r="N70" s="163" t="str">
        <f t="shared" si="0"/>
        <v/>
      </c>
      <c r="O70" s="126" t="str">
        <f t="shared" ref="O70:O88" si="4">IF(D70&gt;=E70,"-","ERR")</f>
        <v>-</v>
      </c>
      <c r="P70" s="164"/>
      <c r="Q70" s="164"/>
      <c r="R70" s="164"/>
      <c r="S70" s="164"/>
      <c r="T70" s="164"/>
      <c r="U70" s="164"/>
      <c r="V70" s="164"/>
    </row>
    <row r="71" spans="1:25" ht="27" customHeight="1">
      <c r="A71" s="38" t="str">
        <f>IF(ISBLANK(C71)," ",66-COUNTBLANK($C$6:C71))</f>
        <v xml:space="preserve"> </v>
      </c>
      <c r="B71" s="4"/>
      <c r="C71" s="5"/>
      <c r="D71" s="34"/>
      <c r="E71" s="34"/>
      <c r="F71" s="6"/>
      <c r="G71" s="6"/>
      <c r="H71" s="7"/>
      <c r="I71" s="7"/>
      <c r="J71" s="2"/>
      <c r="K71" s="2"/>
      <c r="L71" s="2"/>
      <c r="M71" s="8"/>
      <c r="N71" s="163" t="str">
        <f t="shared" ref="N71:N134" si="5">CONCATENATE(C71,H71)</f>
        <v/>
      </c>
      <c r="O71" s="126" t="str">
        <f t="shared" si="4"/>
        <v>-</v>
      </c>
      <c r="P71" s="164"/>
      <c r="Q71" s="164"/>
      <c r="R71" s="164"/>
      <c r="S71" s="164"/>
      <c r="T71" s="164"/>
      <c r="U71" s="164"/>
      <c r="V71" s="164"/>
    </row>
    <row r="72" spans="1:25" ht="27" customHeight="1">
      <c r="A72" s="38" t="str">
        <f>IF(ISBLANK(C72)," ",67-COUNTBLANK($C$6:C72))</f>
        <v xml:space="preserve"> </v>
      </c>
      <c r="B72" s="4"/>
      <c r="C72" s="5"/>
      <c r="D72" s="34"/>
      <c r="E72" s="34"/>
      <c r="F72" s="6"/>
      <c r="G72" s="6"/>
      <c r="H72" s="7"/>
      <c r="I72" s="7"/>
      <c r="J72" s="2"/>
      <c r="K72" s="2"/>
      <c r="L72" s="2"/>
      <c r="M72" s="8"/>
      <c r="N72" s="163" t="str">
        <f t="shared" si="5"/>
        <v/>
      </c>
      <c r="O72" s="126" t="str">
        <f t="shared" si="4"/>
        <v>-</v>
      </c>
      <c r="P72" s="164"/>
      <c r="Q72" s="164"/>
      <c r="R72" s="164"/>
      <c r="S72" s="164"/>
      <c r="T72" s="164"/>
      <c r="U72" s="164"/>
      <c r="V72" s="164"/>
    </row>
    <row r="73" spans="1:25" ht="27" customHeight="1">
      <c r="A73" s="38" t="str">
        <f>IF(ISBLANK(C73)," ",68-COUNTBLANK($C$6:C73))</f>
        <v xml:space="preserve"> </v>
      </c>
      <c r="B73" s="4"/>
      <c r="C73" s="5"/>
      <c r="D73" s="34"/>
      <c r="E73" s="34"/>
      <c r="F73" s="6"/>
      <c r="G73" s="6"/>
      <c r="H73" s="7"/>
      <c r="I73" s="7"/>
      <c r="J73" s="2"/>
      <c r="K73" s="2"/>
      <c r="L73" s="2"/>
      <c r="M73" s="8"/>
      <c r="N73" s="163" t="str">
        <f t="shared" si="5"/>
        <v/>
      </c>
      <c r="O73" s="126" t="str">
        <f t="shared" si="4"/>
        <v>-</v>
      </c>
      <c r="P73" s="164"/>
      <c r="Q73" s="164"/>
      <c r="R73" s="164"/>
      <c r="S73" s="164"/>
      <c r="T73" s="164"/>
      <c r="U73" s="164"/>
      <c r="V73" s="164"/>
    </row>
    <row r="74" spans="1:25" ht="27" customHeight="1">
      <c r="A74" s="38" t="str">
        <f>IF(ISBLANK(C74)," ",69-COUNTBLANK($C$6:C74))</f>
        <v xml:space="preserve"> </v>
      </c>
      <c r="B74" s="4"/>
      <c r="C74" s="5"/>
      <c r="D74" s="34"/>
      <c r="E74" s="34"/>
      <c r="F74" s="6"/>
      <c r="G74" s="6"/>
      <c r="H74" s="7"/>
      <c r="I74" s="7"/>
      <c r="J74" s="2"/>
      <c r="K74" s="2"/>
      <c r="L74" s="2"/>
      <c r="M74" s="8"/>
      <c r="N74" s="163" t="str">
        <f t="shared" si="5"/>
        <v/>
      </c>
      <c r="O74" s="126" t="str">
        <f t="shared" si="4"/>
        <v>-</v>
      </c>
      <c r="P74" s="164"/>
      <c r="Q74" s="164"/>
      <c r="R74" s="164"/>
      <c r="S74" s="164"/>
      <c r="T74" s="164"/>
      <c r="U74" s="164"/>
      <c r="V74" s="164"/>
    </row>
    <row r="75" spans="1:25" ht="27" customHeight="1">
      <c r="A75" s="38" t="str">
        <f>IF(ISBLANK(C75)," ",70-COUNTBLANK($C$6:C75))</f>
        <v xml:space="preserve"> </v>
      </c>
      <c r="B75" s="4"/>
      <c r="C75" s="5"/>
      <c r="D75" s="34"/>
      <c r="E75" s="34"/>
      <c r="F75" s="6"/>
      <c r="G75" s="6"/>
      <c r="H75" s="7"/>
      <c r="I75" s="7"/>
      <c r="J75" s="2"/>
      <c r="K75" s="2"/>
      <c r="L75" s="2"/>
      <c r="M75" s="8"/>
      <c r="N75" s="163" t="str">
        <f t="shared" si="5"/>
        <v/>
      </c>
      <c r="O75" s="126" t="str">
        <f t="shared" si="4"/>
        <v>-</v>
      </c>
      <c r="P75" s="164"/>
      <c r="Q75" s="164"/>
      <c r="R75" s="164"/>
      <c r="S75" s="164"/>
      <c r="T75" s="164"/>
      <c r="U75" s="164"/>
      <c r="V75" s="164"/>
    </row>
    <row r="76" spans="1:25" ht="27" customHeight="1">
      <c r="A76" s="38" t="str">
        <f>IF(ISBLANK(C76)," ",71-COUNTBLANK($C$6:C76))</f>
        <v xml:space="preserve"> </v>
      </c>
      <c r="B76" s="4"/>
      <c r="C76" s="5"/>
      <c r="D76" s="34"/>
      <c r="E76" s="34"/>
      <c r="F76" s="6"/>
      <c r="G76" s="6"/>
      <c r="H76" s="7"/>
      <c r="I76" s="7"/>
      <c r="J76" s="2"/>
      <c r="K76" s="2"/>
      <c r="L76" s="2"/>
      <c r="M76" s="8"/>
      <c r="N76" s="163" t="str">
        <f t="shared" si="5"/>
        <v/>
      </c>
      <c r="O76" s="126" t="str">
        <f t="shared" si="4"/>
        <v>-</v>
      </c>
      <c r="P76" s="164"/>
      <c r="Q76" s="164"/>
      <c r="R76" s="164"/>
      <c r="S76" s="164"/>
      <c r="T76" s="164"/>
      <c r="U76" s="164"/>
      <c r="V76" s="164"/>
    </row>
    <row r="77" spans="1:25" ht="27" customHeight="1">
      <c r="A77" s="38" t="str">
        <f>IF(ISBLANK(C77)," ",72-COUNTBLANK($C$6:C77))</f>
        <v xml:space="preserve"> </v>
      </c>
      <c r="B77" s="4"/>
      <c r="C77" s="5"/>
      <c r="D77" s="34"/>
      <c r="E77" s="34"/>
      <c r="F77" s="6"/>
      <c r="G77" s="6"/>
      <c r="H77" s="7"/>
      <c r="I77" s="7"/>
      <c r="J77" s="2"/>
      <c r="K77" s="2"/>
      <c r="L77" s="2"/>
      <c r="M77" s="8"/>
      <c r="N77" s="163" t="str">
        <f t="shared" si="5"/>
        <v/>
      </c>
      <c r="O77" s="126" t="str">
        <f t="shared" si="4"/>
        <v>-</v>
      </c>
      <c r="P77" s="164"/>
      <c r="Q77" s="164"/>
      <c r="R77" s="164"/>
      <c r="S77" s="164"/>
      <c r="T77" s="164"/>
      <c r="U77" s="164"/>
      <c r="V77" s="164"/>
    </row>
    <row r="78" spans="1:25" ht="27" customHeight="1">
      <c r="A78" s="38" t="str">
        <f>IF(ISBLANK(C78)," ",73-COUNTBLANK($C$6:C78))</f>
        <v xml:space="preserve"> </v>
      </c>
      <c r="B78" s="4"/>
      <c r="C78" s="5"/>
      <c r="D78" s="34"/>
      <c r="E78" s="34"/>
      <c r="F78" s="6"/>
      <c r="G78" s="6"/>
      <c r="H78" s="7"/>
      <c r="I78" s="7"/>
      <c r="J78" s="2"/>
      <c r="K78" s="2"/>
      <c r="L78" s="2"/>
      <c r="M78" s="8"/>
      <c r="N78" s="163" t="str">
        <f t="shared" si="5"/>
        <v/>
      </c>
      <c r="O78" s="126" t="str">
        <f t="shared" si="4"/>
        <v>-</v>
      </c>
      <c r="P78" s="164"/>
      <c r="Q78" s="164"/>
      <c r="R78" s="164"/>
      <c r="S78" s="164"/>
      <c r="T78" s="164"/>
      <c r="U78" s="164"/>
      <c r="V78" s="164"/>
    </row>
    <row r="79" spans="1:25" ht="27" customHeight="1">
      <c r="A79" s="38" t="str">
        <f>IF(ISBLANK(C79)," ",74-COUNTBLANK($C$6:C79))</f>
        <v xml:space="preserve"> </v>
      </c>
      <c r="B79" s="4"/>
      <c r="C79" s="5"/>
      <c r="D79" s="34"/>
      <c r="E79" s="34"/>
      <c r="F79" s="6"/>
      <c r="G79" s="6"/>
      <c r="H79" s="7"/>
      <c r="I79" s="7"/>
      <c r="J79" s="2"/>
      <c r="K79" s="2"/>
      <c r="L79" s="2"/>
      <c r="M79" s="8"/>
      <c r="N79" s="163" t="str">
        <f t="shared" si="5"/>
        <v/>
      </c>
      <c r="O79" s="126" t="str">
        <f t="shared" si="4"/>
        <v>-</v>
      </c>
      <c r="P79" s="164"/>
      <c r="Q79" s="164"/>
      <c r="R79" s="164"/>
      <c r="S79" s="164"/>
      <c r="T79" s="164"/>
      <c r="U79" s="164"/>
      <c r="V79" s="164"/>
    </row>
    <row r="80" spans="1:25" ht="27" customHeight="1">
      <c r="A80" s="38" t="str">
        <f>IF(ISBLANK(C80)," ",75-COUNTBLANK($C$6:C80))</f>
        <v xml:space="preserve"> </v>
      </c>
      <c r="B80" s="4"/>
      <c r="C80" s="5"/>
      <c r="D80" s="34"/>
      <c r="E80" s="34"/>
      <c r="F80" s="6"/>
      <c r="G80" s="6"/>
      <c r="H80" s="7"/>
      <c r="I80" s="7"/>
      <c r="J80" s="2"/>
      <c r="K80" s="2"/>
      <c r="L80" s="2"/>
      <c r="M80" s="8"/>
      <c r="N80" s="163" t="str">
        <f t="shared" si="5"/>
        <v/>
      </c>
      <c r="O80" s="126" t="str">
        <f t="shared" si="4"/>
        <v>-</v>
      </c>
      <c r="P80" s="164"/>
      <c r="Q80" s="164"/>
      <c r="R80" s="164"/>
      <c r="S80" s="164"/>
      <c r="T80" s="164"/>
      <c r="U80" s="164"/>
      <c r="V80" s="164"/>
    </row>
    <row r="81" spans="1:25" ht="27" customHeight="1">
      <c r="A81" s="38" t="str">
        <f>IF(ISBLANK(C81)," ",76-COUNTBLANK($C$6:C81))</f>
        <v xml:space="preserve"> </v>
      </c>
      <c r="B81" s="4"/>
      <c r="C81" s="5"/>
      <c r="D81" s="34"/>
      <c r="E81" s="34"/>
      <c r="F81" s="6"/>
      <c r="G81" s="6"/>
      <c r="H81" s="7"/>
      <c r="I81" s="7"/>
      <c r="J81" s="2"/>
      <c r="K81" s="2"/>
      <c r="L81" s="2"/>
      <c r="M81" s="8"/>
      <c r="N81" s="163" t="str">
        <f t="shared" si="5"/>
        <v/>
      </c>
      <c r="O81" s="126" t="str">
        <f t="shared" si="4"/>
        <v>-</v>
      </c>
      <c r="P81" s="164"/>
      <c r="Q81" s="164"/>
      <c r="R81" s="164"/>
      <c r="S81" s="164"/>
      <c r="T81" s="164"/>
      <c r="U81" s="164"/>
      <c r="V81" s="164"/>
    </row>
    <row r="82" spans="1:25" ht="27" customHeight="1">
      <c r="A82" s="38" t="str">
        <f>IF(ISBLANK(C82)," ",77-COUNTBLANK($C$6:C82))</f>
        <v xml:space="preserve"> </v>
      </c>
      <c r="B82" s="4"/>
      <c r="C82" s="5"/>
      <c r="D82" s="34"/>
      <c r="E82" s="34"/>
      <c r="F82" s="6"/>
      <c r="G82" s="6"/>
      <c r="H82" s="7"/>
      <c r="I82" s="7"/>
      <c r="J82" s="2"/>
      <c r="K82" s="2"/>
      <c r="L82" s="2"/>
      <c r="M82" s="8"/>
      <c r="N82" s="163" t="str">
        <f t="shared" si="5"/>
        <v/>
      </c>
      <c r="O82" s="126" t="str">
        <f t="shared" si="4"/>
        <v>-</v>
      </c>
      <c r="P82" s="164"/>
      <c r="Q82" s="164"/>
      <c r="R82" s="164"/>
      <c r="S82" s="164"/>
      <c r="T82" s="164"/>
      <c r="U82" s="164"/>
      <c r="V82" s="164"/>
    </row>
    <row r="83" spans="1:25" ht="27" customHeight="1">
      <c r="A83" s="38" t="str">
        <f>IF(ISBLANK(C83)," ",78-COUNTBLANK($C$6:C83))</f>
        <v xml:space="preserve"> </v>
      </c>
      <c r="B83" s="4"/>
      <c r="C83" s="5"/>
      <c r="D83" s="34"/>
      <c r="E83" s="34"/>
      <c r="F83" s="6"/>
      <c r="G83" s="6"/>
      <c r="H83" s="7"/>
      <c r="I83" s="7"/>
      <c r="J83" s="2"/>
      <c r="K83" s="2"/>
      <c r="L83" s="2"/>
      <c r="M83" s="8"/>
      <c r="N83" s="163" t="str">
        <f t="shared" si="5"/>
        <v/>
      </c>
      <c r="O83" s="126" t="str">
        <f t="shared" si="4"/>
        <v>-</v>
      </c>
      <c r="P83" s="164"/>
      <c r="Q83" s="164"/>
      <c r="R83" s="164"/>
      <c r="S83" s="164"/>
      <c r="T83" s="164"/>
      <c r="U83" s="164"/>
      <c r="V83" s="164"/>
    </row>
    <row r="84" spans="1:25" ht="27" customHeight="1">
      <c r="A84" s="38" t="str">
        <f>IF(ISBLANK(C84)," ",79-COUNTBLANK($C$6:C84))</f>
        <v xml:space="preserve"> </v>
      </c>
      <c r="B84" s="4"/>
      <c r="C84" s="5"/>
      <c r="D84" s="34"/>
      <c r="E84" s="34"/>
      <c r="F84" s="6"/>
      <c r="G84" s="6"/>
      <c r="H84" s="7"/>
      <c r="I84" s="7"/>
      <c r="J84" s="2"/>
      <c r="K84" s="2"/>
      <c r="L84" s="2"/>
      <c r="M84" s="8"/>
      <c r="N84" s="163" t="str">
        <f t="shared" si="5"/>
        <v/>
      </c>
      <c r="O84" s="126" t="str">
        <f t="shared" si="4"/>
        <v>-</v>
      </c>
      <c r="P84" s="164"/>
      <c r="Q84" s="164"/>
      <c r="R84" s="164"/>
      <c r="S84" s="164"/>
      <c r="T84" s="164"/>
      <c r="U84" s="164"/>
      <c r="V84" s="165"/>
    </row>
    <row r="85" spans="1:25" ht="27" customHeight="1">
      <c r="A85" s="38" t="str">
        <f>IF(ISBLANK(C85)," ",80-COUNTBLANK($C$6:C85))</f>
        <v xml:space="preserve"> </v>
      </c>
      <c r="B85" s="4"/>
      <c r="C85" s="5"/>
      <c r="D85" s="34"/>
      <c r="E85" s="34"/>
      <c r="F85" s="6"/>
      <c r="G85" s="6"/>
      <c r="H85" s="7"/>
      <c r="I85" s="7"/>
      <c r="J85" s="2"/>
      <c r="K85" s="2"/>
      <c r="L85" s="2"/>
      <c r="M85" s="8"/>
      <c r="N85" s="163" t="str">
        <f t="shared" si="5"/>
        <v/>
      </c>
      <c r="O85" s="126" t="str">
        <f t="shared" si="4"/>
        <v>-</v>
      </c>
      <c r="P85" s="164"/>
      <c r="Q85" s="164"/>
      <c r="R85" s="164"/>
      <c r="S85" s="164"/>
      <c r="T85" s="164"/>
      <c r="U85" s="164"/>
      <c r="V85" s="165"/>
    </row>
    <row r="86" spans="1:25" ht="27" customHeight="1">
      <c r="A86" s="38" t="str">
        <f>IF(ISBLANK(C86)," ",81-COUNTBLANK($C$6:C86))</f>
        <v xml:space="preserve"> </v>
      </c>
      <c r="B86" s="4"/>
      <c r="C86" s="5"/>
      <c r="D86" s="34"/>
      <c r="E86" s="34"/>
      <c r="F86" s="6"/>
      <c r="G86" s="6"/>
      <c r="H86" s="7"/>
      <c r="I86" s="7"/>
      <c r="J86" s="2"/>
      <c r="K86" s="2"/>
      <c r="L86" s="2"/>
      <c r="M86" s="8"/>
      <c r="N86" s="163" t="str">
        <f t="shared" si="5"/>
        <v/>
      </c>
      <c r="O86" s="126" t="str">
        <f t="shared" si="4"/>
        <v>-</v>
      </c>
      <c r="P86" s="164"/>
      <c r="Q86" s="164"/>
      <c r="R86" s="164"/>
      <c r="S86" s="164"/>
      <c r="T86" s="164"/>
      <c r="U86" s="164"/>
      <c r="V86" s="165"/>
    </row>
    <row r="87" spans="1:25" ht="27" customHeight="1">
      <c r="A87" s="38" t="str">
        <f>IF(ISBLANK(C87)," ",82-COUNTBLANK($C$6:C87))</f>
        <v xml:space="preserve"> </v>
      </c>
      <c r="B87" s="4"/>
      <c r="C87" s="5"/>
      <c r="D87" s="34"/>
      <c r="E87" s="34"/>
      <c r="F87" s="6"/>
      <c r="G87" s="6"/>
      <c r="H87" s="7"/>
      <c r="I87" s="7"/>
      <c r="J87" s="2"/>
      <c r="K87" s="2"/>
      <c r="L87" s="2"/>
      <c r="M87" s="8"/>
      <c r="N87" s="163" t="str">
        <f t="shared" si="5"/>
        <v/>
      </c>
      <c r="O87" s="126" t="str">
        <f t="shared" si="4"/>
        <v>-</v>
      </c>
      <c r="P87" s="164"/>
      <c r="Q87" s="164"/>
      <c r="R87" s="164"/>
      <c r="S87" s="164"/>
      <c r="T87" s="164"/>
      <c r="U87" s="164"/>
      <c r="V87" s="165"/>
    </row>
    <row r="88" spans="1:25" ht="27" customHeight="1">
      <c r="A88" s="39" t="str">
        <f>IF(ISBLANK(C88)," ",83-COUNTBLANK($C$6:C88))</f>
        <v xml:space="preserve"> </v>
      </c>
      <c r="B88" s="14"/>
      <c r="C88" s="15"/>
      <c r="D88" s="35"/>
      <c r="E88" s="35"/>
      <c r="F88" s="16"/>
      <c r="G88" s="16"/>
      <c r="H88" s="17"/>
      <c r="I88" s="17"/>
      <c r="J88" s="3"/>
      <c r="K88" s="3"/>
      <c r="L88" s="3"/>
      <c r="M88" s="18"/>
      <c r="N88" s="163" t="str">
        <f t="shared" si="5"/>
        <v/>
      </c>
      <c r="O88" s="126" t="str">
        <f t="shared" si="4"/>
        <v>-</v>
      </c>
      <c r="P88" s="164"/>
      <c r="Q88" s="164"/>
      <c r="R88" s="164"/>
      <c r="S88" s="164"/>
      <c r="T88" s="164"/>
      <c r="U88" s="164"/>
      <c r="V88" s="166"/>
      <c r="W88" s="164"/>
      <c r="X88" s="164"/>
      <c r="Y88" s="164"/>
    </row>
    <row r="89" spans="1:25" ht="27" customHeight="1">
      <c r="A89" s="167" t="s">
        <v>44</v>
      </c>
      <c r="B89" s="168"/>
      <c r="C89" s="168"/>
      <c r="D89" s="169"/>
      <c r="E89" s="169">
        <f>SUM(E69:E88)</f>
        <v>0</v>
      </c>
      <c r="F89" s="170"/>
      <c r="G89" s="170"/>
      <c r="H89" s="170"/>
      <c r="I89" s="170"/>
      <c r="J89" s="170"/>
      <c r="K89" s="170"/>
      <c r="L89" s="170"/>
      <c r="M89" s="171"/>
      <c r="N89" s="163" t="str">
        <f t="shared" si="5"/>
        <v/>
      </c>
      <c r="O89" s="126"/>
      <c r="P89" s="164"/>
      <c r="Q89" s="164"/>
      <c r="R89" s="164"/>
      <c r="S89" s="164"/>
      <c r="T89" s="164"/>
      <c r="U89" s="164"/>
      <c r="V89" s="166"/>
      <c r="W89" s="164"/>
      <c r="X89" s="164"/>
      <c r="Y89" s="164"/>
    </row>
    <row r="90" spans="1:25" ht="27" customHeight="1">
      <c r="A90" s="37" t="str">
        <f>IF(ISBLANK(C90)," ",85-COUNTBLANK($C$6:C90))</f>
        <v xml:space="preserve"> </v>
      </c>
      <c r="B90" s="9"/>
      <c r="C90" s="10"/>
      <c r="D90" s="33"/>
      <c r="E90" s="33"/>
      <c r="F90" s="11"/>
      <c r="G90" s="11"/>
      <c r="H90" s="12"/>
      <c r="I90" s="12"/>
      <c r="J90" s="32"/>
      <c r="K90" s="32"/>
      <c r="L90" s="32"/>
      <c r="M90" s="13"/>
      <c r="N90" s="163" t="str">
        <f t="shared" si="5"/>
        <v/>
      </c>
      <c r="O90" s="126" t="str">
        <f>IF(D90&gt;=E90,"-","ERR")</f>
        <v>-</v>
      </c>
      <c r="P90" s="164"/>
      <c r="Q90" s="164"/>
      <c r="R90" s="164"/>
      <c r="S90" s="164"/>
      <c r="T90" s="164"/>
      <c r="U90" s="164"/>
      <c r="V90" s="164"/>
    </row>
    <row r="91" spans="1:25" ht="27" customHeight="1">
      <c r="A91" s="38" t="str">
        <f>IF(ISBLANK(C91)," ",86-COUNTBLANK($C$6:C91))</f>
        <v xml:space="preserve"> </v>
      </c>
      <c r="B91" s="4"/>
      <c r="C91" s="5"/>
      <c r="D91" s="34"/>
      <c r="E91" s="34"/>
      <c r="F91" s="6"/>
      <c r="G91" s="6"/>
      <c r="H91" s="7"/>
      <c r="I91" s="7"/>
      <c r="J91" s="2"/>
      <c r="K91" s="2"/>
      <c r="L91" s="2"/>
      <c r="M91" s="8"/>
      <c r="N91" s="163" t="str">
        <f t="shared" si="5"/>
        <v/>
      </c>
      <c r="O91" s="126" t="str">
        <f t="shared" ref="O91:O109" si="6">IF(D91&gt;=E91,"-","ERR")</f>
        <v>-</v>
      </c>
      <c r="P91" s="164"/>
      <c r="Q91" s="164"/>
      <c r="R91" s="164"/>
      <c r="S91" s="164"/>
      <c r="T91" s="164"/>
      <c r="U91" s="164"/>
      <c r="V91" s="164"/>
    </row>
    <row r="92" spans="1:25" ht="27" customHeight="1">
      <c r="A92" s="38" t="str">
        <f>IF(ISBLANK(C92)," ",87-COUNTBLANK($C$6:C92))</f>
        <v xml:space="preserve"> </v>
      </c>
      <c r="B92" s="4"/>
      <c r="C92" s="5"/>
      <c r="D92" s="34"/>
      <c r="E92" s="34"/>
      <c r="F92" s="6"/>
      <c r="G92" s="6"/>
      <c r="H92" s="7"/>
      <c r="I92" s="7"/>
      <c r="J92" s="2"/>
      <c r="K92" s="2"/>
      <c r="L92" s="2"/>
      <c r="M92" s="8"/>
      <c r="N92" s="163" t="str">
        <f t="shared" si="5"/>
        <v/>
      </c>
      <c r="O92" s="126" t="str">
        <f t="shared" si="6"/>
        <v>-</v>
      </c>
      <c r="P92" s="164"/>
      <c r="Q92" s="164"/>
      <c r="R92" s="164"/>
      <c r="S92" s="164"/>
      <c r="T92" s="164"/>
      <c r="U92" s="164"/>
      <c r="V92" s="164"/>
    </row>
    <row r="93" spans="1:25" ht="27" customHeight="1">
      <c r="A93" s="38" t="str">
        <f>IF(ISBLANK(C93)," ",88-COUNTBLANK($C$6:C93))</f>
        <v xml:space="preserve"> </v>
      </c>
      <c r="B93" s="4"/>
      <c r="C93" s="5"/>
      <c r="D93" s="34"/>
      <c r="E93" s="34"/>
      <c r="F93" s="6"/>
      <c r="G93" s="6"/>
      <c r="H93" s="7"/>
      <c r="I93" s="7"/>
      <c r="J93" s="2"/>
      <c r="K93" s="2"/>
      <c r="L93" s="2"/>
      <c r="M93" s="8"/>
      <c r="N93" s="163" t="str">
        <f t="shared" si="5"/>
        <v/>
      </c>
      <c r="O93" s="126" t="str">
        <f t="shared" si="6"/>
        <v>-</v>
      </c>
      <c r="P93" s="164"/>
      <c r="Q93" s="164"/>
      <c r="R93" s="164"/>
      <c r="S93" s="164"/>
      <c r="T93" s="164"/>
      <c r="U93" s="164"/>
      <c r="V93" s="164"/>
    </row>
    <row r="94" spans="1:25" ht="27" customHeight="1">
      <c r="A94" s="38" t="str">
        <f>IF(ISBLANK(C94)," ",89-COUNTBLANK($C$6:C94))</f>
        <v xml:space="preserve"> </v>
      </c>
      <c r="B94" s="4"/>
      <c r="C94" s="5"/>
      <c r="D94" s="34"/>
      <c r="E94" s="34"/>
      <c r="F94" s="6"/>
      <c r="G94" s="6"/>
      <c r="H94" s="7"/>
      <c r="I94" s="7"/>
      <c r="J94" s="2"/>
      <c r="K94" s="2"/>
      <c r="L94" s="2"/>
      <c r="M94" s="8"/>
      <c r="N94" s="163" t="str">
        <f t="shared" si="5"/>
        <v/>
      </c>
      <c r="O94" s="126" t="str">
        <f t="shared" si="6"/>
        <v>-</v>
      </c>
      <c r="P94" s="164"/>
      <c r="Q94" s="164"/>
      <c r="R94" s="164"/>
      <c r="S94" s="164"/>
      <c r="T94" s="164"/>
      <c r="U94" s="164"/>
      <c r="V94" s="164"/>
    </row>
    <row r="95" spans="1:25" ht="27" customHeight="1">
      <c r="A95" s="38" t="str">
        <f>IF(ISBLANK(C95)," ",90-COUNTBLANK($C$6:C95))</f>
        <v xml:space="preserve"> </v>
      </c>
      <c r="B95" s="4"/>
      <c r="C95" s="5"/>
      <c r="D95" s="34"/>
      <c r="E95" s="34"/>
      <c r="F95" s="6"/>
      <c r="G95" s="6"/>
      <c r="H95" s="7"/>
      <c r="I95" s="7"/>
      <c r="J95" s="2"/>
      <c r="K95" s="2"/>
      <c r="L95" s="2"/>
      <c r="M95" s="8"/>
      <c r="N95" s="163" t="str">
        <f t="shared" si="5"/>
        <v/>
      </c>
      <c r="O95" s="126" t="str">
        <f t="shared" si="6"/>
        <v>-</v>
      </c>
      <c r="P95" s="164"/>
      <c r="Q95" s="164"/>
      <c r="R95" s="164"/>
      <c r="S95" s="164"/>
      <c r="T95" s="164"/>
      <c r="U95" s="164"/>
      <c r="V95" s="164"/>
    </row>
    <row r="96" spans="1:25" ht="27" customHeight="1">
      <c r="A96" s="38" t="str">
        <f>IF(ISBLANK(C96)," ",91-COUNTBLANK($C$6:C96))</f>
        <v xml:space="preserve"> </v>
      </c>
      <c r="B96" s="4"/>
      <c r="C96" s="5"/>
      <c r="D96" s="34"/>
      <c r="E96" s="34"/>
      <c r="F96" s="6"/>
      <c r="G96" s="6"/>
      <c r="H96" s="7"/>
      <c r="I96" s="7"/>
      <c r="J96" s="2"/>
      <c r="K96" s="2"/>
      <c r="L96" s="2"/>
      <c r="M96" s="8"/>
      <c r="N96" s="163" t="str">
        <f t="shared" si="5"/>
        <v/>
      </c>
      <c r="O96" s="126" t="str">
        <f t="shared" si="6"/>
        <v>-</v>
      </c>
      <c r="P96" s="164"/>
      <c r="Q96" s="164"/>
      <c r="R96" s="164"/>
      <c r="S96" s="164"/>
      <c r="T96" s="164"/>
      <c r="U96" s="164"/>
      <c r="V96" s="164"/>
    </row>
    <row r="97" spans="1:25" ht="27" customHeight="1">
      <c r="A97" s="38" t="str">
        <f>IF(ISBLANK(C97)," ",92-COUNTBLANK($C$6:C97))</f>
        <v xml:space="preserve"> </v>
      </c>
      <c r="B97" s="4"/>
      <c r="C97" s="5"/>
      <c r="D97" s="34"/>
      <c r="E97" s="34"/>
      <c r="F97" s="6"/>
      <c r="G97" s="6"/>
      <c r="H97" s="7"/>
      <c r="I97" s="7"/>
      <c r="J97" s="2"/>
      <c r="K97" s="2"/>
      <c r="L97" s="2"/>
      <c r="M97" s="8"/>
      <c r="N97" s="163" t="str">
        <f t="shared" si="5"/>
        <v/>
      </c>
      <c r="O97" s="126" t="str">
        <f t="shared" si="6"/>
        <v>-</v>
      </c>
      <c r="P97" s="164"/>
      <c r="Q97" s="164"/>
      <c r="R97" s="164"/>
      <c r="S97" s="164"/>
      <c r="T97" s="164"/>
      <c r="U97" s="164"/>
      <c r="V97" s="164"/>
    </row>
    <row r="98" spans="1:25" ht="27" customHeight="1">
      <c r="A98" s="38" t="str">
        <f>IF(ISBLANK(C98)," ",93-COUNTBLANK($C$6:C98))</f>
        <v xml:space="preserve"> </v>
      </c>
      <c r="B98" s="4"/>
      <c r="C98" s="5"/>
      <c r="D98" s="34"/>
      <c r="E98" s="34"/>
      <c r="F98" s="6"/>
      <c r="G98" s="6"/>
      <c r="H98" s="7"/>
      <c r="I98" s="7"/>
      <c r="J98" s="2"/>
      <c r="K98" s="2"/>
      <c r="L98" s="2"/>
      <c r="M98" s="8"/>
      <c r="N98" s="163" t="str">
        <f t="shared" si="5"/>
        <v/>
      </c>
      <c r="O98" s="126" t="str">
        <f t="shared" si="6"/>
        <v>-</v>
      </c>
      <c r="P98" s="164"/>
      <c r="Q98" s="164"/>
      <c r="R98" s="164"/>
      <c r="S98" s="164"/>
      <c r="T98" s="164"/>
      <c r="U98" s="164"/>
      <c r="V98" s="164"/>
    </row>
    <row r="99" spans="1:25" ht="27" customHeight="1">
      <c r="A99" s="38" t="str">
        <f>IF(ISBLANK(C99)," ",94-COUNTBLANK($C$6:C99))</f>
        <v xml:space="preserve"> </v>
      </c>
      <c r="B99" s="4"/>
      <c r="C99" s="5"/>
      <c r="D99" s="34"/>
      <c r="E99" s="34"/>
      <c r="F99" s="6"/>
      <c r="G99" s="6"/>
      <c r="H99" s="7"/>
      <c r="I99" s="7"/>
      <c r="J99" s="2"/>
      <c r="K99" s="2"/>
      <c r="L99" s="2"/>
      <c r="M99" s="8"/>
      <c r="N99" s="163" t="str">
        <f t="shared" si="5"/>
        <v/>
      </c>
      <c r="O99" s="126" t="str">
        <f t="shared" si="6"/>
        <v>-</v>
      </c>
      <c r="P99" s="164"/>
      <c r="Q99" s="164"/>
      <c r="R99" s="164"/>
      <c r="S99" s="164"/>
      <c r="T99" s="164"/>
      <c r="U99" s="164"/>
      <c r="V99" s="164"/>
    </row>
    <row r="100" spans="1:25" ht="27" customHeight="1">
      <c r="A100" s="38" t="str">
        <f>IF(ISBLANK(C100)," ",95-COUNTBLANK($C$6:C100))</f>
        <v xml:space="preserve"> </v>
      </c>
      <c r="B100" s="4"/>
      <c r="C100" s="5"/>
      <c r="D100" s="34"/>
      <c r="E100" s="34"/>
      <c r="F100" s="6"/>
      <c r="G100" s="6"/>
      <c r="H100" s="7"/>
      <c r="I100" s="7"/>
      <c r="J100" s="2"/>
      <c r="K100" s="2"/>
      <c r="L100" s="2"/>
      <c r="M100" s="8"/>
      <c r="N100" s="163" t="str">
        <f t="shared" si="5"/>
        <v/>
      </c>
      <c r="O100" s="126" t="str">
        <f t="shared" si="6"/>
        <v>-</v>
      </c>
      <c r="P100" s="164"/>
      <c r="Q100" s="164"/>
      <c r="R100" s="164"/>
      <c r="S100" s="164"/>
      <c r="T100" s="164"/>
      <c r="U100" s="164"/>
      <c r="V100" s="164"/>
    </row>
    <row r="101" spans="1:25" ht="27" customHeight="1">
      <c r="A101" s="38" t="str">
        <f>IF(ISBLANK(C101)," ",96-COUNTBLANK($C$6:C101))</f>
        <v xml:space="preserve"> </v>
      </c>
      <c r="B101" s="4"/>
      <c r="C101" s="5"/>
      <c r="D101" s="34"/>
      <c r="E101" s="34"/>
      <c r="F101" s="6"/>
      <c r="G101" s="6"/>
      <c r="H101" s="7"/>
      <c r="I101" s="7"/>
      <c r="J101" s="2"/>
      <c r="K101" s="2"/>
      <c r="L101" s="2"/>
      <c r="M101" s="8"/>
      <c r="N101" s="163" t="str">
        <f t="shared" si="5"/>
        <v/>
      </c>
      <c r="O101" s="126" t="str">
        <f t="shared" si="6"/>
        <v>-</v>
      </c>
      <c r="P101" s="164"/>
      <c r="Q101" s="164"/>
      <c r="R101" s="164"/>
      <c r="S101" s="164"/>
      <c r="T101" s="164"/>
      <c r="U101" s="164"/>
      <c r="V101" s="164"/>
    </row>
    <row r="102" spans="1:25" ht="27" customHeight="1">
      <c r="A102" s="38" t="str">
        <f>IF(ISBLANK(C102)," ",97-COUNTBLANK($C$6:C102))</f>
        <v xml:space="preserve"> </v>
      </c>
      <c r="B102" s="4"/>
      <c r="C102" s="5"/>
      <c r="D102" s="34"/>
      <c r="E102" s="34"/>
      <c r="F102" s="6"/>
      <c r="G102" s="6"/>
      <c r="H102" s="7"/>
      <c r="I102" s="7"/>
      <c r="J102" s="2"/>
      <c r="K102" s="2"/>
      <c r="L102" s="2"/>
      <c r="M102" s="8"/>
      <c r="N102" s="163" t="str">
        <f t="shared" si="5"/>
        <v/>
      </c>
      <c r="O102" s="126" t="str">
        <f t="shared" si="6"/>
        <v>-</v>
      </c>
      <c r="P102" s="164"/>
      <c r="Q102" s="164"/>
      <c r="R102" s="164"/>
      <c r="S102" s="164"/>
      <c r="T102" s="164"/>
      <c r="U102" s="164"/>
      <c r="V102" s="164"/>
    </row>
    <row r="103" spans="1:25" ht="27" customHeight="1">
      <c r="A103" s="38" t="str">
        <f>IF(ISBLANK(C103)," ",98-COUNTBLANK($C$6:C103))</f>
        <v xml:space="preserve"> </v>
      </c>
      <c r="B103" s="4"/>
      <c r="C103" s="5"/>
      <c r="D103" s="34"/>
      <c r="E103" s="34"/>
      <c r="F103" s="6"/>
      <c r="G103" s="6"/>
      <c r="H103" s="7"/>
      <c r="I103" s="7"/>
      <c r="J103" s="2"/>
      <c r="K103" s="2"/>
      <c r="L103" s="2"/>
      <c r="M103" s="8"/>
      <c r="N103" s="163" t="str">
        <f t="shared" si="5"/>
        <v/>
      </c>
      <c r="O103" s="126" t="str">
        <f t="shared" si="6"/>
        <v>-</v>
      </c>
      <c r="P103" s="164"/>
      <c r="Q103" s="164"/>
      <c r="R103" s="164"/>
      <c r="S103" s="164"/>
      <c r="T103" s="164"/>
      <c r="U103" s="164"/>
      <c r="V103" s="164"/>
    </row>
    <row r="104" spans="1:25" ht="27" customHeight="1">
      <c r="A104" s="38" t="str">
        <f>IF(ISBLANK(C104)," ",99-COUNTBLANK($C$6:C104))</f>
        <v xml:space="preserve"> </v>
      </c>
      <c r="B104" s="4"/>
      <c r="C104" s="5"/>
      <c r="D104" s="34"/>
      <c r="E104" s="34"/>
      <c r="F104" s="6"/>
      <c r="G104" s="6"/>
      <c r="H104" s="7"/>
      <c r="I104" s="7"/>
      <c r="J104" s="2"/>
      <c r="K104" s="2"/>
      <c r="L104" s="2"/>
      <c r="M104" s="8"/>
      <c r="N104" s="163" t="str">
        <f t="shared" si="5"/>
        <v/>
      </c>
      <c r="O104" s="126" t="str">
        <f t="shared" si="6"/>
        <v>-</v>
      </c>
      <c r="P104" s="164"/>
      <c r="Q104" s="164"/>
      <c r="R104" s="164"/>
      <c r="S104" s="164"/>
      <c r="T104" s="164"/>
      <c r="U104" s="164"/>
      <c r="V104" s="164"/>
    </row>
    <row r="105" spans="1:25" ht="27" customHeight="1">
      <c r="A105" s="38" t="str">
        <f>IF(ISBLANK(C105)," ",100-COUNTBLANK($C$6:C105))</f>
        <v xml:space="preserve"> </v>
      </c>
      <c r="B105" s="4"/>
      <c r="C105" s="5"/>
      <c r="D105" s="34"/>
      <c r="E105" s="34"/>
      <c r="F105" s="6"/>
      <c r="G105" s="6"/>
      <c r="H105" s="7"/>
      <c r="I105" s="7"/>
      <c r="J105" s="2"/>
      <c r="K105" s="2"/>
      <c r="L105" s="2"/>
      <c r="M105" s="8"/>
      <c r="N105" s="163" t="str">
        <f t="shared" si="5"/>
        <v/>
      </c>
      <c r="O105" s="126" t="str">
        <f t="shared" si="6"/>
        <v>-</v>
      </c>
      <c r="P105" s="164"/>
      <c r="Q105" s="164"/>
      <c r="R105" s="164"/>
      <c r="S105" s="164"/>
      <c r="T105" s="164"/>
      <c r="U105" s="164"/>
      <c r="V105" s="165"/>
    </row>
    <row r="106" spans="1:25" ht="27" customHeight="1">
      <c r="A106" s="38" t="str">
        <f>IF(ISBLANK(C106)," ",101-COUNTBLANK($C$6:C106))</f>
        <v xml:space="preserve"> </v>
      </c>
      <c r="B106" s="4"/>
      <c r="C106" s="5"/>
      <c r="D106" s="34"/>
      <c r="E106" s="34"/>
      <c r="F106" s="6"/>
      <c r="G106" s="6"/>
      <c r="H106" s="7"/>
      <c r="I106" s="7"/>
      <c r="J106" s="2"/>
      <c r="K106" s="2"/>
      <c r="L106" s="2"/>
      <c r="M106" s="8"/>
      <c r="N106" s="163" t="str">
        <f t="shared" si="5"/>
        <v/>
      </c>
      <c r="O106" s="126" t="str">
        <f t="shared" si="6"/>
        <v>-</v>
      </c>
      <c r="P106" s="164"/>
      <c r="Q106" s="164"/>
      <c r="R106" s="164"/>
      <c r="S106" s="164"/>
      <c r="T106" s="164"/>
      <c r="U106" s="164"/>
      <c r="V106" s="165"/>
    </row>
    <row r="107" spans="1:25" ht="27" customHeight="1">
      <c r="A107" s="38" t="str">
        <f>IF(ISBLANK(C107)," ",102-COUNTBLANK($C$6:C107))</f>
        <v xml:space="preserve"> </v>
      </c>
      <c r="B107" s="4"/>
      <c r="C107" s="5"/>
      <c r="D107" s="34"/>
      <c r="E107" s="34"/>
      <c r="F107" s="6"/>
      <c r="G107" s="6"/>
      <c r="H107" s="7"/>
      <c r="I107" s="7"/>
      <c r="J107" s="2"/>
      <c r="K107" s="2"/>
      <c r="L107" s="2"/>
      <c r="M107" s="8"/>
      <c r="N107" s="163" t="str">
        <f t="shared" si="5"/>
        <v/>
      </c>
      <c r="O107" s="126" t="str">
        <f t="shared" si="6"/>
        <v>-</v>
      </c>
      <c r="P107" s="164"/>
      <c r="Q107" s="164"/>
      <c r="R107" s="164"/>
      <c r="S107" s="164"/>
      <c r="T107" s="164"/>
      <c r="U107" s="164"/>
      <c r="V107" s="165"/>
    </row>
    <row r="108" spans="1:25" ht="27" customHeight="1">
      <c r="A108" s="38" t="str">
        <f>IF(ISBLANK(C108)," ",103-COUNTBLANK($C$6:C108))</f>
        <v xml:space="preserve"> </v>
      </c>
      <c r="B108" s="4"/>
      <c r="C108" s="5"/>
      <c r="D108" s="34"/>
      <c r="E108" s="34"/>
      <c r="F108" s="6"/>
      <c r="G108" s="6"/>
      <c r="H108" s="7"/>
      <c r="I108" s="7"/>
      <c r="J108" s="2"/>
      <c r="K108" s="2"/>
      <c r="L108" s="2"/>
      <c r="M108" s="8"/>
      <c r="N108" s="163" t="str">
        <f t="shared" si="5"/>
        <v/>
      </c>
      <c r="O108" s="126" t="str">
        <f t="shared" si="6"/>
        <v>-</v>
      </c>
      <c r="P108" s="164"/>
      <c r="Q108" s="164"/>
      <c r="R108" s="164"/>
      <c r="S108" s="164"/>
      <c r="T108" s="164"/>
      <c r="U108" s="164"/>
      <c r="V108" s="165"/>
    </row>
    <row r="109" spans="1:25" ht="27" customHeight="1">
      <c r="A109" s="39" t="str">
        <f>IF(ISBLANK(C109)," ",104-COUNTBLANK($C$6:C109))</f>
        <v xml:space="preserve"> </v>
      </c>
      <c r="B109" s="14"/>
      <c r="C109" s="15"/>
      <c r="D109" s="35"/>
      <c r="E109" s="35"/>
      <c r="F109" s="16"/>
      <c r="G109" s="16"/>
      <c r="H109" s="17"/>
      <c r="I109" s="17"/>
      <c r="J109" s="3"/>
      <c r="K109" s="3"/>
      <c r="L109" s="3"/>
      <c r="M109" s="18"/>
      <c r="N109" s="163" t="str">
        <f t="shared" si="5"/>
        <v/>
      </c>
      <c r="O109" s="126" t="str">
        <f t="shared" si="6"/>
        <v>-</v>
      </c>
      <c r="P109" s="164"/>
      <c r="Q109" s="164"/>
      <c r="R109" s="164"/>
      <c r="S109" s="164"/>
      <c r="T109" s="164"/>
      <c r="U109" s="164"/>
      <c r="V109" s="166"/>
      <c r="W109" s="164"/>
      <c r="X109" s="164"/>
      <c r="Y109" s="164"/>
    </row>
    <row r="110" spans="1:25" ht="27" customHeight="1">
      <c r="A110" s="172" t="s">
        <v>44</v>
      </c>
      <c r="B110" s="173"/>
      <c r="C110" s="174"/>
      <c r="D110" s="175"/>
      <c r="E110" s="175">
        <f>SUM(E90:E109)</f>
        <v>0</v>
      </c>
      <c r="F110" s="176"/>
      <c r="G110" s="176"/>
      <c r="H110" s="176"/>
      <c r="I110" s="176"/>
      <c r="J110" s="176"/>
      <c r="K110" s="176"/>
      <c r="L110" s="176"/>
      <c r="M110" s="177"/>
      <c r="N110" s="163" t="str">
        <f t="shared" si="5"/>
        <v/>
      </c>
      <c r="O110" s="126"/>
      <c r="P110" s="164"/>
      <c r="Q110" s="164"/>
      <c r="R110" s="164"/>
      <c r="S110" s="164"/>
      <c r="T110" s="164"/>
      <c r="U110" s="164"/>
      <c r="V110" s="166"/>
      <c r="W110" s="164"/>
      <c r="X110" s="164"/>
      <c r="Y110" s="164"/>
    </row>
    <row r="111" spans="1:25" ht="27" customHeight="1">
      <c r="A111" s="37" t="str">
        <f>IF(ISBLANK(C111)," ",106-COUNTBLANK($C$6:C111))</f>
        <v xml:space="preserve"> </v>
      </c>
      <c r="B111" s="9"/>
      <c r="C111" s="10"/>
      <c r="D111" s="33"/>
      <c r="E111" s="33"/>
      <c r="F111" s="11"/>
      <c r="G111" s="11"/>
      <c r="H111" s="12"/>
      <c r="I111" s="12"/>
      <c r="J111" s="32"/>
      <c r="K111" s="32"/>
      <c r="L111" s="32"/>
      <c r="M111" s="13"/>
      <c r="N111" s="163" t="str">
        <f t="shared" si="5"/>
        <v/>
      </c>
      <c r="O111" s="126" t="str">
        <f>IF(D111&gt;=E111,"-","ERR")</f>
        <v>-</v>
      </c>
      <c r="P111" s="164"/>
      <c r="Q111" s="164"/>
      <c r="R111" s="164"/>
      <c r="S111" s="164"/>
      <c r="T111" s="164"/>
      <c r="U111" s="164"/>
      <c r="V111" s="164"/>
    </row>
    <row r="112" spans="1:25" ht="27" customHeight="1">
      <c r="A112" s="38" t="str">
        <f>IF(ISBLANK(C112)," ",107-COUNTBLANK($C$6:C112))</f>
        <v xml:space="preserve"> </v>
      </c>
      <c r="B112" s="4"/>
      <c r="C112" s="5"/>
      <c r="D112" s="34"/>
      <c r="E112" s="34"/>
      <c r="F112" s="6"/>
      <c r="G112" s="6"/>
      <c r="H112" s="7"/>
      <c r="I112" s="7"/>
      <c r="J112" s="2"/>
      <c r="K112" s="2"/>
      <c r="L112" s="2"/>
      <c r="M112" s="8"/>
      <c r="N112" s="163" t="str">
        <f t="shared" si="5"/>
        <v/>
      </c>
      <c r="O112" s="126" t="str">
        <f t="shared" ref="O112:O130" si="7">IF(D112&gt;=E112,"-","ERR")</f>
        <v>-</v>
      </c>
      <c r="P112" s="164"/>
      <c r="Q112" s="164"/>
      <c r="R112" s="164"/>
      <c r="S112" s="164"/>
      <c r="T112" s="164"/>
      <c r="U112" s="164"/>
      <c r="V112" s="164"/>
    </row>
    <row r="113" spans="1:22" ht="27" customHeight="1">
      <c r="A113" s="38" t="str">
        <f>IF(ISBLANK(C113)," ",108-COUNTBLANK($C$6:C113))</f>
        <v xml:space="preserve"> </v>
      </c>
      <c r="B113" s="4"/>
      <c r="C113" s="5"/>
      <c r="D113" s="34"/>
      <c r="E113" s="34"/>
      <c r="F113" s="6"/>
      <c r="G113" s="6"/>
      <c r="H113" s="7"/>
      <c r="I113" s="7"/>
      <c r="J113" s="2"/>
      <c r="K113" s="2"/>
      <c r="L113" s="2"/>
      <c r="M113" s="8"/>
      <c r="N113" s="163" t="str">
        <f t="shared" si="5"/>
        <v/>
      </c>
      <c r="O113" s="126" t="str">
        <f t="shared" si="7"/>
        <v>-</v>
      </c>
      <c r="P113" s="164"/>
      <c r="Q113" s="164"/>
      <c r="R113" s="164"/>
      <c r="S113" s="164"/>
      <c r="T113" s="164"/>
      <c r="U113" s="164"/>
      <c r="V113" s="164"/>
    </row>
    <row r="114" spans="1:22" ht="27" customHeight="1">
      <c r="A114" s="38" t="str">
        <f>IF(ISBLANK(C114)," ",109-COUNTBLANK($C$6:C114))</f>
        <v xml:space="preserve"> </v>
      </c>
      <c r="B114" s="4"/>
      <c r="C114" s="5"/>
      <c r="D114" s="34"/>
      <c r="E114" s="34"/>
      <c r="F114" s="6"/>
      <c r="G114" s="6"/>
      <c r="H114" s="7"/>
      <c r="I114" s="7"/>
      <c r="J114" s="2"/>
      <c r="K114" s="2"/>
      <c r="L114" s="2"/>
      <c r="M114" s="8"/>
      <c r="N114" s="163" t="str">
        <f t="shared" si="5"/>
        <v/>
      </c>
      <c r="O114" s="126" t="str">
        <f t="shared" si="7"/>
        <v>-</v>
      </c>
      <c r="P114" s="164"/>
      <c r="Q114" s="164"/>
      <c r="R114" s="164"/>
      <c r="S114" s="164"/>
      <c r="T114" s="164"/>
      <c r="U114" s="164"/>
      <c r="V114" s="164"/>
    </row>
    <row r="115" spans="1:22" ht="27" customHeight="1">
      <c r="A115" s="38" t="str">
        <f>IF(ISBLANK(C115)," ",110-COUNTBLANK($C$6:C115))</f>
        <v xml:space="preserve"> </v>
      </c>
      <c r="B115" s="4"/>
      <c r="C115" s="5"/>
      <c r="D115" s="34"/>
      <c r="E115" s="34"/>
      <c r="F115" s="6"/>
      <c r="G115" s="6"/>
      <c r="H115" s="7"/>
      <c r="I115" s="7"/>
      <c r="J115" s="2"/>
      <c r="K115" s="2"/>
      <c r="L115" s="2"/>
      <c r="M115" s="8"/>
      <c r="N115" s="163" t="str">
        <f t="shared" si="5"/>
        <v/>
      </c>
      <c r="O115" s="126" t="str">
        <f t="shared" si="7"/>
        <v>-</v>
      </c>
      <c r="P115" s="164"/>
      <c r="Q115" s="164"/>
      <c r="R115" s="164"/>
      <c r="S115" s="164"/>
      <c r="T115" s="164"/>
      <c r="U115" s="164"/>
      <c r="V115" s="164"/>
    </row>
    <row r="116" spans="1:22" ht="27" customHeight="1">
      <c r="A116" s="38" t="str">
        <f>IF(ISBLANK(C116)," ",111-COUNTBLANK($C$6:C116))</f>
        <v xml:space="preserve"> </v>
      </c>
      <c r="B116" s="4"/>
      <c r="C116" s="5"/>
      <c r="D116" s="34"/>
      <c r="E116" s="34"/>
      <c r="F116" s="6"/>
      <c r="G116" s="6"/>
      <c r="H116" s="7"/>
      <c r="I116" s="7"/>
      <c r="J116" s="2"/>
      <c r="K116" s="2"/>
      <c r="L116" s="2"/>
      <c r="M116" s="8"/>
      <c r="N116" s="163" t="str">
        <f t="shared" si="5"/>
        <v/>
      </c>
      <c r="O116" s="126" t="str">
        <f t="shared" si="7"/>
        <v>-</v>
      </c>
      <c r="P116" s="164"/>
      <c r="Q116" s="164"/>
      <c r="R116" s="164"/>
      <c r="S116" s="164"/>
      <c r="T116" s="164"/>
      <c r="U116" s="164"/>
      <c r="V116" s="164"/>
    </row>
    <row r="117" spans="1:22" ht="27" customHeight="1">
      <c r="A117" s="38" t="str">
        <f>IF(ISBLANK(C117)," ",112-COUNTBLANK($C$6:C117))</f>
        <v xml:space="preserve"> </v>
      </c>
      <c r="B117" s="4"/>
      <c r="C117" s="5"/>
      <c r="D117" s="34"/>
      <c r="E117" s="34"/>
      <c r="F117" s="6"/>
      <c r="G117" s="6"/>
      <c r="H117" s="7"/>
      <c r="I117" s="7"/>
      <c r="J117" s="2"/>
      <c r="K117" s="2"/>
      <c r="L117" s="2"/>
      <c r="M117" s="8"/>
      <c r="N117" s="163" t="str">
        <f t="shared" si="5"/>
        <v/>
      </c>
      <c r="O117" s="126" t="str">
        <f t="shared" si="7"/>
        <v>-</v>
      </c>
      <c r="P117" s="164"/>
      <c r="Q117" s="164"/>
      <c r="R117" s="164"/>
      <c r="S117" s="164"/>
      <c r="T117" s="164"/>
      <c r="U117" s="164"/>
      <c r="V117" s="164"/>
    </row>
    <row r="118" spans="1:22" ht="27" customHeight="1">
      <c r="A118" s="38" t="str">
        <f>IF(ISBLANK(C118)," ",113-COUNTBLANK($C$6:C118))</f>
        <v xml:space="preserve"> </v>
      </c>
      <c r="B118" s="4"/>
      <c r="C118" s="5"/>
      <c r="D118" s="34"/>
      <c r="E118" s="34"/>
      <c r="F118" s="6"/>
      <c r="G118" s="6"/>
      <c r="H118" s="7"/>
      <c r="I118" s="7"/>
      <c r="J118" s="2"/>
      <c r="K118" s="2"/>
      <c r="L118" s="2"/>
      <c r="M118" s="8"/>
      <c r="N118" s="163" t="str">
        <f t="shared" si="5"/>
        <v/>
      </c>
      <c r="O118" s="126" t="str">
        <f t="shared" si="7"/>
        <v>-</v>
      </c>
      <c r="P118" s="164"/>
      <c r="Q118" s="164"/>
      <c r="R118" s="164"/>
      <c r="S118" s="164"/>
      <c r="T118" s="164"/>
      <c r="U118" s="164"/>
      <c r="V118" s="164"/>
    </row>
    <row r="119" spans="1:22" ht="27" customHeight="1">
      <c r="A119" s="38" t="str">
        <f>IF(ISBLANK(C119)," ",114-COUNTBLANK($C$6:C119))</f>
        <v xml:space="preserve"> </v>
      </c>
      <c r="B119" s="4"/>
      <c r="C119" s="5"/>
      <c r="D119" s="34"/>
      <c r="E119" s="34"/>
      <c r="F119" s="6"/>
      <c r="G119" s="6"/>
      <c r="H119" s="7"/>
      <c r="I119" s="7"/>
      <c r="J119" s="2"/>
      <c r="K119" s="2"/>
      <c r="L119" s="2"/>
      <c r="M119" s="8"/>
      <c r="N119" s="163" t="str">
        <f t="shared" si="5"/>
        <v/>
      </c>
      <c r="O119" s="126" t="str">
        <f t="shared" si="7"/>
        <v>-</v>
      </c>
      <c r="P119" s="164"/>
      <c r="Q119" s="164"/>
      <c r="R119" s="164"/>
      <c r="S119" s="164"/>
      <c r="T119" s="164"/>
      <c r="U119" s="164"/>
      <c r="V119" s="164"/>
    </row>
    <row r="120" spans="1:22" ht="27" customHeight="1">
      <c r="A120" s="38" t="str">
        <f>IF(ISBLANK(C120)," ",115-COUNTBLANK($C$6:C120))</f>
        <v xml:space="preserve"> </v>
      </c>
      <c r="B120" s="4"/>
      <c r="C120" s="5"/>
      <c r="D120" s="34"/>
      <c r="E120" s="34"/>
      <c r="F120" s="6"/>
      <c r="G120" s="6"/>
      <c r="H120" s="7"/>
      <c r="I120" s="7"/>
      <c r="J120" s="2"/>
      <c r="K120" s="2"/>
      <c r="L120" s="2"/>
      <c r="M120" s="8"/>
      <c r="N120" s="163" t="str">
        <f t="shared" si="5"/>
        <v/>
      </c>
      <c r="O120" s="126" t="str">
        <f t="shared" si="7"/>
        <v>-</v>
      </c>
      <c r="P120" s="164"/>
      <c r="Q120" s="164"/>
      <c r="R120" s="164"/>
      <c r="S120" s="164"/>
      <c r="T120" s="164"/>
      <c r="U120" s="164"/>
      <c r="V120" s="164"/>
    </row>
    <row r="121" spans="1:22" ht="27" customHeight="1">
      <c r="A121" s="38" t="str">
        <f>IF(ISBLANK(C121)," ",116-COUNTBLANK($C$6:C121))</f>
        <v xml:space="preserve"> </v>
      </c>
      <c r="B121" s="4"/>
      <c r="C121" s="5"/>
      <c r="D121" s="34"/>
      <c r="E121" s="34"/>
      <c r="F121" s="6"/>
      <c r="G121" s="6"/>
      <c r="H121" s="7"/>
      <c r="I121" s="7"/>
      <c r="J121" s="2"/>
      <c r="K121" s="2"/>
      <c r="L121" s="2"/>
      <c r="M121" s="8"/>
      <c r="N121" s="163" t="str">
        <f t="shared" si="5"/>
        <v/>
      </c>
      <c r="O121" s="126" t="str">
        <f t="shared" si="7"/>
        <v>-</v>
      </c>
      <c r="P121" s="164"/>
      <c r="Q121" s="164"/>
      <c r="R121" s="164"/>
      <c r="S121" s="164"/>
      <c r="T121" s="164"/>
      <c r="U121" s="164"/>
      <c r="V121" s="164"/>
    </row>
    <row r="122" spans="1:22" ht="27" customHeight="1">
      <c r="A122" s="38" t="str">
        <f>IF(ISBLANK(C122)," ",117-COUNTBLANK($C$6:C122))</f>
        <v xml:space="preserve"> </v>
      </c>
      <c r="B122" s="4"/>
      <c r="C122" s="5"/>
      <c r="D122" s="34"/>
      <c r="E122" s="34"/>
      <c r="F122" s="6"/>
      <c r="G122" s="6"/>
      <c r="H122" s="7"/>
      <c r="I122" s="7"/>
      <c r="J122" s="2"/>
      <c r="K122" s="2"/>
      <c r="L122" s="2"/>
      <c r="M122" s="8"/>
      <c r="N122" s="163" t="str">
        <f t="shared" si="5"/>
        <v/>
      </c>
      <c r="O122" s="126" t="str">
        <f t="shared" si="7"/>
        <v>-</v>
      </c>
      <c r="P122" s="164"/>
      <c r="Q122" s="164"/>
      <c r="R122" s="164"/>
      <c r="S122" s="164"/>
      <c r="T122" s="164"/>
      <c r="U122" s="164"/>
      <c r="V122" s="164"/>
    </row>
    <row r="123" spans="1:22" ht="27" customHeight="1">
      <c r="A123" s="38" t="str">
        <f>IF(ISBLANK(C123)," ",118-COUNTBLANK($C$6:C123))</f>
        <v xml:space="preserve"> </v>
      </c>
      <c r="B123" s="4"/>
      <c r="C123" s="5"/>
      <c r="D123" s="34"/>
      <c r="E123" s="34"/>
      <c r="F123" s="6"/>
      <c r="G123" s="6"/>
      <c r="H123" s="7"/>
      <c r="I123" s="7"/>
      <c r="J123" s="2"/>
      <c r="K123" s="2"/>
      <c r="L123" s="2"/>
      <c r="M123" s="8"/>
      <c r="N123" s="163" t="str">
        <f t="shared" si="5"/>
        <v/>
      </c>
      <c r="O123" s="126" t="str">
        <f t="shared" si="7"/>
        <v>-</v>
      </c>
      <c r="P123" s="164"/>
      <c r="Q123" s="164"/>
      <c r="R123" s="164"/>
      <c r="S123" s="164"/>
      <c r="T123" s="164"/>
      <c r="U123" s="164"/>
      <c r="V123" s="164"/>
    </row>
    <row r="124" spans="1:22" ht="27" customHeight="1">
      <c r="A124" s="38" t="str">
        <f>IF(ISBLANK(C124)," ",119-COUNTBLANK($C$6:C124))</f>
        <v xml:space="preserve"> </v>
      </c>
      <c r="B124" s="4"/>
      <c r="C124" s="5"/>
      <c r="D124" s="34"/>
      <c r="E124" s="34"/>
      <c r="F124" s="6"/>
      <c r="G124" s="6"/>
      <c r="H124" s="7"/>
      <c r="I124" s="7"/>
      <c r="J124" s="2"/>
      <c r="K124" s="2"/>
      <c r="L124" s="2"/>
      <c r="M124" s="8"/>
      <c r="N124" s="163" t="str">
        <f t="shared" si="5"/>
        <v/>
      </c>
      <c r="O124" s="126" t="str">
        <f t="shared" si="7"/>
        <v>-</v>
      </c>
      <c r="P124" s="164"/>
      <c r="Q124" s="164"/>
      <c r="R124" s="164"/>
      <c r="S124" s="164"/>
      <c r="T124" s="164"/>
      <c r="U124" s="164"/>
      <c r="V124" s="164"/>
    </row>
    <row r="125" spans="1:22" ht="27" customHeight="1">
      <c r="A125" s="38" t="str">
        <f>IF(ISBLANK(C125)," ",120-COUNTBLANK($C$6:C125))</f>
        <v xml:space="preserve"> </v>
      </c>
      <c r="B125" s="4"/>
      <c r="C125" s="5"/>
      <c r="D125" s="34"/>
      <c r="E125" s="34"/>
      <c r="F125" s="6"/>
      <c r="G125" s="6"/>
      <c r="H125" s="7"/>
      <c r="I125" s="7"/>
      <c r="J125" s="2"/>
      <c r="K125" s="2"/>
      <c r="L125" s="2"/>
      <c r="M125" s="8"/>
      <c r="N125" s="163" t="str">
        <f t="shared" si="5"/>
        <v/>
      </c>
      <c r="O125" s="126" t="str">
        <f t="shared" si="7"/>
        <v>-</v>
      </c>
      <c r="P125" s="164"/>
      <c r="Q125" s="164"/>
      <c r="R125" s="164"/>
      <c r="S125" s="164"/>
      <c r="T125" s="164"/>
      <c r="U125" s="164"/>
      <c r="V125" s="164"/>
    </row>
    <row r="126" spans="1:22" ht="27" customHeight="1">
      <c r="A126" s="38" t="str">
        <f>IF(ISBLANK(C126)," ",121-COUNTBLANK($C$6:C126))</f>
        <v xml:space="preserve"> </v>
      </c>
      <c r="B126" s="4"/>
      <c r="C126" s="5"/>
      <c r="D126" s="34"/>
      <c r="E126" s="34"/>
      <c r="F126" s="6"/>
      <c r="G126" s="6"/>
      <c r="H126" s="7"/>
      <c r="I126" s="7"/>
      <c r="J126" s="2"/>
      <c r="K126" s="2"/>
      <c r="L126" s="2"/>
      <c r="M126" s="8"/>
      <c r="N126" s="163" t="str">
        <f t="shared" si="5"/>
        <v/>
      </c>
      <c r="O126" s="126" t="str">
        <f t="shared" si="7"/>
        <v>-</v>
      </c>
      <c r="P126" s="164"/>
      <c r="Q126" s="164"/>
      <c r="R126" s="164"/>
      <c r="S126" s="164"/>
      <c r="T126" s="164"/>
      <c r="U126" s="164"/>
      <c r="V126" s="165"/>
    </row>
    <row r="127" spans="1:22" ht="27" customHeight="1">
      <c r="A127" s="38" t="str">
        <f>IF(ISBLANK(C127)," ",122-COUNTBLANK($C$6:C127))</f>
        <v xml:space="preserve"> </v>
      </c>
      <c r="B127" s="4"/>
      <c r="C127" s="5"/>
      <c r="D127" s="34"/>
      <c r="E127" s="34"/>
      <c r="F127" s="6"/>
      <c r="G127" s="6"/>
      <c r="H127" s="7"/>
      <c r="I127" s="7"/>
      <c r="J127" s="2"/>
      <c r="K127" s="2"/>
      <c r="L127" s="2"/>
      <c r="M127" s="8"/>
      <c r="N127" s="163" t="str">
        <f t="shared" si="5"/>
        <v/>
      </c>
      <c r="O127" s="126" t="str">
        <f t="shared" si="7"/>
        <v>-</v>
      </c>
      <c r="P127" s="164"/>
      <c r="Q127" s="164"/>
      <c r="R127" s="164"/>
      <c r="S127" s="164"/>
      <c r="T127" s="164"/>
      <c r="U127" s="164"/>
      <c r="V127" s="165"/>
    </row>
    <row r="128" spans="1:22" ht="27" customHeight="1">
      <c r="A128" s="38" t="str">
        <f>IF(ISBLANK(C128)," ",123-COUNTBLANK($C$6:C128))</f>
        <v xml:space="preserve"> </v>
      </c>
      <c r="B128" s="4"/>
      <c r="C128" s="5"/>
      <c r="D128" s="34"/>
      <c r="E128" s="34"/>
      <c r="F128" s="6"/>
      <c r="G128" s="6"/>
      <c r="H128" s="7"/>
      <c r="I128" s="7"/>
      <c r="J128" s="2"/>
      <c r="K128" s="2"/>
      <c r="L128" s="2"/>
      <c r="M128" s="8"/>
      <c r="N128" s="163" t="str">
        <f t="shared" si="5"/>
        <v/>
      </c>
      <c r="O128" s="126" t="str">
        <f t="shared" si="7"/>
        <v>-</v>
      </c>
      <c r="P128" s="164"/>
      <c r="Q128" s="164"/>
      <c r="R128" s="164"/>
      <c r="S128" s="164"/>
      <c r="T128" s="164"/>
      <c r="U128" s="164"/>
      <c r="V128" s="165"/>
    </row>
    <row r="129" spans="1:25" ht="27" customHeight="1">
      <c r="A129" s="38" t="str">
        <f>IF(ISBLANK(C129)," ",124-COUNTBLANK($C$6:C129))</f>
        <v xml:space="preserve"> </v>
      </c>
      <c r="B129" s="4"/>
      <c r="C129" s="5"/>
      <c r="D129" s="34"/>
      <c r="E129" s="34"/>
      <c r="F129" s="6"/>
      <c r="G129" s="6"/>
      <c r="H129" s="7"/>
      <c r="I129" s="7"/>
      <c r="J129" s="2"/>
      <c r="K129" s="2"/>
      <c r="L129" s="2"/>
      <c r="M129" s="8"/>
      <c r="N129" s="163" t="str">
        <f t="shared" si="5"/>
        <v/>
      </c>
      <c r="O129" s="126" t="str">
        <f t="shared" si="7"/>
        <v>-</v>
      </c>
      <c r="P129" s="164"/>
      <c r="Q129" s="164"/>
      <c r="R129" s="164"/>
      <c r="S129" s="164"/>
      <c r="T129" s="164"/>
      <c r="U129" s="164"/>
      <c r="V129" s="165"/>
    </row>
    <row r="130" spans="1:25" ht="27" customHeight="1">
      <c r="A130" s="39" t="str">
        <f>IF(ISBLANK(C130)," ",125-COUNTBLANK($C$6:C130))</f>
        <v xml:space="preserve"> </v>
      </c>
      <c r="B130" s="14"/>
      <c r="C130" s="15"/>
      <c r="D130" s="35"/>
      <c r="E130" s="35"/>
      <c r="F130" s="16"/>
      <c r="G130" s="16"/>
      <c r="H130" s="17"/>
      <c r="I130" s="17"/>
      <c r="J130" s="3"/>
      <c r="K130" s="3"/>
      <c r="L130" s="3"/>
      <c r="M130" s="18"/>
      <c r="N130" s="163" t="str">
        <f t="shared" si="5"/>
        <v/>
      </c>
      <c r="O130" s="126" t="str">
        <f t="shared" si="7"/>
        <v>-</v>
      </c>
      <c r="P130" s="164"/>
      <c r="Q130" s="164"/>
      <c r="R130" s="164"/>
      <c r="S130" s="164"/>
      <c r="T130" s="164"/>
      <c r="U130" s="164"/>
      <c r="V130" s="166"/>
      <c r="W130" s="164"/>
      <c r="X130" s="164"/>
      <c r="Y130" s="164"/>
    </row>
    <row r="131" spans="1:25" ht="27" customHeight="1">
      <c r="A131" s="172" t="s">
        <v>44</v>
      </c>
      <c r="B131" s="173"/>
      <c r="C131" s="174"/>
      <c r="D131" s="175"/>
      <c r="E131" s="175">
        <f>SUM(E111:E130)</f>
        <v>0</v>
      </c>
      <c r="F131" s="176"/>
      <c r="G131" s="176"/>
      <c r="H131" s="176"/>
      <c r="I131" s="176"/>
      <c r="J131" s="176"/>
      <c r="K131" s="176"/>
      <c r="L131" s="176"/>
      <c r="M131" s="177"/>
      <c r="N131" s="163" t="str">
        <f t="shared" si="5"/>
        <v/>
      </c>
      <c r="O131" s="126"/>
      <c r="P131" s="164"/>
      <c r="Q131" s="164"/>
      <c r="R131" s="164"/>
      <c r="S131" s="164"/>
      <c r="T131" s="164"/>
      <c r="U131" s="164"/>
      <c r="V131" s="166"/>
      <c r="W131" s="164"/>
      <c r="X131" s="164"/>
      <c r="Y131" s="164"/>
    </row>
    <row r="132" spans="1:25" ht="27" customHeight="1">
      <c r="A132" s="37" t="str">
        <f>IF(ISBLANK(C132)," ",127-COUNTBLANK($C$6:C132))</f>
        <v xml:space="preserve"> </v>
      </c>
      <c r="B132" s="9"/>
      <c r="C132" s="10"/>
      <c r="D132" s="33"/>
      <c r="E132" s="33"/>
      <c r="F132" s="11"/>
      <c r="G132" s="11"/>
      <c r="H132" s="12"/>
      <c r="I132" s="12"/>
      <c r="J132" s="32"/>
      <c r="K132" s="32"/>
      <c r="L132" s="32"/>
      <c r="M132" s="13"/>
      <c r="N132" s="163" t="str">
        <f t="shared" si="5"/>
        <v/>
      </c>
      <c r="O132" s="126" t="str">
        <f>IF(D132&gt;=E132,"-","ERR")</f>
        <v>-</v>
      </c>
      <c r="P132" s="164"/>
      <c r="Q132" s="164"/>
      <c r="R132" s="164"/>
      <c r="S132" s="164"/>
      <c r="T132" s="164"/>
      <c r="U132" s="164"/>
      <c r="V132" s="164"/>
    </row>
    <row r="133" spans="1:25" ht="27" customHeight="1">
      <c r="A133" s="38" t="str">
        <f>IF(ISBLANK(C133)," ",128-COUNTBLANK($C$6:C133))</f>
        <v xml:space="preserve"> </v>
      </c>
      <c r="B133" s="4"/>
      <c r="C133" s="5"/>
      <c r="D133" s="34"/>
      <c r="E133" s="34"/>
      <c r="F133" s="6"/>
      <c r="G133" s="6"/>
      <c r="H133" s="7"/>
      <c r="I133" s="7"/>
      <c r="J133" s="2"/>
      <c r="K133" s="2"/>
      <c r="L133" s="2"/>
      <c r="M133" s="8"/>
      <c r="N133" s="163" t="str">
        <f t="shared" si="5"/>
        <v/>
      </c>
      <c r="O133" s="126" t="str">
        <f t="shared" ref="O133:O151" si="8">IF(D133&gt;=E133,"-","ERR")</f>
        <v>-</v>
      </c>
      <c r="P133" s="164"/>
      <c r="Q133" s="164"/>
      <c r="R133" s="164"/>
      <c r="S133" s="164"/>
      <c r="T133" s="164"/>
      <c r="U133" s="164"/>
      <c r="V133" s="164"/>
    </row>
    <row r="134" spans="1:25" ht="27" customHeight="1">
      <c r="A134" s="38" t="str">
        <f>IF(ISBLANK(C134)," ",129-COUNTBLANK($C$6:C134))</f>
        <v xml:space="preserve"> </v>
      </c>
      <c r="B134" s="4"/>
      <c r="C134" s="5"/>
      <c r="D134" s="34"/>
      <c r="E134" s="34"/>
      <c r="F134" s="6"/>
      <c r="G134" s="6"/>
      <c r="H134" s="7"/>
      <c r="I134" s="7"/>
      <c r="J134" s="2"/>
      <c r="K134" s="2"/>
      <c r="L134" s="2"/>
      <c r="M134" s="8"/>
      <c r="N134" s="163" t="str">
        <f t="shared" si="5"/>
        <v/>
      </c>
      <c r="O134" s="126" t="str">
        <f t="shared" si="8"/>
        <v>-</v>
      </c>
      <c r="P134" s="164"/>
      <c r="Q134" s="164"/>
      <c r="R134" s="164"/>
      <c r="S134" s="164"/>
      <c r="T134" s="164"/>
      <c r="U134" s="164"/>
      <c r="V134" s="164"/>
    </row>
    <row r="135" spans="1:25" ht="27" customHeight="1">
      <c r="A135" s="38" t="str">
        <f>IF(ISBLANK(C135)," ",130-COUNTBLANK($C$6:C135))</f>
        <v xml:space="preserve"> </v>
      </c>
      <c r="B135" s="28"/>
      <c r="C135" s="29"/>
      <c r="D135" s="36"/>
      <c r="E135" s="36"/>
      <c r="F135" s="30"/>
      <c r="G135" s="30"/>
      <c r="H135" s="31"/>
      <c r="I135" s="31"/>
      <c r="J135" s="2"/>
      <c r="K135" s="2"/>
      <c r="L135" s="2"/>
      <c r="M135" s="8"/>
      <c r="N135" s="163" t="str">
        <f t="shared" ref="N135:N198" si="9">CONCATENATE(C135,H135)</f>
        <v/>
      </c>
      <c r="O135" s="126" t="str">
        <f t="shared" si="8"/>
        <v>-</v>
      </c>
      <c r="P135" s="164"/>
      <c r="Q135" s="164"/>
      <c r="R135" s="164"/>
      <c r="S135" s="164"/>
      <c r="T135" s="164"/>
      <c r="U135" s="164"/>
      <c r="V135" s="164"/>
    </row>
    <row r="136" spans="1:25" ht="27" customHeight="1">
      <c r="A136" s="38" t="str">
        <f>IF(ISBLANK(C136)," ",131-COUNTBLANK($C$6:C136))</f>
        <v xml:space="preserve"> </v>
      </c>
      <c r="B136" s="178"/>
      <c r="C136" s="178"/>
      <c r="D136" s="179"/>
      <c r="E136" s="179"/>
      <c r="F136" s="180"/>
      <c r="G136" s="180"/>
      <c r="H136" s="180"/>
      <c r="I136" s="180"/>
      <c r="J136" s="2"/>
      <c r="K136" s="2"/>
      <c r="L136" s="2"/>
      <c r="M136" s="8"/>
      <c r="N136" s="163" t="str">
        <f t="shared" si="9"/>
        <v/>
      </c>
      <c r="O136" s="126" t="str">
        <f t="shared" si="8"/>
        <v>-</v>
      </c>
      <c r="P136" s="164"/>
      <c r="Q136" s="164"/>
      <c r="R136" s="164"/>
      <c r="S136" s="164"/>
      <c r="T136" s="164"/>
      <c r="U136" s="164"/>
      <c r="V136" s="164"/>
    </row>
    <row r="137" spans="1:25" ht="27" customHeight="1">
      <c r="A137" s="38" t="str">
        <f>IF(ISBLANK(C137)," ",132-COUNTBLANK($C$6:C137))</f>
        <v xml:space="preserve"> </v>
      </c>
      <c r="B137" s="4"/>
      <c r="C137" s="5"/>
      <c r="D137" s="34"/>
      <c r="E137" s="34"/>
      <c r="F137" s="6"/>
      <c r="G137" s="6"/>
      <c r="H137" s="7"/>
      <c r="I137" s="7"/>
      <c r="J137" s="2"/>
      <c r="K137" s="2"/>
      <c r="L137" s="2"/>
      <c r="M137" s="8"/>
      <c r="N137" s="163" t="str">
        <f t="shared" si="9"/>
        <v/>
      </c>
      <c r="O137" s="126" t="str">
        <f t="shared" si="8"/>
        <v>-</v>
      </c>
      <c r="P137" s="164"/>
      <c r="Q137" s="164"/>
      <c r="R137" s="164"/>
      <c r="S137" s="164"/>
      <c r="T137" s="164"/>
      <c r="U137" s="164"/>
      <c r="V137" s="164"/>
    </row>
    <row r="138" spans="1:25" ht="27" customHeight="1">
      <c r="A138" s="38" t="str">
        <f>IF(ISBLANK(C138)," ",133-COUNTBLANK($C$6:C138))</f>
        <v xml:space="preserve"> </v>
      </c>
      <c r="B138" s="4"/>
      <c r="C138" s="5"/>
      <c r="D138" s="34"/>
      <c r="E138" s="34"/>
      <c r="F138" s="6"/>
      <c r="G138" s="6"/>
      <c r="H138" s="7"/>
      <c r="I138" s="7"/>
      <c r="J138" s="2"/>
      <c r="K138" s="2"/>
      <c r="L138" s="2"/>
      <c r="M138" s="8"/>
      <c r="N138" s="163" t="str">
        <f t="shared" si="9"/>
        <v/>
      </c>
      <c r="O138" s="126" t="str">
        <f t="shared" si="8"/>
        <v>-</v>
      </c>
      <c r="P138" s="164"/>
      <c r="Q138" s="164"/>
      <c r="R138" s="164"/>
      <c r="S138" s="164"/>
      <c r="T138" s="164"/>
      <c r="U138" s="164"/>
      <c r="V138" s="164"/>
    </row>
    <row r="139" spans="1:25" ht="27" customHeight="1">
      <c r="A139" s="38" t="str">
        <f>IF(ISBLANK(C139)," ",134-COUNTBLANK($C$6:C139))</f>
        <v xml:space="preserve"> </v>
      </c>
      <c r="B139" s="4"/>
      <c r="C139" s="5"/>
      <c r="D139" s="34"/>
      <c r="E139" s="34"/>
      <c r="F139" s="6"/>
      <c r="G139" s="6"/>
      <c r="H139" s="7"/>
      <c r="I139" s="7"/>
      <c r="J139" s="2"/>
      <c r="K139" s="2"/>
      <c r="L139" s="2"/>
      <c r="M139" s="8"/>
      <c r="N139" s="163" t="str">
        <f t="shared" si="9"/>
        <v/>
      </c>
      <c r="O139" s="126" t="str">
        <f t="shared" si="8"/>
        <v>-</v>
      </c>
      <c r="P139" s="164"/>
      <c r="Q139" s="164"/>
      <c r="R139" s="164"/>
      <c r="S139" s="164"/>
      <c r="T139" s="164"/>
      <c r="U139" s="164"/>
      <c r="V139" s="164"/>
    </row>
    <row r="140" spans="1:25" ht="27" customHeight="1">
      <c r="A140" s="38" t="str">
        <f>IF(ISBLANK(C140)," ",135-COUNTBLANK($C$6:C140))</f>
        <v xml:space="preserve"> </v>
      </c>
      <c r="B140" s="4"/>
      <c r="C140" s="5"/>
      <c r="D140" s="34"/>
      <c r="E140" s="34"/>
      <c r="F140" s="6"/>
      <c r="G140" s="6"/>
      <c r="H140" s="7"/>
      <c r="I140" s="7"/>
      <c r="J140" s="2"/>
      <c r="K140" s="2"/>
      <c r="L140" s="2"/>
      <c r="M140" s="8"/>
      <c r="N140" s="163" t="str">
        <f t="shared" si="9"/>
        <v/>
      </c>
      <c r="O140" s="126" t="str">
        <f t="shared" si="8"/>
        <v>-</v>
      </c>
      <c r="P140" s="164"/>
      <c r="Q140" s="164"/>
      <c r="R140" s="164"/>
      <c r="S140" s="164"/>
      <c r="T140" s="164"/>
      <c r="U140" s="164"/>
      <c r="V140" s="164"/>
    </row>
    <row r="141" spans="1:25" ht="27" customHeight="1">
      <c r="A141" s="38" t="str">
        <f>IF(ISBLANK(C141)," ",136-COUNTBLANK($C$6:C141))</f>
        <v xml:space="preserve"> </v>
      </c>
      <c r="B141" s="4"/>
      <c r="C141" s="5"/>
      <c r="D141" s="34"/>
      <c r="E141" s="34"/>
      <c r="F141" s="6"/>
      <c r="G141" s="6"/>
      <c r="H141" s="7"/>
      <c r="I141" s="7"/>
      <c r="J141" s="2"/>
      <c r="K141" s="2"/>
      <c r="L141" s="2"/>
      <c r="M141" s="8"/>
      <c r="N141" s="163" t="str">
        <f t="shared" si="9"/>
        <v/>
      </c>
      <c r="O141" s="126" t="str">
        <f t="shared" si="8"/>
        <v>-</v>
      </c>
      <c r="P141" s="164"/>
      <c r="Q141" s="164"/>
      <c r="R141" s="164"/>
      <c r="S141" s="164"/>
      <c r="T141" s="164"/>
      <c r="U141" s="164"/>
      <c r="V141" s="164"/>
    </row>
    <row r="142" spans="1:25" ht="27" customHeight="1">
      <c r="A142" s="38" t="str">
        <f>IF(ISBLANK(C142)," ",137-COUNTBLANK($C$6:C142))</f>
        <v xml:space="preserve"> </v>
      </c>
      <c r="B142" s="4"/>
      <c r="C142" s="5"/>
      <c r="D142" s="34"/>
      <c r="E142" s="34"/>
      <c r="F142" s="6"/>
      <c r="G142" s="6"/>
      <c r="H142" s="7"/>
      <c r="I142" s="7"/>
      <c r="J142" s="2"/>
      <c r="K142" s="2"/>
      <c r="L142" s="2"/>
      <c r="M142" s="8"/>
      <c r="N142" s="163" t="str">
        <f t="shared" si="9"/>
        <v/>
      </c>
      <c r="O142" s="126" t="str">
        <f t="shared" si="8"/>
        <v>-</v>
      </c>
      <c r="P142" s="164"/>
      <c r="Q142" s="164"/>
      <c r="R142" s="164"/>
      <c r="S142" s="164"/>
      <c r="T142" s="164"/>
      <c r="U142" s="164"/>
      <c r="V142" s="164"/>
    </row>
    <row r="143" spans="1:25" ht="27" customHeight="1">
      <c r="A143" s="38" t="str">
        <f>IF(ISBLANK(C143)," ",138-COUNTBLANK($C$6:C143))</f>
        <v xml:space="preserve"> </v>
      </c>
      <c r="B143" s="4"/>
      <c r="C143" s="5"/>
      <c r="D143" s="34"/>
      <c r="E143" s="34"/>
      <c r="F143" s="6"/>
      <c r="G143" s="6"/>
      <c r="H143" s="7"/>
      <c r="I143" s="7"/>
      <c r="J143" s="2"/>
      <c r="K143" s="2"/>
      <c r="L143" s="2"/>
      <c r="M143" s="8"/>
      <c r="N143" s="163" t="str">
        <f t="shared" si="9"/>
        <v/>
      </c>
      <c r="O143" s="126" t="str">
        <f t="shared" si="8"/>
        <v>-</v>
      </c>
      <c r="P143" s="164"/>
      <c r="Q143" s="164"/>
      <c r="R143" s="164"/>
      <c r="S143" s="164"/>
      <c r="T143" s="164"/>
      <c r="U143" s="164"/>
      <c r="V143" s="164"/>
    </row>
    <row r="144" spans="1:25" ht="27" customHeight="1">
      <c r="A144" s="38" t="str">
        <f>IF(ISBLANK(C144)," ",139-COUNTBLANK($C$6:C144))</f>
        <v xml:space="preserve"> </v>
      </c>
      <c r="B144" s="4"/>
      <c r="C144" s="5"/>
      <c r="D144" s="34"/>
      <c r="E144" s="34"/>
      <c r="F144" s="6"/>
      <c r="G144" s="6"/>
      <c r="H144" s="7"/>
      <c r="I144" s="7"/>
      <c r="J144" s="2"/>
      <c r="K144" s="2"/>
      <c r="L144" s="2"/>
      <c r="M144" s="8"/>
      <c r="N144" s="163" t="str">
        <f t="shared" si="9"/>
        <v/>
      </c>
      <c r="O144" s="126" t="str">
        <f t="shared" si="8"/>
        <v>-</v>
      </c>
      <c r="P144" s="164"/>
      <c r="Q144" s="164"/>
      <c r="R144" s="164"/>
      <c r="S144" s="164"/>
      <c r="T144" s="164"/>
      <c r="U144" s="164"/>
      <c r="V144" s="164"/>
    </row>
    <row r="145" spans="1:25" ht="27" customHeight="1">
      <c r="A145" s="38" t="str">
        <f>IF(ISBLANK(C145)," ",140-COUNTBLANK($C$6:C145))</f>
        <v xml:space="preserve"> </v>
      </c>
      <c r="B145" s="4"/>
      <c r="C145" s="5"/>
      <c r="D145" s="34"/>
      <c r="E145" s="34"/>
      <c r="F145" s="6"/>
      <c r="G145" s="6"/>
      <c r="H145" s="7"/>
      <c r="I145" s="7"/>
      <c r="J145" s="2"/>
      <c r="K145" s="2"/>
      <c r="L145" s="2"/>
      <c r="M145" s="8"/>
      <c r="N145" s="163" t="str">
        <f t="shared" si="9"/>
        <v/>
      </c>
      <c r="O145" s="126" t="str">
        <f t="shared" si="8"/>
        <v>-</v>
      </c>
      <c r="P145" s="164"/>
      <c r="Q145" s="164"/>
      <c r="R145" s="164"/>
      <c r="S145" s="164"/>
      <c r="T145" s="164"/>
      <c r="U145" s="164"/>
      <c r="V145" s="164"/>
    </row>
    <row r="146" spans="1:25" ht="27" customHeight="1">
      <c r="A146" s="38" t="str">
        <f>IF(ISBLANK(C146)," ",141-COUNTBLANK($C$6:C146))</f>
        <v xml:space="preserve"> </v>
      </c>
      <c r="B146" s="4"/>
      <c r="C146" s="5"/>
      <c r="D146" s="34"/>
      <c r="E146" s="34"/>
      <c r="F146" s="6"/>
      <c r="G146" s="6"/>
      <c r="H146" s="7"/>
      <c r="I146" s="7"/>
      <c r="J146" s="2"/>
      <c r="K146" s="2"/>
      <c r="L146" s="2"/>
      <c r="M146" s="8"/>
      <c r="N146" s="163" t="str">
        <f t="shared" si="9"/>
        <v/>
      </c>
      <c r="O146" s="126" t="str">
        <f t="shared" si="8"/>
        <v>-</v>
      </c>
      <c r="P146" s="164"/>
      <c r="Q146" s="164"/>
      <c r="R146" s="164"/>
      <c r="S146" s="164"/>
      <c r="T146" s="164"/>
      <c r="U146" s="164"/>
      <c r="V146" s="164"/>
    </row>
    <row r="147" spans="1:25" ht="27" customHeight="1">
      <c r="A147" s="38" t="str">
        <f>IF(ISBLANK(C147)," ",142-COUNTBLANK($C$6:C147))</f>
        <v xml:space="preserve"> </v>
      </c>
      <c r="B147" s="4"/>
      <c r="C147" s="5"/>
      <c r="D147" s="34"/>
      <c r="E147" s="34"/>
      <c r="F147" s="6"/>
      <c r="G147" s="6"/>
      <c r="H147" s="7"/>
      <c r="I147" s="7"/>
      <c r="J147" s="2"/>
      <c r="K147" s="2"/>
      <c r="L147" s="2"/>
      <c r="M147" s="8"/>
      <c r="N147" s="163" t="str">
        <f t="shared" si="9"/>
        <v/>
      </c>
      <c r="O147" s="126" t="str">
        <f t="shared" si="8"/>
        <v>-</v>
      </c>
      <c r="P147" s="164"/>
      <c r="Q147" s="164"/>
      <c r="R147" s="164"/>
      <c r="S147" s="164"/>
      <c r="T147" s="164"/>
      <c r="U147" s="164"/>
      <c r="V147" s="165"/>
    </row>
    <row r="148" spans="1:25" ht="27" customHeight="1">
      <c r="A148" s="38" t="str">
        <f>IF(ISBLANK(C148)," ",143-COUNTBLANK($C$6:C148))</f>
        <v xml:space="preserve"> </v>
      </c>
      <c r="B148" s="4"/>
      <c r="C148" s="5"/>
      <c r="D148" s="34"/>
      <c r="E148" s="34"/>
      <c r="F148" s="6"/>
      <c r="G148" s="6"/>
      <c r="H148" s="7"/>
      <c r="I148" s="7"/>
      <c r="J148" s="2"/>
      <c r="K148" s="2"/>
      <c r="L148" s="2"/>
      <c r="M148" s="8"/>
      <c r="N148" s="163" t="str">
        <f t="shared" si="9"/>
        <v/>
      </c>
      <c r="O148" s="126" t="str">
        <f t="shared" si="8"/>
        <v>-</v>
      </c>
      <c r="P148" s="164"/>
      <c r="Q148" s="164"/>
      <c r="R148" s="164"/>
      <c r="S148" s="164"/>
      <c r="T148" s="164"/>
      <c r="U148" s="164"/>
      <c r="V148" s="165"/>
    </row>
    <row r="149" spans="1:25" ht="27" customHeight="1">
      <c r="A149" s="38" t="str">
        <f>IF(ISBLANK(C149)," ",144-COUNTBLANK($C$6:C149))</f>
        <v xml:space="preserve"> </v>
      </c>
      <c r="B149" s="4"/>
      <c r="C149" s="5"/>
      <c r="D149" s="34"/>
      <c r="E149" s="34"/>
      <c r="F149" s="6"/>
      <c r="G149" s="6"/>
      <c r="H149" s="7"/>
      <c r="I149" s="7"/>
      <c r="J149" s="2"/>
      <c r="K149" s="2"/>
      <c r="L149" s="2"/>
      <c r="M149" s="8"/>
      <c r="N149" s="163" t="str">
        <f t="shared" si="9"/>
        <v/>
      </c>
      <c r="O149" s="126" t="str">
        <f t="shared" si="8"/>
        <v>-</v>
      </c>
      <c r="P149" s="164"/>
      <c r="Q149" s="164"/>
      <c r="R149" s="164"/>
      <c r="S149" s="164"/>
      <c r="T149" s="164"/>
      <c r="U149" s="164"/>
      <c r="V149" s="165"/>
    </row>
    <row r="150" spans="1:25" ht="27" customHeight="1">
      <c r="A150" s="38" t="str">
        <f>IF(ISBLANK(C150)," ",145-COUNTBLANK($C$6:C150))</f>
        <v xml:space="preserve"> </v>
      </c>
      <c r="B150" s="4"/>
      <c r="C150" s="5"/>
      <c r="D150" s="34"/>
      <c r="E150" s="34"/>
      <c r="F150" s="6"/>
      <c r="G150" s="6"/>
      <c r="H150" s="7"/>
      <c r="I150" s="7"/>
      <c r="J150" s="2"/>
      <c r="K150" s="2"/>
      <c r="L150" s="2"/>
      <c r="M150" s="8"/>
      <c r="N150" s="163" t="str">
        <f t="shared" si="9"/>
        <v/>
      </c>
      <c r="O150" s="126" t="str">
        <f t="shared" si="8"/>
        <v>-</v>
      </c>
      <c r="P150" s="164"/>
      <c r="Q150" s="164"/>
      <c r="R150" s="164"/>
      <c r="S150" s="164"/>
      <c r="T150" s="164"/>
      <c r="U150" s="164"/>
      <c r="V150" s="165"/>
    </row>
    <row r="151" spans="1:25" ht="27" customHeight="1">
      <c r="A151" s="39" t="str">
        <f>IF(ISBLANK(C151)," ",146-COUNTBLANK($C$6:C151))</f>
        <v xml:space="preserve"> </v>
      </c>
      <c r="B151" s="14"/>
      <c r="C151" s="15"/>
      <c r="D151" s="35"/>
      <c r="E151" s="35"/>
      <c r="F151" s="16"/>
      <c r="G151" s="16"/>
      <c r="H151" s="17"/>
      <c r="I151" s="17"/>
      <c r="J151" s="3"/>
      <c r="K151" s="3"/>
      <c r="L151" s="3"/>
      <c r="M151" s="18"/>
      <c r="N151" s="163" t="str">
        <f t="shared" si="9"/>
        <v/>
      </c>
      <c r="O151" s="126" t="str">
        <f t="shared" si="8"/>
        <v>-</v>
      </c>
      <c r="P151" s="164"/>
      <c r="Q151" s="164"/>
      <c r="R151" s="164"/>
      <c r="S151" s="164"/>
      <c r="T151" s="164"/>
      <c r="U151" s="164"/>
      <c r="V151" s="166"/>
      <c r="W151" s="164"/>
      <c r="X151" s="164"/>
      <c r="Y151" s="164"/>
    </row>
    <row r="152" spans="1:25" ht="27" customHeight="1">
      <c r="A152" s="172" t="s">
        <v>44</v>
      </c>
      <c r="B152" s="173"/>
      <c r="C152" s="174"/>
      <c r="D152" s="175"/>
      <c r="E152" s="175">
        <f>SUM(E132:E151)</f>
        <v>0</v>
      </c>
      <c r="F152" s="176"/>
      <c r="G152" s="176"/>
      <c r="H152" s="176"/>
      <c r="I152" s="176"/>
      <c r="J152" s="176"/>
      <c r="K152" s="176"/>
      <c r="L152" s="176"/>
      <c r="M152" s="177"/>
      <c r="N152" s="163" t="str">
        <f t="shared" si="9"/>
        <v/>
      </c>
      <c r="O152" s="126"/>
      <c r="P152" s="164"/>
      <c r="Q152" s="164"/>
      <c r="R152" s="164"/>
      <c r="S152" s="164"/>
      <c r="T152" s="164"/>
      <c r="U152" s="164"/>
      <c r="V152" s="166"/>
      <c r="W152" s="164"/>
      <c r="X152" s="164"/>
      <c r="Y152" s="164"/>
    </row>
    <row r="153" spans="1:25" ht="27" customHeight="1">
      <c r="A153" s="37" t="str">
        <f>IF(ISBLANK(C153)," ",148-COUNTBLANK($C$6:C153))</f>
        <v xml:space="preserve"> </v>
      </c>
      <c r="B153" s="9"/>
      <c r="C153" s="10"/>
      <c r="D153" s="33"/>
      <c r="E153" s="33"/>
      <c r="F153" s="11"/>
      <c r="G153" s="11"/>
      <c r="H153" s="12"/>
      <c r="I153" s="12"/>
      <c r="J153" s="32"/>
      <c r="K153" s="32"/>
      <c r="L153" s="32"/>
      <c r="M153" s="13"/>
      <c r="N153" s="163" t="str">
        <f t="shared" si="9"/>
        <v/>
      </c>
      <c r="O153" s="126" t="str">
        <f>IF(D153&gt;=E153,"-","ERR")</f>
        <v>-</v>
      </c>
      <c r="P153" s="164"/>
      <c r="Q153" s="164"/>
      <c r="R153" s="164"/>
      <c r="S153" s="164"/>
      <c r="T153" s="164"/>
      <c r="U153" s="164"/>
      <c r="V153" s="164"/>
    </row>
    <row r="154" spans="1:25" ht="27" customHeight="1">
      <c r="A154" s="38" t="str">
        <f>IF(ISBLANK(C154)," ",149-COUNTBLANK($C$6:C154))</f>
        <v xml:space="preserve"> </v>
      </c>
      <c r="B154" s="4"/>
      <c r="C154" s="5"/>
      <c r="D154" s="34"/>
      <c r="E154" s="34"/>
      <c r="F154" s="6"/>
      <c r="G154" s="6"/>
      <c r="H154" s="7"/>
      <c r="I154" s="7"/>
      <c r="J154" s="2"/>
      <c r="K154" s="2"/>
      <c r="L154" s="2"/>
      <c r="M154" s="8"/>
      <c r="N154" s="163" t="str">
        <f t="shared" si="9"/>
        <v/>
      </c>
      <c r="O154" s="126" t="str">
        <f t="shared" ref="O154:O172" si="10">IF(D154&gt;=E154,"-","ERR")</f>
        <v>-</v>
      </c>
      <c r="P154" s="164"/>
      <c r="Q154" s="164"/>
      <c r="R154" s="164"/>
      <c r="S154" s="164"/>
      <c r="T154" s="164"/>
      <c r="U154" s="164"/>
      <c r="V154" s="164"/>
    </row>
    <row r="155" spans="1:25" ht="27" customHeight="1">
      <c r="A155" s="38" t="str">
        <f>IF(ISBLANK(C155)," ",150-COUNTBLANK($C$6:C155))</f>
        <v xml:space="preserve"> </v>
      </c>
      <c r="B155" s="4"/>
      <c r="C155" s="5"/>
      <c r="D155" s="34"/>
      <c r="E155" s="34"/>
      <c r="F155" s="6"/>
      <c r="G155" s="6"/>
      <c r="H155" s="7"/>
      <c r="I155" s="7"/>
      <c r="J155" s="2"/>
      <c r="K155" s="2"/>
      <c r="L155" s="2"/>
      <c r="M155" s="8"/>
      <c r="N155" s="163" t="str">
        <f t="shared" si="9"/>
        <v/>
      </c>
      <c r="O155" s="126" t="str">
        <f t="shared" si="10"/>
        <v>-</v>
      </c>
      <c r="P155" s="164"/>
      <c r="Q155" s="164"/>
      <c r="R155" s="164"/>
      <c r="S155" s="164"/>
      <c r="T155" s="164"/>
      <c r="U155" s="164"/>
      <c r="V155" s="164"/>
    </row>
    <row r="156" spans="1:25" ht="27" customHeight="1">
      <c r="A156" s="38" t="str">
        <f>IF(ISBLANK(C156)," ",151-COUNTBLANK($C$6:C156))</f>
        <v xml:space="preserve"> </v>
      </c>
      <c r="B156" s="4"/>
      <c r="C156" s="5"/>
      <c r="D156" s="34"/>
      <c r="E156" s="34"/>
      <c r="F156" s="6"/>
      <c r="G156" s="6"/>
      <c r="H156" s="7"/>
      <c r="I156" s="7"/>
      <c r="J156" s="2"/>
      <c r="K156" s="2"/>
      <c r="L156" s="2"/>
      <c r="M156" s="8"/>
      <c r="N156" s="163" t="str">
        <f t="shared" si="9"/>
        <v/>
      </c>
      <c r="O156" s="126" t="str">
        <f t="shared" si="10"/>
        <v>-</v>
      </c>
      <c r="P156" s="164"/>
      <c r="Q156" s="164"/>
      <c r="R156" s="164"/>
      <c r="S156" s="164"/>
      <c r="T156" s="164"/>
      <c r="U156" s="164"/>
      <c r="V156" s="164"/>
    </row>
    <row r="157" spans="1:25" ht="27" customHeight="1">
      <c r="A157" s="38" t="str">
        <f>IF(ISBLANK(C157)," ",152-COUNTBLANK($C$6:C157))</f>
        <v xml:space="preserve"> </v>
      </c>
      <c r="B157" s="4"/>
      <c r="C157" s="5"/>
      <c r="D157" s="34"/>
      <c r="E157" s="34"/>
      <c r="F157" s="6"/>
      <c r="G157" s="6"/>
      <c r="H157" s="7"/>
      <c r="I157" s="7"/>
      <c r="J157" s="2"/>
      <c r="K157" s="2"/>
      <c r="L157" s="2"/>
      <c r="M157" s="8"/>
      <c r="N157" s="163" t="str">
        <f t="shared" si="9"/>
        <v/>
      </c>
      <c r="O157" s="126" t="str">
        <f t="shared" si="10"/>
        <v>-</v>
      </c>
      <c r="P157" s="164"/>
      <c r="Q157" s="164"/>
      <c r="R157" s="164"/>
      <c r="S157" s="164"/>
      <c r="T157" s="164"/>
      <c r="U157" s="164"/>
      <c r="V157" s="164"/>
    </row>
    <row r="158" spans="1:25" ht="27" customHeight="1">
      <c r="A158" s="38" t="str">
        <f>IF(ISBLANK(C158)," ",153-COUNTBLANK($C$6:C158))</f>
        <v xml:space="preserve"> </v>
      </c>
      <c r="B158" s="4"/>
      <c r="C158" s="5"/>
      <c r="D158" s="34"/>
      <c r="E158" s="34"/>
      <c r="F158" s="6"/>
      <c r="G158" s="6"/>
      <c r="H158" s="7"/>
      <c r="I158" s="7"/>
      <c r="J158" s="2"/>
      <c r="K158" s="2"/>
      <c r="L158" s="2"/>
      <c r="M158" s="8"/>
      <c r="N158" s="163" t="str">
        <f t="shared" si="9"/>
        <v/>
      </c>
      <c r="O158" s="126" t="str">
        <f t="shared" si="10"/>
        <v>-</v>
      </c>
      <c r="P158" s="164"/>
      <c r="Q158" s="164"/>
      <c r="R158" s="164"/>
      <c r="S158" s="164"/>
      <c r="T158" s="164"/>
      <c r="U158" s="164"/>
      <c r="V158" s="164"/>
    </row>
    <row r="159" spans="1:25" ht="27" customHeight="1">
      <c r="A159" s="38" t="str">
        <f>IF(ISBLANK(C159)," ",154-COUNTBLANK($C$6:C159))</f>
        <v xml:space="preserve"> </v>
      </c>
      <c r="B159" s="4"/>
      <c r="C159" s="5"/>
      <c r="D159" s="34"/>
      <c r="E159" s="34"/>
      <c r="F159" s="6"/>
      <c r="G159" s="6"/>
      <c r="H159" s="7"/>
      <c r="I159" s="7"/>
      <c r="J159" s="2"/>
      <c r="K159" s="2"/>
      <c r="L159" s="2"/>
      <c r="M159" s="8"/>
      <c r="N159" s="163" t="str">
        <f t="shared" si="9"/>
        <v/>
      </c>
      <c r="O159" s="126" t="str">
        <f t="shared" si="10"/>
        <v>-</v>
      </c>
      <c r="P159" s="164"/>
      <c r="Q159" s="164"/>
      <c r="R159" s="164"/>
      <c r="S159" s="164"/>
      <c r="T159" s="164"/>
      <c r="U159" s="164"/>
      <c r="V159" s="164"/>
    </row>
    <row r="160" spans="1:25" ht="27" customHeight="1">
      <c r="A160" s="38" t="str">
        <f>IF(ISBLANK(C160)," ",155-COUNTBLANK($C$6:C160))</f>
        <v xml:space="preserve"> </v>
      </c>
      <c r="B160" s="4"/>
      <c r="C160" s="5"/>
      <c r="D160" s="34"/>
      <c r="E160" s="34"/>
      <c r="F160" s="6"/>
      <c r="G160" s="6"/>
      <c r="H160" s="7"/>
      <c r="I160" s="7"/>
      <c r="J160" s="2"/>
      <c r="K160" s="2"/>
      <c r="L160" s="2"/>
      <c r="M160" s="8"/>
      <c r="N160" s="163" t="str">
        <f t="shared" si="9"/>
        <v/>
      </c>
      <c r="O160" s="126" t="str">
        <f t="shared" si="10"/>
        <v>-</v>
      </c>
      <c r="P160" s="164"/>
      <c r="Q160" s="164"/>
      <c r="R160" s="164"/>
      <c r="S160" s="164"/>
      <c r="T160" s="164"/>
      <c r="U160" s="164"/>
      <c r="V160" s="164"/>
    </row>
    <row r="161" spans="1:25" ht="27" customHeight="1">
      <c r="A161" s="38" t="str">
        <f>IF(ISBLANK(C161)," ",156-COUNTBLANK($C$6:C161))</f>
        <v xml:space="preserve"> </v>
      </c>
      <c r="B161" s="4"/>
      <c r="C161" s="5"/>
      <c r="D161" s="34"/>
      <c r="E161" s="34"/>
      <c r="F161" s="6"/>
      <c r="G161" s="6"/>
      <c r="H161" s="7"/>
      <c r="I161" s="7"/>
      <c r="J161" s="2"/>
      <c r="K161" s="2"/>
      <c r="L161" s="2"/>
      <c r="M161" s="8"/>
      <c r="N161" s="163" t="str">
        <f t="shared" si="9"/>
        <v/>
      </c>
      <c r="O161" s="126" t="str">
        <f t="shared" si="10"/>
        <v>-</v>
      </c>
      <c r="P161" s="164"/>
      <c r="Q161" s="164"/>
      <c r="R161" s="164"/>
      <c r="S161" s="164"/>
      <c r="T161" s="164"/>
      <c r="U161" s="164"/>
      <c r="V161" s="164"/>
    </row>
    <row r="162" spans="1:25" ht="27" customHeight="1">
      <c r="A162" s="38" t="str">
        <f>IF(ISBLANK(C162)," ",157-COUNTBLANK($C$6:C162))</f>
        <v xml:space="preserve"> </v>
      </c>
      <c r="B162" s="4"/>
      <c r="C162" s="5"/>
      <c r="D162" s="34"/>
      <c r="E162" s="34"/>
      <c r="F162" s="6"/>
      <c r="G162" s="6"/>
      <c r="H162" s="7"/>
      <c r="I162" s="7"/>
      <c r="J162" s="2"/>
      <c r="K162" s="2"/>
      <c r="L162" s="2"/>
      <c r="M162" s="8"/>
      <c r="N162" s="163" t="str">
        <f t="shared" si="9"/>
        <v/>
      </c>
      <c r="O162" s="126" t="str">
        <f t="shared" si="10"/>
        <v>-</v>
      </c>
      <c r="P162" s="164"/>
      <c r="Q162" s="164"/>
      <c r="R162" s="164"/>
      <c r="S162" s="164"/>
      <c r="T162" s="164"/>
      <c r="U162" s="164"/>
      <c r="V162" s="164"/>
    </row>
    <row r="163" spans="1:25" ht="27" customHeight="1">
      <c r="A163" s="38" t="str">
        <f>IF(ISBLANK(C163)," ",158-COUNTBLANK($C$6:C163))</f>
        <v xml:space="preserve"> </v>
      </c>
      <c r="B163" s="4"/>
      <c r="C163" s="5"/>
      <c r="D163" s="34"/>
      <c r="E163" s="34"/>
      <c r="F163" s="6"/>
      <c r="G163" s="6"/>
      <c r="H163" s="7"/>
      <c r="I163" s="7"/>
      <c r="J163" s="2"/>
      <c r="K163" s="2"/>
      <c r="L163" s="2"/>
      <c r="M163" s="8"/>
      <c r="N163" s="163" t="str">
        <f t="shared" si="9"/>
        <v/>
      </c>
      <c r="O163" s="126" t="str">
        <f t="shared" si="10"/>
        <v>-</v>
      </c>
      <c r="P163" s="164"/>
      <c r="Q163" s="164"/>
      <c r="R163" s="164"/>
      <c r="S163" s="164"/>
      <c r="T163" s="164"/>
      <c r="U163" s="164"/>
      <c r="V163" s="164"/>
    </row>
    <row r="164" spans="1:25" ht="27" customHeight="1">
      <c r="A164" s="38" t="str">
        <f>IF(ISBLANK(C164)," ",159-COUNTBLANK($C$6:C164))</f>
        <v xml:space="preserve"> </v>
      </c>
      <c r="B164" s="4"/>
      <c r="C164" s="5"/>
      <c r="D164" s="34"/>
      <c r="E164" s="34"/>
      <c r="F164" s="6"/>
      <c r="G164" s="6"/>
      <c r="H164" s="7"/>
      <c r="I164" s="7"/>
      <c r="J164" s="2"/>
      <c r="K164" s="2"/>
      <c r="L164" s="2"/>
      <c r="M164" s="8"/>
      <c r="N164" s="163" t="str">
        <f t="shared" si="9"/>
        <v/>
      </c>
      <c r="O164" s="126" t="str">
        <f t="shared" si="10"/>
        <v>-</v>
      </c>
      <c r="P164" s="164"/>
      <c r="Q164" s="164"/>
      <c r="R164" s="164"/>
      <c r="S164" s="164"/>
      <c r="T164" s="164"/>
      <c r="U164" s="164"/>
      <c r="V164" s="164"/>
    </row>
    <row r="165" spans="1:25" ht="27" customHeight="1">
      <c r="A165" s="38" t="str">
        <f>IF(ISBLANK(C165)," ",160-COUNTBLANK($C$6:C165))</f>
        <v xml:space="preserve"> </v>
      </c>
      <c r="B165" s="4"/>
      <c r="C165" s="5"/>
      <c r="D165" s="34"/>
      <c r="E165" s="34"/>
      <c r="F165" s="6"/>
      <c r="G165" s="6"/>
      <c r="H165" s="7"/>
      <c r="I165" s="7"/>
      <c r="J165" s="2"/>
      <c r="K165" s="2"/>
      <c r="L165" s="2"/>
      <c r="M165" s="8"/>
      <c r="N165" s="163" t="str">
        <f t="shared" si="9"/>
        <v/>
      </c>
      <c r="O165" s="126" t="str">
        <f t="shared" si="10"/>
        <v>-</v>
      </c>
      <c r="P165" s="164"/>
      <c r="Q165" s="164"/>
      <c r="R165" s="164"/>
      <c r="S165" s="164"/>
      <c r="T165" s="164"/>
      <c r="U165" s="164"/>
      <c r="V165" s="164"/>
    </row>
    <row r="166" spans="1:25" ht="27" customHeight="1">
      <c r="A166" s="38" t="str">
        <f>IF(ISBLANK(C166)," ",161-COUNTBLANK($C$6:C166))</f>
        <v xml:space="preserve"> </v>
      </c>
      <c r="B166" s="4"/>
      <c r="C166" s="5"/>
      <c r="D166" s="34"/>
      <c r="E166" s="34"/>
      <c r="F166" s="6"/>
      <c r="G166" s="6"/>
      <c r="H166" s="7"/>
      <c r="I166" s="7"/>
      <c r="J166" s="2"/>
      <c r="K166" s="2"/>
      <c r="L166" s="2"/>
      <c r="M166" s="8"/>
      <c r="N166" s="163" t="str">
        <f t="shared" si="9"/>
        <v/>
      </c>
      <c r="O166" s="126" t="str">
        <f t="shared" si="10"/>
        <v>-</v>
      </c>
      <c r="P166" s="164"/>
      <c r="Q166" s="164"/>
      <c r="R166" s="164"/>
      <c r="S166" s="164"/>
      <c r="T166" s="164"/>
      <c r="U166" s="164"/>
      <c r="V166" s="164"/>
    </row>
    <row r="167" spans="1:25" ht="27" customHeight="1">
      <c r="A167" s="38" t="str">
        <f>IF(ISBLANK(C167)," ",162-COUNTBLANK($C$6:C167))</f>
        <v xml:space="preserve"> </v>
      </c>
      <c r="B167" s="4"/>
      <c r="C167" s="5"/>
      <c r="D167" s="34"/>
      <c r="E167" s="34"/>
      <c r="F167" s="6"/>
      <c r="G167" s="6"/>
      <c r="H167" s="7"/>
      <c r="I167" s="7"/>
      <c r="J167" s="2"/>
      <c r="K167" s="2"/>
      <c r="L167" s="2"/>
      <c r="M167" s="8"/>
      <c r="N167" s="163" t="str">
        <f t="shared" si="9"/>
        <v/>
      </c>
      <c r="O167" s="126" t="str">
        <f t="shared" si="10"/>
        <v>-</v>
      </c>
      <c r="P167" s="164"/>
      <c r="Q167" s="164"/>
      <c r="R167" s="164"/>
      <c r="S167" s="164"/>
      <c r="T167" s="164"/>
      <c r="U167" s="164"/>
      <c r="V167" s="164"/>
    </row>
    <row r="168" spans="1:25" ht="27" customHeight="1">
      <c r="A168" s="38" t="str">
        <f>IF(ISBLANK(C168)," ",163-COUNTBLANK($C$6:C168))</f>
        <v xml:space="preserve"> </v>
      </c>
      <c r="B168" s="4"/>
      <c r="C168" s="5"/>
      <c r="D168" s="34"/>
      <c r="E168" s="34"/>
      <c r="F168" s="6"/>
      <c r="G168" s="6"/>
      <c r="H168" s="7"/>
      <c r="I168" s="7"/>
      <c r="J168" s="2"/>
      <c r="K168" s="2"/>
      <c r="L168" s="2"/>
      <c r="M168" s="8"/>
      <c r="N168" s="163" t="str">
        <f t="shared" si="9"/>
        <v/>
      </c>
      <c r="O168" s="126" t="str">
        <f t="shared" si="10"/>
        <v>-</v>
      </c>
      <c r="P168" s="164"/>
      <c r="Q168" s="164"/>
      <c r="R168" s="164"/>
      <c r="S168" s="164"/>
      <c r="T168" s="164"/>
      <c r="U168" s="164"/>
      <c r="V168" s="165"/>
    </row>
    <row r="169" spans="1:25" ht="27" customHeight="1">
      <c r="A169" s="38" t="str">
        <f>IF(ISBLANK(C169)," ",164-COUNTBLANK($C$6:C169))</f>
        <v xml:space="preserve"> </v>
      </c>
      <c r="B169" s="4"/>
      <c r="C169" s="5"/>
      <c r="D169" s="34"/>
      <c r="E169" s="34"/>
      <c r="F169" s="6"/>
      <c r="G169" s="6"/>
      <c r="H169" s="7"/>
      <c r="I169" s="7"/>
      <c r="J169" s="2"/>
      <c r="K169" s="2"/>
      <c r="L169" s="2"/>
      <c r="M169" s="8"/>
      <c r="N169" s="163" t="str">
        <f t="shared" si="9"/>
        <v/>
      </c>
      <c r="O169" s="126" t="str">
        <f t="shared" si="10"/>
        <v>-</v>
      </c>
      <c r="P169" s="164"/>
      <c r="Q169" s="164"/>
      <c r="R169" s="164"/>
      <c r="S169" s="164"/>
      <c r="T169" s="164"/>
      <c r="U169" s="164"/>
      <c r="V169" s="165"/>
    </row>
    <row r="170" spans="1:25" ht="27" customHeight="1">
      <c r="A170" s="38" t="str">
        <f>IF(ISBLANK(C170)," ",165-COUNTBLANK($C$6:C170))</f>
        <v xml:space="preserve"> </v>
      </c>
      <c r="B170" s="4"/>
      <c r="C170" s="5"/>
      <c r="D170" s="34"/>
      <c r="E170" s="34"/>
      <c r="F170" s="6"/>
      <c r="G170" s="6"/>
      <c r="H170" s="7"/>
      <c r="I170" s="7"/>
      <c r="J170" s="2"/>
      <c r="K170" s="2"/>
      <c r="L170" s="2"/>
      <c r="M170" s="8"/>
      <c r="N170" s="163" t="str">
        <f t="shared" si="9"/>
        <v/>
      </c>
      <c r="O170" s="126" t="str">
        <f t="shared" si="10"/>
        <v>-</v>
      </c>
      <c r="P170" s="164"/>
      <c r="Q170" s="164"/>
      <c r="R170" s="164"/>
      <c r="S170" s="164"/>
      <c r="T170" s="164"/>
      <c r="U170" s="164"/>
      <c r="V170" s="165"/>
    </row>
    <row r="171" spans="1:25" ht="27" customHeight="1">
      <c r="A171" s="38" t="str">
        <f>IF(ISBLANK(C171)," ",166-COUNTBLANK($C$6:C171))</f>
        <v xml:space="preserve"> </v>
      </c>
      <c r="B171" s="4"/>
      <c r="C171" s="5"/>
      <c r="D171" s="34"/>
      <c r="E171" s="34"/>
      <c r="F171" s="6"/>
      <c r="G171" s="6"/>
      <c r="H171" s="7"/>
      <c r="I171" s="7"/>
      <c r="J171" s="2"/>
      <c r="K171" s="2"/>
      <c r="L171" s="2"/>
      <c r="M171" s="8"/>
      <c r="N171" s="163" t="str">
        <f t="shared" si="9"/>
        <v/>
      </c>
      <c r="O171" s="126" t="str">
        <f t="shared" si="10"/>
        <v>-</v>
      </c>
      <c r="P171" s="164"/>
      <c r="Q171" s="164"/>
      <c r="R171" s="164"/>
      <c r="S171" s="164"/>
      <c r="T171" s="164"/>
      <c r="U171" s="164"/>
      <c r="V171" s="165"/>
    </row>
    <row r="172" spans="1:25" ht="27" customHeight="1">
      <c r="A172" s="39" t="str">
        <f>IF(ISBLANK(C172)," ",167-COUNTBLANK($C$6:C172))</f>
        <v xml:space="preserve"> </v>
      </c>
      <c r="B172" s="14"/>
      <c r="C172" s="15"/>
      <c r="D172" s="35"/>
      <c r="E172" s="35"/>
      <c r="F172" s="16"/>
      <c r="G172" s="16"/>
      <c r="H172" s="17"/>
      <c r="I172" s="17"/>
      <c r="J172" s="3"/>
      <c r="K172" s="3"/>
      <c r="L172" s="3"/>
      <c r="M172" s="18"/>
      <c r="N172" s="163" t="str">
        <f t="shared" si="9"/>
        <v/>
      </c>
      <c r="O172" s="126" t="str">
        <f t="shared" si="10"/>
        <v>-</v>
      </c>
      <c r="P172" s="164"/>
      <c r="Q172" s="164"/>
      <c r="R172" s="164"/>
      <c r="S172" s="164"/>
      <c r="T172" s="164"/>
      <c r="U172" s="164"/>
      <c r="V172" s="166"/>
      <c r="W172" s="164"/>
      <c r="X172" s="164"/>
      <c r="Y172" s="164"/>
    </row>
    <row r="173" spans="1:25" ht="27" customHeight="1">
      <c r="A173" s="172" t="s">
        <v>44</v>
      </c>
      <c r="B173" s="173"/>
      <c r="C173" s="174"/>
      <c r="D173" s="175"/>
      <c r="E173" s="175">
        <f>SUM(E153:E172)</f>
        <v>0</v>
      </c>
      <c r="F173" s="176"/>
      <c r="G173" s="176"/>
      <c r="H173" s="176"/>
      <c r="I173" s="176"/>
      <c r="J173" s="176"/>
      <c r="K173" s="176"/>
      <c r="L173" s="176"/>
      <c r="M173" s="177"/>
      <c r="N173" s="163" t="str">
        <f t="shared" si="9"/>
        <v/>
      </c>
      <c r="O173" s="126"/>
      <c r="P173" s="164"/>
      <c r="Q173" s="164"/>
      <c r="R173" s="164"/>
      <c r="S173" s="164"/>
      <c r="T173" s="164"/>
      <c r="U173" s="164"/>
      <c r="V173" s="166"/>
      <c r="W173" s="164"/>
      <c r="X173" s="164"/>
      <c r="Y173" s="164"/>
    </row>
    <row r="174" spans="1:25" ht="27" customHeight="1">
      <c r="A174" s="37" t="str">
        <f>IF(ISBLANK(C174)," ",169-COUNTBLANK($C$6:C174))</f>
        <v xml:space="preserve"> </v>
      </c>
      <c r="B174" s="9"/>
      <c r="C174" s="10"/>
      <c r="D174" s="33"/>
      <c r="E174" s="33"/>
      <c r="F174" s="11"/>
      <c r="G174" s="11"/>
      <c r="H174" s="12"/>
      <c r="I174" s="12"/>
      <c r="J174" s="32"/>
      <c r="K174" s="32"/>
      <c r="L174" s="32"/>
      <c r="M174" s="13"/>
      <c r="N174" s="163" t="str">
        <f t="shared" si="9"/>
        <v/>
      </c>
      <c r="O174" s="126" t="str">
        <f>IF(D174&gt;=E174,"-","ERR")</f>
        <v>-</v>
      </c>
      <c r="P174" s="164"/>
      <c r="Q174" s="164"/>
      <c r="R174" s="164"/>
      <c r="S174" s="164"/>
      <c r="T174" s="164"/>
      <c r="U174" s="164"/>
      <c r="V174" s="164"/>
    </row>
    <row r="175" spans="1:25" ht="27" customHeight="1">
      <c r="A175" s="38" t="str">
        <f>IF(ISBLANK(C175)," ",170-COUNTBLANK($C$6:C175))</f>
        <v xml:space="preserve"> </v>
      </c>
      <c r="B175" s="4"/>
      <c r="C175" s="5"/>
      <c r="D175" s="34"/>
      <c r="E175" s="34"/>
      <c r="F175" s="6"/>
      <c r="G175" s="6"/>
      <c r="H175" s="7"/>
      <c r="I175" s="7"/>
      <c r="J175" s="2"/>
      <c r="K175" s="2"/>
      <c r="L175" s="2"/>
      <c r="M175" s="8"/>
      <c r="N175" s="163" t="str">
        <f t="shared" si="9"/>
        <v/>
      </c>
      <c r="O175" s="126" t="str">
        <f t="shared" ref="O175:O193" si="11">IF(D175&gt;=E175,"-","ERR")</f>
        <v>-</v>
      </c>
      <c r="P175" s="164"/>
      <c r="Q175" s="164"/>
      <c r="R175" s="164"/>
      <c r="S175" s="164"/>
      <c r="T175" s="164"/>
      <c r="U175" s="164"/>
      <c r="V175" s="164"/>
    </row>
    <row r="176" spans="1:25" ht="27" customHeight="1">
      <c r="A176" s="38" t="str">
        <f>IF(ISBLANK(C176)," ",171-COUNTBLANK($C$6:C176))</f>
        <v xml:space="preserve"> </v>
      </c>
      <c r="B176" s="4"/>
      <c r="C176" s="5"/>
      <c r="D176" s="34"/>
      <c r="E176" s="34"/>
      <c r="F176" s="6"/>
      <c r="G176" s="6"/>
      <c r="H176" s="7"/>
      <c r="I176" s="7"/>
      <c r="J176" s="2"/>
      <c r="K176" s="2"/>
      <c r="L176" s="2"/>
      <c r="M176" s="8"/>
      <c r="N176" s="163" t="str">
        <f t="shared" si="9"/>
        <v/>
      </c>
      <c r="O176" s="126" t="str">
        <f t="shared" si="11"/>
        <v>-</v>
      </c>
      <c r="P176" s="164"/>
      <c r="Q176" s="164"/>
      <c r="R176" s="164"/>
      <c r="S176" s="164"/>
      <c r="T176" s="164"/>
      <c r="U176" s="164"/>
      <c r="V176" s="164"/>
    </row>
    <row r="177" spans="1:22" ht="27" customHeight="1">
      <c r="A177" s="38" t="str">
        <f>IF(ISBLANK(C177)," ",172-COUNTBLANK($C$6:C177))</f>
        <v xml:space="preserve"> </v>
      </c>
      <c r="B177" s="4"/>
      <c r="C177" s="5"/>
      <c r="D177" s="34"/>
      <c r="E177" s="34"/>
      <c r="F177" s="6"/>
      <c r="G177" s="6"/>
      <c r="H177" s="7"/>
      <c r="I177" s="7"/>
      <c r="J177" s="2"/>
      <c r="K177" s="2"/>
      <c r="L177" s="2"/>
      <c r="M177" s="8"/>
      <c r="N177" s="163" t="str">
        <f t="shared" si="9"/>
        <v/>
      </c>
      <c r="O177" s="126" t="str">
        <f t="shared" si="11"/>
        <v>-</v>
      </c>
      <c r="P177" s="164"/>
      <c r="Q177" s="164"/>
      <c r="R177" s="164"/>
      <c r="S177" s="164"/>
      <c r="T177" s="164"/>
      <c r="U177" s="164"/>
      <c r="V177" s="164"/>
    </row>
    <row r="178" spans="1:22" ht="27" customHeight="1">
      <c r="A178" s="38" t="str">
        <f>IF(ISBLANK(C178)," ",173-COUNTBLANK($C$6:C178))</f>
        <v xml:space="preserve"> </v>
      </c>
      <c r="B178" s="4"/>
      <c r="C178" s="5"/>
      <c r="D178" s="34"/>
      <c r="E178" s="34"/>
      <c r="F178" s="6"/>
      <c r="G178" s="6"/>
      <c r="H178" s="7"/>
      <c r="I178" s="7"/>
      <c r="J178" s="2"/>
      <c r="K178" s="2"/>
      <c r="L178" s="2"/>
      <c r="M178" s="8"/>
      <c r="N178" s="163" t="str">
        <f t="shared" si="9"/>
        <v/>
      </c>
      <c r="O178" s="126" t="str">
        <f t="shared" si="11"/>
        <v>-</v>
      </c>
      <c r="P178" s="164"/>
      <c r="Q178" s="164"/>
      <c r="R178" s="164"/>
      <c r="S178" s="164"/>
      <c r="T178" s="164"/>
      <c r="U178" s="164"/>
      <c r="V178" s="164"/>
    </row>
    <row r="179" spans="1:22" ht="27" customHeight="1">
      <c r="A179" s="38" t="str">
        <f>IF(ISBLANK(C179)," ",174-COUNTBLANK($C$6:C179))</f>
        <v xml:space="preserve"> </v>
      </c>
      <c r="B179" s="4"/>
      <c r="C179" s="5"/>
      <c r="D179" s="34"/>
      <c r="E179" s="34"/>
      <c r="F179" s="6"/>
      <c r="G179" s="6"/>
      <c r="H179" s="7"/>
      <c r="I179" s="7"/>
      <c r="J179" s="2"/>
      <c r="K179" s="2"/>
      <c r="L179" s="2"/>
      <c r="M179" s="8"/>
      <c r="N179" s="163" t="str">
        <f t="shared" si="9"/>
        <v/>
      </c>
      <c r="O179" s="126" t="str">
        <f t="shared" si="11"/>
        <v>-</v>
      </c>
      <c r="P179" s="164"/>
      <c r="Q179" s="164"/>
      <c r="R179" s="164"/>
      <c r="S179" s="164"/>
      <c r="T179" s="164"/>
      <c r="U179" s="164"/>
      <c r="V179" s="164"/>
    </row>
    <row r="180" spans="1:22" ht="27" customHeight="1">
      <c r="A180" s="38" t="str">
        <f>IF(ISBLANK(C180)," ",175-COUNTBLANK($C$6:C180))</f>
        <v xml:space="preserve"> </v>
      </c>
      <c r="B180" s="4"/>
      <c r="C180" s="5"/>
      <c r="D180" s="34"/>
      <c r="E180" s="34"/>
      <c r="F180" s="6"/>
      <c r="G180" s="6"/>
      <c r="H180" s="7"/>
      <c r="I180" s="7"/>
      <c r="J180" s="2"/>
      <c r="K180" s="2"/>
      <c r="L180" s="2"/>
      <c r="M180" s="8"/>
      <c r="N180" s="163" t="str">
        <f t="shared" si="9"/>
        <v/>
      </c>
      <c r="O180" s="126" t="str">
        <f t="shared" si="11"/>
        <v>-</v>
      </c>
      <c r="P180" s="164"/>
      <c r="Q180" s="164"/>
      <c r="R180" s="164"/>
      <c r="S180" s="164"/>
      <c r="T180" s="164"/>
      <c r="U180" s="164"/>
      <c r="V180" s="164"/>
    </row>
    <row r="181" spans="1:22" ht="27" customHeight="1">
      <c r="A181" s="38" t="str">
        <f>IF(ISBLANK(C181)," ",176-COUNTBLANK($C$6:C181))</f>
        <v xml:space="preserve"> </v>
      </c>
      <c r="B181" s="4"/>
      <c r="C181" s="5"/>
      <c r="D181" s="34"/>
      <c r="E181" s="34"/>
      <c r="F181" s="6"/>
      <c r="G181" s="6"/>
      <c r="H181" s="7"/>
      <c r="I181" s="7"/>
      <c r="J181" s="2"/>
      <c r="K181" s="2"/>
      <c r="L181" s="2"/>
      <c r="M181" s="8"/>
      <c r="N181" s="163" t="str">
        <f t="shared" si="9"/>
        <v/>
      </c>
      <c r="O181" s="126" t="str">
        <f t="shared" si="11"/>
        <v>-</v>
      </c>
      <c r="P181" s="164"/>
      <c r="Q181" s="164"/>
      <c r="R181" s="164"/>
      <c r="S181" s="164"/>
      <c r="T181" s="164"/>
      <c r="U181" s="164"/>
      <c r="V181" s="164"/>
    </row>
    <row r="182" spans="1:22" ht="27" customHeight="1">
      <c r="A182" s="38" t="str">
        <f>IF(ISBLANK(C182)," ",177-COUNTBLANK($C$6:C182))</f>
        <v xml:space="preserve"> </v>
      </c>
      <c r="B182" s="4"/>
      <c r="C182" s="5"/>
      <c r="D182" s="34"/>
      <c r="E182" s="34"/>
      <c r="F182" s="6"/>
      <c r="G182" s="6"/>
      <c r="H182" s="7"/>
      <c r="I182" s="7"/>
      <c r="J182" s="2"/>
      <c r="K182" s="2"/>
      <c r="L182" s="2"/>
      <c r="M182" s="8"/>
      <c r="N182" s="163" t="str">
        <f t="shared" si="9"/>
        <v/>
      </c>
      <c r="O182" s="126" t="str">
        <f t="shared" si="11"/>
        <v>-</v>
      </c>
      <c r="P182" s="164"/>
      <c r="Q182" s="164"/>
      <c r="R182" s="164"/>
      <c r="S182" s="164"/>
      <c r="T182" s="164"/>
      <c r="U182" s="164"/>
      <c r="V182" s="164"/>
    </row>
    <row r="183" spans="1:22" ht="27" customHeight="1">
      <c r="A183" s="38" t="str">
        <f>IF(ISBLANK(C183)," ",178-COUNTBLANK($C$6:C183))</f>
        <v xml:space="preserve"> </v>
      </c>
      <c r="B183" s="4"/>
      <c r="C183" s="5"/>
      <c r="D183" s="34"/>
      <c r="E183" s="34"/>
      <c r="F183" s="6"/>
      <c r="G183" s="6"/>
      <c r="H183" s="7"/>
      <c r="I183" s="7"/>
      <c r="J183" s="2"/>
      <c r="K183" s="2"/>
      <c r="L183" s="2"/>
      <c r="M183" s="8"/>
      <c r="N183" s="163" t="str">
        <f t="shared" si="9"/>
        <v/>
      </c>
      <c r="O183" s="126" t="str">
        <f t="shared" si="11"/>
        <v>-</v>
      </c>
      <c r="P183" s="164"/>
      <c r="Q183" s="164"/>
      <c r="R183" s="164"/>
      <c r="S183" s="164"/>
      <c r="T183" s="164"/>
      <c r="U183" s="164"/>
      <c r="V183" s="164"/>
    </row>
    <row r="184" spans="1:22" ht="27" customHeight="1">
      <c r="A184" s="38" t="str">
        <f>IF(ISBLANK(C184)," ",179-COUNTBLANK($C$6:C184))</f>
        <v xml:space="preserve"> </v>
      </c>
      <c r="B184" s="4"/>
      <c r="C184" s="5"/>
      <c r="D184" s="34"/>
      <c r="E184" s="34"/>
      <c r="F184" s="6"/>
      <c r="G184" s="6"/>
      <c r="H184" s="7"/>
      <c r="I184" s="7"/>
      <c r="J184" s="2"/>
      <c r="K184" s="2"/>
      <c r="L184" s="2"/>
      <c r="M184" s="8"/>
      <c r="N184" s="163" t="str">
        <f t="shared" si="9"/>
        <v/>
      </c>
      <c r="O184" s="126" t="str">
        <f t="shared" si="11"/>
        <v>-</v>
      </c>
      <c r="P184" s="164"/>
      <c r="Q184" s="164"/>
      <c r="R184" s="164"/>
      <c r="S184" s="164"/>
      <c r="T184" s="164"/>
      <c r="U184" s="164"/>
      <c r="V184" s="164"/>
    </row>
    <row r="185" spans="1:22" ht="27" customHeight="1">
      <c r="A185" s="38" t="str">
        <f>IF(ISBLANK(C185)," ",180-COUNTBLANK($C$6:C185))</f>
        <v xml:space="preserve"> </v>
      </c>
      <c r="B185" s="4"/>
      <c r="C185" s="5"/>
      <c r="D185" s="34"/>
      <c r="E185" s="34"/>
      <c r="F185" s="6"/>
      <c r="G185" s="6"/>
      <c r="H185" s="7"/>
      <c r="I185" s="7"/>
      <c r="J185" s="2"/>
      <c r="K185" s="2"/>
      <c r="L185" s="2"/>
      <c r="M185" s="8"/>
      <c r="N185" s="163" t="str">
        <f t="shared" si="9"/>
        <v/>
      </c>
      <c r="O185" s="126" t="str">
        <f t="shared" si="11"/>
        <v>-</v>
      </c>
      <c r="P185" s="164"/>
      <c r="Q185" s="164"/>
      <c r="R185" s="164"/>
      <c r="S185" s="164"/>
      <c r="T185" s="164"/>
      <c r="U185" s="164"/>
      <c r="V185" s="164"/>
    </row>
    <row r="186" spans="1:22" ht="27" customHeight="1">
      <c r="A186" s="38" t="str">
        <f>IF(ISBLANK(C186)," ",181-COUNTBLANK($C$6:C186))</f>
        <v xml:space="preserve"> </v>
      </c>
      <c r="B186" s="4"/>
      <c r="C186" s="5"/>
      <c r="D186" s="34"/>
      <c r="E186" s="34"/>
      <c r="F186" s="6"/>
      <c r="G186" s="6"/>
      <c r="H186" s="7"/>
      <c r="I186" s="7"/>
      <c r="J186" s="2"/>
      <c r="K186" s="2"/>
      <c r="L186" s="2"/>
      <c r="M186" s="8"/>
      <c r="N186" s="163" t="str">
        <f t="shared" si="9"/>
        <v/>
      </c>
      <c r="O186" s="126" t="str">
        <f t="shared" si="11"/>
        <v>-</v>
      </c>
      <c r="P186" s="164"/>
      <c r="Q186" s="164"/>
      <c r="R186" s="164"/>
      <c r="S186" s="164"/>
      <c r="T186" s="164"/>
      <c r="U186" s="164"/>
      <c r="V186" s="164"/>
    </row>
    <row r="187" spans="1:22" ht="27" customHeight="1">
      <c r="A187" s="38" t="str">
        <f>IF(ISBLANK(C187)," ",182-COUNTBLANK($C$6:C187))</f>
        <v xml:space="preserve"> </v>
      </c>
      <c r="B187" s="4"/>
      <c r="C187" s="5"/>
      <c r="D187" s="34"/>
      <c r="E187" s="34"/>
      <c r="F187" s="6"/>
      <c r="G187" s="6"/>
      <c r="H187" s="7"/>
      <c r="I187" s="7"/>
      <c r="J187" s="2"/>
      <c r="K187" s="2"/>
      <c r="L187" s="2"/>
      <c r="M187" s="8"/>
      <c r="N187" s="163" t="str">
        <f t="shared" si="9"/>
        <v/>
      </c>
      <c r="O187" s="126" t="str">
        <f t="shared" si="11"/>
        <v>-</v>
      </c>
      <c r="P187" s="164"/>
      <c r="Q187" s="164"/>
      <c r="R187" s="164"/>
      <c r="S187" s="164"/>
      <c r="T187" s="164"/>
      <c r="U187" s="164"/>
      <c r="V187" s="164"/>
    </row>
    <row r="188" spans="1:22" ht="27" customHeight="1">
      <c r="A188" s="38" t="str">
        <f>IF(ISBLANK(C188)," ",183-COUNTBLANK($C$6:C188))</f>
        <v xml:space="preserve"> </v>
      </c>
      <c r="B188" s="4"/>
      <c r="C188" s="5"/>
      <c r="D188" s="34"/>
      <c r="E188" s="34"/>
      <c r="F188" s="6"/>
      <c r="G188" s="6"/>
      <c r="H188" s="7"/>
      <c r="I188" s="7"/>
      <c r="J188" s="2"/>
      <c r="K188" s="2"/>
      <c r="L188" s="2"/>
      <c r="M188" s="8"/>
      <c r="N188" s="163" t="str">
        <f t="shared" si="9"/>
        <v/>
      </c>
      <c r="O188" s="126" t="str">
        <f t="shared" si="11"/>
        <v>-</v>
      </c>
      <c r="P188" s="164"/>
      <c r="Q188" s="164"/>
      <c r="R188" s="164"/>
      <c r="S188" s="164"/>
      <c r="T188" s="164"/>
      <c r="U188" s="164"/>
      <c r="V188" s="164"/>
    </row>
    <row r="189" spans="1:22" ht="27" customHeight="1">
      <c r="A189" s="38" t="str">
        <f>IF(ISBLANK(C189)," ",184-COUNTBLANK($C$6:C189))</f>
        <v xml:space="preserve"> </v>
      </c>
      <c r="B189" s="4"/>
      <c r="C189" s="5"/>
      <c r="D189" s="34"/>
      <c r="E189" s="34"/>
      <c r="F189" s="6"/>
      <c r="G189" s="6"/>
      <c r="H189" s="7"/>
      <c r="I189" s="7"/>
      <c r="J189" s="2"/>
      <c r="K189" s="2"/>
      <c r="L189" s="2"/>
      <c r="M189" s="8"/>
      <c r="N189" s="163" t="str">
        <f t="shared" si="9"/>
        <v/>
      </c>
      <c r="O189" s="126" t="str">
        <f t="shared" si="11"/>
        <v>-</v>
      </c>
      <c r="P189" s="164"/>
      <c r="Q189" s="164"/>
      <c r="R189" s="164"/>
      <c r="S189" s="164"/>
      <c r="T189" s="164"/>
      <c r="U189" s="164"/>
      <c r="V189" s="165"/>
    </row>
    <row r="190" spans="1:22" ht="27" customHeight="1">
      <c r="A190" s="38" t="str">
        <f>IF(ISBLANK(C190)," ",185-COUNTBLANK($C$6:C190))</f>
        <v xml:space="preserve"> </v>
      </c>
      <c r="B190" s="4"/>
      <c r="C190" s="5"/>
      <c r="D190" s="34"/>
      <c r="E190" s="34"/>
      <c r="F190" s="6"/>
      <c r="G190" s="6"/>
      <c r="H190" s="7"/>
      <c r="I190" s="7"/>
      <c r="J190" s="2"/>
      <c r="K190" s="2"/>
      <c r="L190" s="2"/>
      <c r="M190" s="8"/>
      <c r="N190" s="163" t="str">
        <f t="shared" si="9"/>
        <v/>
      </c>
      <c r="O190" s="126" t="str">
        <f t="shared" si="11"/>
        <v>-</v>
      </c>
      <c r="P190" s="164"/>
      <c r="Q190" s="164"/>
      <c r="R190" s="164"/>
      <c r="S190" s="164"/>
      <c r="T190" s="164"/>
      <c r="U190" s="164"/>
      <c r="V190" s="165"/>
    </row>
    <row r="191" spans="1:22" ht="27" customHeight="1">
      <c r="A191" s="38" t="str">
        <f>IF(ISBLANK(C191)," ",186-COUNTBLANK($C$6:C191))</f>
        <v xml:space="preserve"> </v>
      </c>
      <c r="B191" s="4"/>
      <c r="C191" s="5"/>
      <c r="D191" s="34"/>
      <c r="E191" s="34"/>
      <c r="F191" s="6"/>
      <c r="G191" s="6"/>
      <c r="H191" s="7"/>
      <c r="I191" s="7"/>
      <c r="J191" s="2"/>
      <c r="K191" s="2"/>
      <c r="L191" s="2"/>
      <c r="M191" s="8"/>
      <c r="N191" s="163" t="str">
        <f t="shared" si="9"/>
        <v/>
      </c>
      <c r="O191" s="126" t="str">
        <f t="shared" si="11"/>
        <v>-</v>
      </c>
      <c r="P191" s="164"/>
      <c r="Q191" s="164"/>
      <c r="R191" s="164"/>
      <c r="S191" s="164"/>
      <c r="T191" s="164"/>
      <c r="U191" s="164"/>
      <c r="V191" s="165"/>
    </row>
    <row r="192" spans="1:22" ht="27" customHeight="1">
      <c r="A192" s="38" t="str">
        <f>IF(ISBLANK(C192)," ",187-COUNTBLANK($C$6:C192))</f>
        <v xml:space="preserve"> </v>
      </c>
      <c r="B192" s="4"/>
      <c r="C192" s="5"/>
      <c r="D192" s="34"/>
      <c r="E192" s="34"/>
      <c r="F192" s="6"/>
      <c r="G192" s="6"/>
      <c r="H192" s="7"/>
      <c r="I192" s="7"/>
      <c r="J192" s="2"/>
      <c r="K192" s="2"/>
      <c r="L192" s="2"/>
      <c r="M192" s="8"/>
      <c r="N192" s="163" t="str">
        <f t="shared" si="9"/>
        <v/>
      </c>
      <c r="O192" s="126" t="str">
        <f t="shared" si="11"/>
        <v>-</v>
      </c>
      <c r="P192" s="164"/>
      <c r="Q192" s="164"/>
      <c r="R192" s="164"/>
      <c r="S192" s="164"/>
      <c r="T192" s="164"/>
      <c r="U192" s="164"/>
      <c r="V192" s="165"/>
    </row>
    <row r="193" spans="1:25" ht="27" customHeight="1">
      <c r="A193" s="39" t="str">
        <f>IF(ISBLANK(C193)," ",188-COUNTBLANK($C$6:C193))</f>
        <v xml:space="preserve"> </v>
      </c>
      <c r="B193" s="14"/>
      <c r="C193" s="15"/>
      <c r="D193" s="35"/>
      <c r="E193" s="35"/>
      <c r="F193" s="16"/>
      <c r="G193" s="16"/>
      <c r="H193" s="17"/>
      <c r="I193" s="17"/>
      <c r="J193" s="3"/>
      <c r="K193" s="3"/>
      <c r="L193" s="3"/>
      <c r="M193" s="18"/>
      <c r="N193" s="163" t="str">
        <f t="shared" si="9"/>
        <v/>
      </c>
      <c r="O193" s="126" t="str">
        <f t="shared" si="11"/>
        <v>-</v>
      </c>
      <c r="P193" s="164"/>
      <c r="Q193" s="164"/>
      <c r="R193" s="164"/>
      <c r="S193" s="164"/>
      <c r="T193" s="164"/>
      <c r="U193" s="164"/>
      <c r="V193" s="166"/>
      <c r="W193" s="164"/>
      <c r="X193" s="164"/>
      <c r="Y193" s="164"/>
    </row>
    <row r="194" spans="1:25" ht="27" customHeight="1">
      <c r="A194" s="172" t="s">
        <v>44</v>
      </c>
      <c r="B194" s="173"/>
      <c r="C194" s="174"/>
      <c r="D194" s="175"/>
      <c r="E194" s="175">
        <f>SUM(E174:E193)</f>
        <v>0</v>
      </c>
      <c r="F194" s="176"/>
      <c r="G194" s="176"/>
      <c r="H194" s="176"/>
      <c r="I194" s="176"/>
      <c r="J194" s="176"/>
      <c r="K194" s="176"/>
      <c r="L194" s="176"/>
      <c r="M194" s="177"/>
      <c r="N194" s="163" t="str">
        <f t="shared" si="9"/>
        <v/>
      </c>
      <c r="O194" s="126"/>
      <c r="P194" s="164"/>
      <c r="Q194" s="164"/>
      <c r="R194" s="164"/>
      <c r="S194" s="164"/>
      <c r="T194" s="164"/>
      <c r="U194" s="164"/>
      <c r="V194" s="166"/>
      <c r="W194" s="164"/>
      <c r="X194" s="164"/>
      <c r="Y194" s="164"/>
    </row>
    <row r="195" spans="1:25" ht="27" customHeight="1">
      <c r="A195" s="37" t="str">
        <f>IF(ISBLANK(C195)," ",190-COUNTBLANK($C$6:C195))</f>
        <v xml:space="preserve"> </v>
      </c>
      <c r="B195" s="9"/>
      <c r="C195" s="10"/>
      <c r="D195" s="33"/>
      <c r="E195" s="33"/>
      <c r="F195" s="11"/>
      <c r="G195" s="11"/>
      <c r="H195" s="12"/>
      <c r="I195" s="12"/>
      <c r="J195" s="32"/>
      <c r="K195" s="32"/>
      <c r="L195" s="32"/>
      <c r="M195" s="13"/>
      <c r="N195" s="163" t="str">
        <f t="shared" si="9"/>
        <v/>
      </c>
      <c r="O195" s="126" t="str">
        <f>IF(D195&gt;=E195,"-","ERR")</f>
        <v>-</v>
      </c>
      <c r="P195" s="164"/>
      <c r="Q195" s="164"/>
      <c r="R195" s="164"/>
      <c r="S195" s="164"/>
      <c r="T195" s="164"/>
      <c r="U195" s="164"/>
      <c r="V195" s="164"/>
    </row>
    <row r="196" spans="1:25" ht="27" customHeight="1">
      <c r="A196" s="38" t="str">
        <f>IF(ISBLANK(C196)," ",191-COUNTBLANK($C$6:C196))</f>
        <v xml:space="preserve"> </v>
      </c>
      <c r="B196" s="4"/>
      <c r="C196" s="5"/>
      <c r="D196" s="34"/>
      <c r="E196" s="34"/>
      <c r="F196" s="6"/>
      <c r="G196" s="6"/>
      <c r="H196" s="7"/>
      <c r="I196" s="7"/>
      <c r="J196" s="2"/>
      <c r="K196" s="2"/>
      <c r="L196" s="2"/>
      <c r="M196" s="8"/>
      <c r="N196" s="163" t="str">
        <f t="shared" si="9"/>
        <v/>
      </c>
      <c r="O196" s="126" t="str">
        <f t="shared" ref="O196:O214" si="12">IF(D196&gt;=E196,"-","ERR")</f>
        <v>-</v>
      </c>
      <c r="P196" s="164"/>
      <c r="Q196" s="164"/>
      <c r="R196" s="164"/>
      <c r="S196" s="164"/>
      <c r="T196" s="164"/>
      <c r="U196" s="164"/>
      <c r="V196" s="164"/>
    </row>
    <row r="197" spans="1:25" ht="27" customHeight="1">
      <c r="A197" s="38" t="str">
        <f>IF(ISBLANK(C197)," ",192-COUNTBLANK($C$6:C197))</f>
        <v xml:space="preserve"> </v>
      </c>
      <c r="B197" s="4"/>
      <c r="C197" s="5"/>
      <c r="D197" s="34"/>
      <c r="E197" s="34"/>
      <c r="F197" s="6"/>
      <c r="G197" s="6"/>
      <c r="H197" s="7"/>
      <c r="I197" s="7"/>
      <c r="J197" s="2"/>
      <c r="K197" s="2"/>
      <c r="L197" s="2"/>
      <c r="M197" s="8"/>
      <c r="N197" s="163" t="str">
        <f t="shared" si="9"/>
        <v/>
      </c>
      <c r="O197" s="126" t="str">
        <f t="shared" si="12"/>
        <v>-</v>
      </c>
      <c r="P197" s="164"/>
      <c r="Q197" s="164"/>
      <c r="R197" s="164"/>
      <c r="S197" s="164"/>
      <c r="T197" s="164"/>
      <c r="U197" s="164"/>
      <c r="V197" s="164"/>
    </row>
    <row r="198" spans="1:25" ht="27" customHeight="1">
      <c r="A198" s="38" t="str">
        <f>IF(ISBLANK(C198)," ",193-COUNTBLANK($C$6:C198))</f>
        <v xml:space="preserve"> </v>
      </c>
      <c r="B198" s="4"/>
      <c r="C198" s="5"/>
      <c r="D198" s="34"/>
      <c r="E198" s="34"/>
      <c r="F198" s="6"/>
      <c r="G198" s="6"/>
      <c r="H198" s="7"/>
      <c r="I198" s="7"/>
      <c r="J198" s="2"/>
      <c r="K198" s="2"/>
      <c r="L198" s="2"/>
      <c r="M198" s="8"/>
      <c r="N198" s="163" t="str">
        <f t="shared" si="9"/>
        <v/>
      </c>
      <c r="O198" s="126" t="str">
        <f t="shared" si="12"/>
        <v>-</v>
      </c>
      <c r="P198" s="164"/>
      <c r="Q198" s="164"/>
      <c r="R198" s="164"/>
      <c r="S198" s="164"/>
      <c r="T198" s="164"/>
      <c r="U198" s="164"/>
      <c r="V198" s="164"/>
    </row>
    <row r="199" spans="1:25" ht="27" customHeight="1">
      <c r="A199" s="38" t="str">
        <f>IF(ISBLANK(C199)," ",194-COUNTBLANK($C$6:C199))</f>
        <v xml:space="preserve"> </v>
      </c>
      <c r="B199" s="4"/>
      <c r="C199" s="5"/>
      <c r="D199" s="34"/>
      <c r="E199" s="34"/>
      <c r="F199" s="6"/>
      <c r="G199" s="6"/>
      <c r="H199" s="7"/>
      <c r="I199" s="7"/>
      <c r="J199" s="2"/>
      <c r="K199" s="2"/>
      <c r="L199" s="2"/>
      <c r="M199" s="8"/>
      <c r="N199" s="163" t="str">
        <f t="shared" ref="N199:N232" si="13">CONCATENATE(C199,H199)</f>
        <v/>
      </c>
      <c r="O199" s="126" t="str">
        <f t="shared" si="12"/>
        <v>-</v>
      </c>
      <c r="P199" s="164"/>
      <c r="Q199" s="164"/>
      <c r="R199" s="164"/>
      <c r="S199" s="164"/>
      <c r="T199" s="164"/>
      <c r="U199" s="164"/>
      <c r="V199" s="164"/>
    </row>
    <row r="200" spans="1:25" ht="27" customHeight="1">
      <c r="A200" s="38" t="str">
        <f>IF(ISBLANK(C200)," ",195-COUNTBLANK($C$6:C200))</f>
        <v xml:space="preserve"> </v>
      </c>
      <c r="B200" s="4"/>
      <c r="C200" s="5"/>
      <c r="D200" s="34"/>
      <c r="E200" s="34"/>
      <c r="F200" s="6"/>
      <c r="G200" s="6"/>
      <c r="H200" s="7"/>
      <c r="I200" s="7"/>
      <c r="J200" s="2"/>
      <c r="K200" s="2"/>
      <c r="L200" s="2"/>
      <c r="M200" s="8"/>
      <c r="N200" s="163" t="str">
        <f t="shared" si="13"/>
        <v/>
      </c>
      <c r="O200" s="126" t="str">
        <f t="shared" si="12"/>
        <v>-</v>
      </c>
      <c r="P200" s="164"/>
      <c r="Q200" s="164"/>
      <c r="R200" s="164"/>
      <c r="S200" s="164"/>
      <c r="T200" s="164"/>
      <c r="U200" s="164"/>
      <c r="V200" s="164"/>
    </row>
    <row r="201" spans="1:25" ht="27" customHeight="1">
      <c r="A201" s="38" t="str">
        <f>IF(ISBLANK(C201)," ",196-COUNTBLANK($C$6:C201))</f>
        <v xml:space="preserve"> </v>
      </c>
      <c r="B201" s="4"/>
      <c r="C201" s="5"/>
      <c r="D201" s="34"/>
      <c r="E201" s="34"/>
      <c r="F201" s="6"/>
      <c r="G201" s="6"/>
      <c r="H201" s="7"/>
      <c r="I201" s="7"/>
      <c r="J201" s="2"/>
      <c r="K201" s="2"/>
      <c r="L201" s="2"/>
      <c r="M201" s="8"/>
      <c r="N201" s="163" t="str">
        <f t="shared" si="13"/>
        <v/>
      </c>
      <c r="O201" s="126" t="str">
        <f t="shared" si="12"/>
        <v>-</v>
      </c>
      <c r="P201" s="164"/>
      <c r="Q201" s="164"/>
      <c r="R201" s="164"/>
      <c r="S201" s="164"/>
      <c r="T201" s="164"/>
      <c r="U201" s="164"/>
      <c r="V201" s="164"/>
    </row>
    <row r="202" spans="1:25" ht="27" customHeight="1">
      <c r="A202" s="38" t="str">
        <f>IF(ISBLANK(C202)," ",197-COUNTBLANK($C$6:C202))</f>
        <v xml:space="preserve"> </v>
      </c>
      <c r="B202" s="4"/>
      <c r="C202" s="5"/>
      <c r="D202" s="34"/>
      <c r="E202" s="34"/>
      <c r="F202" s="6"/>
      <c r="G202" s="6"/>
      <c r="H202" s="7"/>
      <c r="I202" s="7"/>
      <c r="J202" s="2"/>
      <c r="K202" s="2"/>
      <c r="L202" s="2"/>
      <c r="M202" s="8"/>
      <c r="N202" s="163" t="str">
        <f t="shared" si="13"/>
        <v/>
      </c>
      <c r="O202" s="126" t="str">
        <f t="shared" si="12"/>
        <v>-</v>
      </c>
      <c r="P202" s="164"/>
      <c r="Q202" s="164"/>
      <c r="R202" s="164"/>
      <c r="S202" s="164"/>
      <c r="T202" s="164"/>
      <c r="U202" s="164"/>
      <c r="V202" s="164"/>
    </row>
    <row r="203" spans="1:25" ht="27" customHeight="1">
      <c r="A203" s="38" t="str">
        <f>IF(ISBLANK(C203)," ",198-COUNTBLANK($C$6:C203))</f>
        <v xml:space="preserve"> </v>
      </c>
      <c r="B203" s="4"/>
      <c r="C203" s="5"/>
      <c r="D203" s="34"/>
      <c r="E203" s="34"/>
      <c r="F203" s="6"/>
      <c r="G203" s="6"/>
      <c r="H203" s="7"/>
      <c r="I203" s="7"/>
      <c r="J203" s="2"/>
      <c r="K203" s="2"/>
      <c r="L203" s="2"/>
      <c r="M203" s="8"/>
      <c r="N203" s="163" t="str">
        <f t="shared" si="13"/>
        <v/>
      </c>
      <c r="O203" s="126" t="str">
        <f t="shared" si="12"/>
        <v>-</v>
      </c>
      <c r="P203" s="164"/>
      <c r="Q203" s="164"/>
      <c r="R203" s="164"/>
      <c r="S203" s="164"/>
      <c r="T203" s="164"/>
      <c r="U203" s="164"/>
      <c r="V203" s="164"/>
    </row>
    <row r="204" spans="1:25" ht="27" customHeight="1">
      <c r="A204" s="38" t="str">
        <f>IF(ISBLANK(C204)," ",199-COUNTBLANK($C$6:C204))</f>
        <v xml:space="preserve"> </v>
      </c>
      <c r="B204" s="4"/>
      <c r="C204" s="5"/>
      <c r="D204" s="34"/>
      <c r="E204" s="34"/>
      <c r="F204" s="6"/>
      <c r="G204" s="6"/>
      <c r="H204" s="7"/>
      <c r="I204" s="7"/>
      <c r="J204" s="2"/>
      <c r="K204" s="2"/>
      <c r="L204" s="2"/>
      <c r="M204" s="8"/>
      <c r="N204" s="163" t="str">
        <f t="shared" si="13"/>
        <v/>
      </c>
      <c r="O204" s="126" t="str">
        <f t="shared" si="12"/>
        <v>-</v>
      </c>
      <c r="P204" s="164"/>
      <c r="Q204" s="164"/>
      <c r="R204" s="164"/>
      <c r="S204" s="164"/>
      <c r="T204" s="164"/>
      <c r="U204" s="164"/>
      <c r="V204" s="164"/>
    </row>
    <row r="205" spans="1:25" ht="27" customHeight="1">
      <c r="A205" s="38" t="str">
        <f>IF(ISBLANK(C205)," ",200-COUNTBLANK($C$6:C205))</f>
        <v xml:space="preserve"> </v>
      </c>
      <c r="B205" s="4"/>
      <c r="C205" s="5"/>
      <c r="D205" s="34"/>
      <c r="E205" s="34"/>
      <c r="F205" s="6"/>
      <c r="G205" s="6"/>
      <c r="H205" s="7"/>
      <c r="I205" s="7"/>
      <c r="J205" s="2"/>
      <c r="K205" s="2"/>
      <c r="L205" s="2"/>
      <c r="M205" s="8"/>
      <c r="N205" s="163" t="str">
        <f t="shared" si="13"/>
        <v/>
      </c>
      <c r="O205" s="126" t="str">
        <f t="shared" si="12"/>
        <v>-</v>
      </c>
      <c r="P205" s="164"/>
      <c r="Q205" s="164"/>
      <c r="R205" s="164"/>
      <c r="S205" s="164"/>
      <c r="T205" s="164"/>
      <c r="U205" s="164"/>
      <c r="V205" s="164"/>
    </row>
    <row r="206" spans="1:25" ht="27" customHeight="1">
      <c r="A206" s="38" t="str">
        <f>IF(ISBLANK(C206)," ",201-COUNTBLANK($C$6:C206))</f>
        <v xml:space="preserve"> </v>
      </c>
      <c r="B206" s="4"/>
      <c r="C206" s="5"/>
      <c r="D206" s="34"/>
      <c r="E206" s="34"/>
      <c r="F206" s="6"/>
      <c r="G206" s="6"/>
      <c r="H206" s="7"/>
      <c r="I206" s="7"/>
      <c r="J206" s="2"/>
      <c r="K206" s="2"/>
      <c r="L206" s="2"/>
      <c r="M206" s="8"/>
      <c r="N206" s="163" t="str">
        <f t="shared" si="13"/>
        <v/>
      </c>
      <c r="O206" s="126" t="str">
        <f t="shared" si="12"/>
        <v>-</v>
      </c>
      <c r="P206" s="164"/>
      <c r="Q206" s="164"/>
      <c r="R206" s="164"/>
      <c r="S206" s="164"/>
      <c r="T206" s="164"/>
      <c r="U206" s="164"/>
      <c r="V206" s="164"/>
    </row>
    <row r="207" spans="1:25" ht="27" customHeight="1">
      <c r="A207" s="38" t="str">
        <f>IF(ISBLANK(C207)," ",202-COUNTBLANK($C$6:C207))</f>
        <v xml:space="preserve"> </v>
      </c>
      <c r="B207" s="4"/>
      <c r="C207" s="5"/>
      <c r="D207" s="34"/>
      <c r="E207" s="34"/>
      <c r="F207" s="6"/>
      <c r="G207" s="6"/>
      <c r="H207" s="7"/>
      <c r="I207" s="7"/>
      <c r="J207" s="2"/>
      <c r="K207" s="2"/>
      <c r="L207" s="2"/>
      <c r="M207" s="8"/>
      <c r="N207" s="163" t="str">
        <f t="shared" si="13"/>
        <v/>
      </c>
      <c r="O207" s="126" t="str">
        <f t="shared" si="12"/>
        <v>-</v>
      </c>
      <c r="P207" s="164"/>
      <c r="Q207" s="164"/>
      <c r="R207" s="164"/>
      <c r="S207" s="164"/>
      <c r="T207" s="164"/>
      <c r="U207" s="164"/>
      <c r="V207" s="164"/>
    </row>
    <row r="208" spans="1:25" ht="27" customHeight="1">
      <c r="A208" s="38" t="str">
        <f>IF(ISBLANK(C208)," ",203-COUNTBLANK($C$6:C208))</f>
        <v xml:space="preserve"> </v>
      </c>
      <c r="B208" s="4"/>
      <c r="C208" s="5"/>
      <c r="D208" s="34"/>
      <c r="E208" s="34"/>
      <c r="F208" s="6"/>
      <c r="G208" s="6"/>
      <c r="H208" s="7"/>
      <c r="I208" s="7"/>
      <c r="J208" s="2"/>
      <c r="K208" s="2"/>
      <c r="L208" s="2"/>
      <c r="M208" s="8"/>
      <c r="N208" s="163" t="str">
        <f t="shared" si="13"/>
        <v/>
      </c>
      <c r="O208" s="126" t="str">
        <f t="shared" si="12"/>
        <v>-</v>
      </c>
      <c r="P208" s="164"/>
      <c r="Q208" s="164"/>
      <c r="R208" s="164"/>
      <c r="S208" s="164"/>
      <c r="T208" s="164"/>
      <c r="U208" s="164"/>
      <c r="V208" s="164"/>
    </row>
    <row r="209" spans="1:25" ht="27" customHeight="1">
      <c r="A209" s="38" t="str">
        <f>IF(ISBLANK(C209)," ",204-COUNTBLANK($C$6:C209))</f>
        <v xml:space="preserve"> </v>
      </c>
      <c r="B209" s="4"/>
      <c r="C209" s="5"/>
      <c r="D209" s="34"/>
      <c r="E209" s="34"/>
      <c r="F209" s="6"/>
      <c r="G209" s="6"/>
      <c r="H209" s="7"/>
      <c r="I209" s="7"/>
      <c r="J209" s="2"/>
      <c r="K209" s="2"/>
      <c r="L209" s="2"/>
      <c r="M209" s="8"/>
      <c r="N209" s="163" t="str">
        <f t="shared" si="13"/>
        <v/>
      </c>
      <c r="O209" s="126" t="str">
        <f t="shared" si="12"/>
        <v>-</v>
      </c>
      <c r="P209" s="164"/>
      <c r="Q209" s="164"/>
      <c r="R209" s="164"/>
      <c r="S209" s="164"/>
      <c r="T209" s="164"/>
      <c r="U209" s="164"/>
      <c r="V209" s="164"/>
    </row>
    <row r="210" spans="1:25" ht="27" customHeight="1">
      <c r="A210" s="38" t="str">
        <f>IF(ISBLANK(C210)," ",205-COUNTBLANK($C$6:C210))</f>
        <v xml:space="preserve"> </v>
      </c>
      <c r="B210" s="4"/>
      <c r="C210" s="5"/>
      <c r="D210" s="34"/>
      <c r="E210" s="34"/>
      <c r="F210" s="6"/>
      <c r="G210" s="6"/>
      <c r="H210" s="7"/>
      <c r="I210" s="7"/>
      <c r="J210" s="2"/>
      <c r="K210" s="2"/>
      <c r="L210" s="2"/>
      <c r="M210" s="8"/>
      <c r="N210" s="163" t="str">
        <f t="shared" si="13"/>
        <v/>
      </c>
      <c r="O210" s="126" t="str">
        <f t="shared" si="12"/>
        <v>-</v>
      </c>
      <c r="P210" s="164"/>
      <c r="Q210" s="164"/>
      <c r="R210" s="164"/>
      <c r="S210" s="164"/>
      <c r="T210" s="164"/>
      <c r="U210" s="164"/>
      <c r="V210" s="165"/>
    </row>
    <row r="211" spans="1:25" ht="27" customHeight="1">
      <c r="A211" s="38" t="str">
        <f>IF(ISBLANK(C211)," ",206-COUNTBLANK($C$6:C211))</f>
        <v xml:space="preserve"> </v>
      </c>
      <c r="B211" s="4"/>
      <c r="C211" s="5"/>
      <c r="D211" s="34"/>
      <c r="E211" s="34"/>
      <c r="F211" s="6"/>
      <c r="G211" s="6"/>
      <c r="H211" s="7"/>
      <c r="I211" s="7"/>
      <c r="J211" s="2"/>
      <c r="K211" s="2"/>
      <c r="L211" s="2"/>
      <c r="M211" s="8"/>
      <c r="N211" s="163" t="str">
        <f t="shared" si="13"/>
        <v/>
      </c>
      <c r="O211" s="126" t="str">
        <f t="shared" si="12"/>
        <v>-</v>
      </c>
      <c r="P211" s="164"/>
      <c r="Q211" s="164"/>
      <c r="R211" s="164"/>
      <c r="S211" s="164"/>
      <c r="T211" s="164"/>
      <c r="U211" s="164"/>
      <c r="V211" s="165"/>
    </row>
    <row r="212" spans="1:25" ht="27" customHeight="1">
      <c r="A212" s="38" t="str">
        <f>IF(ISBLANK(C212)," ",207-COUNTBLANK($C$6:C212))</f>
        <v xml:space="preserve"> </v>
      </c>
      <c r="B212" s="178"/>
      <c r="C212" s="178"/>
      <c r="D212" s="179"/>
      <c r="E212" s="179"/>
      <c r="F212" s="180"/>
      <c r="G212" s="180"/>
      <c r="H212" s="180"/>
      <c r="I212" s="180"/>
      <c r="J212" s="180"/>
      <c r="K212" s="180"/>
      <c r="L212" s="180"/>
      <c r="M212" s="181"/>
      <c r="N212" s="163" t="str">
        <f t="shared" si="13"/>
        <v/>
      </c>
      <c r="O212" s="126" t="str">
        <f t="shared" si="12"/>
        <v>-</v>
      </c>
      <c r="P212" s="164"/>
      <c r="Q212" s="164"/>
      <c r="R212" s="164"/>
      <c r="S212" s="164"/>
      <c r="T212" s="164"/>
      <c r="U212" s="164"/>
      <c r="V212" s="165"/>
    </row>
    <row r="213" spans="1:25" ht="27" customHeight="1">
      <c r="A213" s="38" t="str">
        <f>IF(ISBLANK(C213)," ",208-COUNTBLANK($C$6:C213))</f>
        <v xml:space="preserve"> </v>
      </c>
      <c r="B213" s="178"/>
      <c r="C213" s="178"/>
      <c r="D213" s="179"/>
      <c r="E213" s="179"/>
      <c r="F213" s="180"/>
      <c r="G213" s="180"/>
      <c r="H213" s="180"/>
      <c r="I213" s="180"/>
      <c r="J213" s="180"/>
      <c r="K213" s="180"/>
      <c r="L213" s="180"/>
      <c r="M213" s="181"/>
      <c r="N213" s="163" t="str">
        <f t="shared" si="13"/>
        <v/>
      </c>
      <c r="O213" s="126" t="str">
        <f t="shared" si="12"/>
        <v>-</v>
      </c>
      <c r="P213" s="164"/>
      <c r="Q213" s="164"/>
      <c r="R213" s="164"/>
      <c r="S213" s="164"/>
      <c r="T213" s="164"/>
      <c r="U213" s="164"/>
      <c r="V213" s="165"/>
    </row>
    <row r="214" spans="1:25" ht="27" customHeight="1">
      <c r="A214" s="182" t="str">
        <f>IF(ISBLANK(C214)," ",209-COUNTBLANK($C$6:C214))</f>
        <v xml:space="preserve"> </v>
      </c>
      <c r="B214" s="183"/>
      <c r="C214" s="183"/>
      <c r="D214" s="184"/>
      <c r="E214" s="184"/>
      <c r="F214" s="185"/>
      <c r="G214" s="185"/>
      <c r="H214" s="180"/>
      <c r="I214" s="180"/>
      <c r="J214" s="185"/>
      <c r="K214" s="185"/>
      <c r="L214" s="185"/>
      <c r="M214" s="186"/>
      <c r="N214" s="163" t="str">
        <f t="shared" si="13"/>
        <v/>
      </c>
      <c r="O214" s="126" t="str">
        <f t="shared" si="12"/>
        <v>-</v>
      </c>
      <c r="P214" s="164"/>
      <c r="Q214" s="164"/>
      <c r="R214" s="164"/>
      <c r="S214" s="164"/>
      <c r="T214" s="164"/>
      <c r="U214" s="164"/>
      <c r="V214" s="166"/>
      <c r="W214" s="164"/>
      <c r="X214" s="164"/>
      <c r="Y214" s="164"/>
    </row>
    <row r="215" spans="1:25" ht="27" customHeight="1">
      <c r="A215" s="172" t="s">
        <v>44</v>
      </c>
      <c r="B215" s="173"/>
      <c r="C215" s="174"/>
      <c r="D215" s="175"/>
      <c r="E215" s="175">
        <f>SUM(E195:E214)</f>
        <v>0</v>
      </c>
      <c r="F215" s="176"/>
      <c r="G215" s="176"/>
      <c r="H215" s="176"/>
      <c r="I215" s="176"/>
      <c r="J215" s="176"/>
      <c r="K215" s="176"/>
      <c r="L215" s="176"/>
      <c r="M215" s="177"/>
      <c r="N215" s="163" t="str">
        <f t="shared" si="13"/>
        <v/>
      </c>
      <c r="O215" s="126"/>
      <c r="P215" s="164"/>
      <c r="Q215" s="164"/>
      <c r="R215" s="164"/>
      <c r="S215" s="164"/>
      <c r="T215" s="164"/>
      <c r="U215" s="164"/>
      <c r="V215" s="166"/>
      <c r="W215" s="164"/>
      <c r="X215" s="164"/>
      <c r="Y215" s="164"/>
    </row>
    <row r="216" spans="1:25" ht="27" customHeight="1">
      <c r="A216" s="187" t="str">
        <f>IF(ISBLANK(C216)," ",211-COUNTBLANK($C$6:C216))</f>
        <v xml:space="preserve"> </v>
      </c>
      <c r="B216" s="188"/>
      <c r="C216" s="188"/>
      <c r="D216" s="189"/>
      <c r="E216" s="189"/>
      <c r="F216" s="190"/>
      <c r="G216" s="190"/>
      <c r="H216" s="190"/>
      <c r="I216" s="190"/>
      <c r="J216" s="190"/>
      <c r="K216" s="190"/>
      <c r="L216" s="190"/>
      <c r="M216" s="191"/>
      <c r="N216" s="163" t="str">
        <f t="shared" si="13"/>
        <v/>
      </c>
      <c r="O216" s="126" t="str">
        <f>IF(D216&gt;=E216,"-","ERR")</f>
        <v>-</v>
      </c>
      <c r="P216" s="164"/>
      <c r="Q216" s="164"/>
      <c r="R216" s="164"/>
      <c r="S216" s="164"/>
      <c r="T216" s="164"/>
      <c r="U216" s="164"/>
      <c r="V216" s="164"/>
    </row>
    <row r="217" spans="1:25" ht="27" customHeight="1">
      <c r="A217" s="192" t="str">
        <f>IF(ISBLANK(C217)," ",212-COUNTBLANK($C$6:C217))</f>
        <v xml:space="preserve"> </v>
      </c>
      <c r="B217" s="178"/>
      <c r="C217" s="178"/>
      <c r="D217" s="193"/>
      <c r="E217" s="193"/>
      <c r="F217" s="180"/>
      <c r="G217" s="180"/>
      <c r="H217" s="180"/>
      <c r="I217" s="180"/>
      <c r="J217" s="180"/>
      <c r="K217" s="180"/>
      <c r="L217" s="180"/>
      <c r="M217" s="181"/>
      <c r="N217" s="163" t="str">
        <f t="shared" si="13"/>
        <v/>
      </c>
      <c r="O217" s="126" t="str">
        <f t="shared" ref="O217:O235" si="14">IF(D217&gt;=E217,"-","ERR")</f>
        <v>-</v>
      </c>
      <c r="P217" s="164"/>
      <c r="Q217" s="164"/>
      <c r="R217" s="164"/>
      <c r="S217" s="164"/>
      <c r="T217" s="164"/>
      <c r="U217" s="164"/>
      <c r="V217" s="164"/>
    </row>
    <row r="218" spans="1:25" ht="27" customHeight="1">
      <c r="A218" s="192" t="str">
        <f>IF(ISBLANK(C218)," ",213-COUNTBLANK($C$6:C218))</f>
        <v xml:space="preserve"> </v>
      </c>
      <c r="B218" s="178"/>
      <c r="C218" s="178"/>
      <c r="D218" s="193"/>
      <c r="E218" s="193"/>
      <c r="F218" s="180"/>
      <c r="G218" s="180"/>
      <c r="H218" s="180"/>
      <c r="I218" s="180"/>
      <c r="J218" s="180"/>
      <c r="K218" s="180"/>
      <c r="L218" s="180"/>
      <c r="M218" s="181"/>
      <c r="N218" s="163" t="str">
        <f t="shared" si="13"/>
        <v/>
      </c>
      <c r="O218" s="126" t="str">
        <f t="shared" si="14"/>
        <v>-</v>
      </c>
      <c r="P218" s="164"/>
      <c r="Q218" s="164"/>
      <c r="R218" s="164"/>
      <c r="S218" s="164"/>
      <c r="T218" s="164"/>
      <c r="U218" s="164"/>
      <c r="V218" s="164"/>
    </row>
    <row r="219" spans="1:25" ht="27" customHeight="1">
      <c r="A219" s="192" t="str">
        <f>IF(ISBLANK(C219)," ",214-COUNTBLANK($C$6:C219))</f>
        <v xml:space="preserve"> </v>
      </c>
      <c r="B219" s="178"/>
      <c r="C219" s="178"/>
      <c r="D219" s="193"/>
      <c r="E219" s="193"/>
      <c r="F219" s="180"/>
      <c r="G219" s="180"/>
      <c r="H219" s="180"/>
      <c r="I219" s="180"/>
      <c r="J219" s="180"/>
      <c r="K219" s="180"/>
      <c r="L219" s="180"/>
      <c r="M219" s="181"/>
      <c r="N219" s="163" t="str">
        <f t="shared" si="13"/>
        <v/>
      </c>
      <c r="O219" s="126" t="str">
        <f t="shared" si="14"/>
        <v>-</v>
      </c>
      <c r="P219" s="164"/>
      <c r="Q219" s="164"/>
      <c r="R219" s="164"/>
      <c r="S219" s="164"/>
      <c r="T219" s="164"/>
      <c r="U219" s="164"/>
      <c r="V219" s="164"/>
    </row>
    <row r="220" spans="1:25" ht="27" customHeight="1">
      <c r="A220" s="192" t="str">
        <f>IF(ISBLANK(C220)," ",215-COUNTBLANK($C$6:C220))</f>
        <v xml:space="preserve"> </v>
      </c>
      <c r="B220" s="178"/>
      <c r="C220" s="178"/>
      <c r="D220" s="193"/>
      <c r="E220" s="193"/>
      <c r="F220" s="180"/>
      <c r="G220" s="180"/>
      <c r="H220" s="180"/>
      <c r="I220" s="180"/>
      <c r="J220" s="180"/>
      <c r="K220" s="180"/>
      <c r="L220" s="180"/>
      <c r="M220" s="181"/>
      <c r="N220" s="163" t="str">
        <f t="shared" si="13"/>
        <v/>
      </c>
      <c r="O220" s="126" t="str">
        <f t="shared" si="14"/>
        <v>-</v>
      </c>
      <c r="P220" s="164"/>
      <c r="Q220" s="164"/>
      <c r="R220" s="164"/>
      <c r="S220" s="164"/>
      <c r="T220" s="164"/>
      <c r="U220" s="164"/>
      <c r="V220" s="164"/>
    </row>
    <row r="221" spans="1:25" ht="27" customHeight="1">
      <c r="A221" s="192" t="str">
        <f>IF(ISBLANK(C221)," ",216-COUNTBLANK($C$6:C221))</f>
        <v xml:space="preserve"> </v>
      </c>
      <c r="B221" s="178"/>
      <c r="C221" s="178"/>
      <c r="D221" s="193"/>
      <c r="E221" s="193"/>
      <c r="F221" s="180"/>
      <c r="G221" s="180"/>
      <c r="H221" s="180"/>
      <c r="I221" s="180"/>
      <c r="J221" s="180"/>
      <c r="K221" s="180"/>
      <c r="L221" s="180"/>
      <c r="M221" s="181"/>
      <c r="N221" s="163" t="str">
        <f t="shared" si="13"/>
        <v/>
      </c>
      <c r="O221" s="126" t="str">
        <f t="shared" si="14"/>
        <v>-</v>
      </c>
      <c r="P221" s="164"/>
      <c r="Q221" s="164"/>
      <c r="R221" s="164"/>
      <c r="S221" s="164"/>
      <c r="T221" s="164"/>
      <c r="U221" s="164"/>
      <c r="V221" s="164"/>
    </row>
    <row r="222" spans="1:25" ht="27" customHeight="1">
      <c r="A222" s="192" t="str">
        <f>IF(ISBLANK(C222)," ",217-COUNTBLANK($C$6:C222))</f>
        <v xml:space="preserve"> </v>
      </c>
      <c r="B222" s="178"/>
      <c r="C222" s="178"/>
      <c r="D222" s="193"/>
      <c r="E222" s="193"/>
      <c r="F222" s="180"/>
      <c r="G222" s="180"/>
      <c r="H222" s="180"/>
      <c r="I222" s="180"/>
      <c r="J222" s="180"/>
      <c r="K222" s="180"/>
      <c r="L222" s="180"/>
      <c r="M222" s="181"/>
      <c r="N222" s="163" t="str">
        <f t="shared" si="13"/>
        <v/>
      </c>
      <c r="O222" s="126" t="str">
        <f t="shared" si="14"/>
        <v>-</v>
      </c>
      <c r="P222" s="164"/>
      <c r="Q222" s="164"/>
      <c r="R222" s="164"/>
      <c r="S222" s="164"/>
      <c r="T222" s="164"/>
      <c r="U222" s="164"/>
      <c r="V222" s="164"/>
    </row>
    <row r="223" spans="1:25" ht="27" customHeight="1">
      <c r="A223" s="192" t="str">
        <f>IF(ISBLANK(C223)," ",218-COUNTBLANK($C$6:C223))</f>
        <v xml:space="preserve"> </v>
      </c>
      <c r="B223" s="178"/>
      <c r="C223" s="178"/>
      <c r="D223" s="193"/>
      <c r="E223" s="193"/>
      <c r="F223" s="180"/>
      <c r="G223" s="180"/>
      <c r="H223" s="180"/>
      <c r="I223" s="180"/>
      <c r="J223" s="180"/>
      <c r="K223" s="180"/>
      <c r="L223" s="180"/>
      <c r="M223" s="181"/>
      <c r="N223" s="163" t="str">
        <f t="shared" si="13"/>
        <v/>
      </c>
      <c r="O223" s="126" t="str">
        <f t="shared" si="14"/>
        <v>-</v>
      </c>
      <c r="P223" s="164"/>
      <c r="Q223" s="164"/>
      <c r="R223" s="164"/>
      <c r="S223" s="164"/>
      <c r="T223" s="164"/>
      <c r="U223" s="164"/>
      <c r="V223" s="164"/>
    </row>
    <row r="224" spans="1:25" ht="27" customHeight="1">
      <c r="A224" s="192" t="str">
        <f>IF(ISBLANK(C224)," ",219-COUNTBLANK($C$6:C224))</f>
        <v xml:space="preserve"> </v>
      </c>
      <c r="B224" s="178"/>
      <c r="C224" s="178"/>
      <c r="D224" s="193"/>
      <c r="E224" s="193"/>
      <c r="F224" s="180"/>
      <c r="G224" s="180"/>
      <c r="H224" s="180"/>
      <c r="I224" s="180"/>
      <c r="J224" s="180"/>
      <c r="K224" s="180"/>
      <c r="L224" s="180"/>
      <c r="M224" s="181"/>
      <c r="N224" s="163" t="str">
        <f t="shared" si="13"/>
        <v/>
      </c>
      <c r="O224" s="126" t="str">
        <f t="shared" si="14"/>
        <v>-</v>
      </c>
      <c r="P224" s="164"/>
      <c r="Q224" s="164"/>
      <c r="R224" s="164"/>
      <c r="S224" s="164"/>
      <c r="T224" s="164"/>
      <c r="U224" s="164"/>
      <c r="V224" s="164"/>
    </row>
    <row r="225" spans="1:25" ht="27" customHeight="1">
      <c r="A225" s="192" t="str">
        <f>IF(ISBLANK(C225)," ",220-COUNTBLANK($C$6:C225))</f>
        <v xml:space="preserve"> </v>
      </c>
      <c r="B225" s="178"/>
      <c r="C225" s="178"/>
      <c r="D225" s="193"/>
      <c r="E225" s="193"/>
      <c r="F225" s="180"/>
      <c r="G225" s="180"/>
      <c r="H225" s="180"/>
      <c r="I225" s="180"/>
      <c r="J225" s="180"/>
      <c r="K225" s="180"/>
      <c r="L225" s="180"/>
      <c r="M225" s="181"/>
      <c r="N225" s="163" t="str">
        <f t="shared" si="13"/>
        <v/>
      </c>
      <c r="O225" s="126" t="str">
        <f t="shared" si="14"/>
        <v>-</v>
      </c>
      <c r="P225" s="164"/>
      <c r="Q225" s="164"/>
      <c r="R225" s="164"/>
      <c r="S225" s="164"/>
      <c r="T225" s="164"/>
      <c r="U225" s="164"/>
      <c r="V225" s="164"/>
    </row>
    <row r="226" spans="1:25" ht="27" customHeight="1">
      <c r="A226" s="192" t="str">
        <f>IF(ISBLANK(C226)," ",221-COUNTBLANK($C$6:C226))</f>
        <v xml:space="preserve"> </v>
      </c>
      <c r="B226" s="178"/>
      <c r="C226" s="178"/>
      <c r="D226" s="193"/>
      <c r="E226" s="193"/>
      <c r="F226" s="180"/>
      <c r="G226" s="180"/>
      <c r="H226" s="180"/>
      <c r="I226" s="180"/>
      <c r="J226" s="180"/>
      <c r="K226" s="180"/>
      <c r="L226" s="180"/>
      <c r="M226" s="181"/>
      <c r="N226" s="163" t="str">
        <f t="shared" si="13"/>
        <v/>
      </c>
      <c r="O226" s="126" t="str">
        <f t="shared" si="14"/>
        <v>-</v>
      </c>
      <c r="P226" s="164"/>
      <c r="Q226" s="164"/>
      <c r="R226" s="164"/>
      <c r="S226" s="164"/>
      <c r="T226" s="164"/>
      <c r="U226" s="164"/>
      <c r="V226" s="164"/>
    </row>
    <row r="227" spans="1:25" ht="27" customHeight="1">
      <c r="A227" s="192" t="str">
        <f>IF(ISBLANK(C227)," ",222-COUNTBLANK($C$6:C227))</f>
        <v xml:space="preserve"> </v>
      </c>
      <c r="B227" s="178"/>
      <c r="C227" s="178"/>
      <c r="D227" s="193"/>
      <c r="E227" s="193"/>
      <c r="F227" s="180"/>
      <c r="G227" s="180"/>
      <c r="H227" s="180"/>
      <c r="I227" s="180"/>
      <c r="J227" s="180"/>
      <c r="K227" s="180"/>
      <c r="L227" s="180"/>
      <c r="M227" s="181"/>
      <c r="N227" s="163" t="str">
        <f t="shared" si="13"/>
        <v/>
      </c>
      <c r="O227" s="126" t="str">
        <f t="shared" si="14"/>
        <v>-</v>
      </c>
      <c r="P227" s="164"/>
      <c r="Q227" s="164"/>
      <c r="R227" s="164"/>
      <c r="S227" s="164"/>
      <c r="T227" s="164"/>
      <c r="U227" s="164"/>
      <c r="V227" s="164"/>
    </row>
    <row r="228" spans="1:25" ht="27" customHeight="1">
      <c r="A228" s="192" t="str">
        <f>IF(ISBLANK(C228)," ",223-COUNTBLANK($C$6:C228))</f>
        <v xml:space="preserve"> </v>
      </c>
      <c r="B228" s="178"/>
      <c r="C228" s="178"/>
      <c r="D228" s="193"/>
      <c r="E228" s="193"/>
      <c r="F228" s="180"/>
      <c r="G228" s="180"/>
      <c r="H228" s="180"/>
      <c r="I228" s="180"/>
      <c r="J228" s="180"/>
      <c r="K228" s="180"/>
      <c r="L228" s="180"/>
      <c r="M228" s="181"/>
      <c r="N228" s="163" t="str">
        <f t="shared" si="13"/>
        <v/>
      </c>
      <c r="O228" s="126" t="str">
        <f t="shared" si="14"/>
        <v>-</v>
      </c>
      <c r="P228" s="164"/>
      <c r="Q228" s="164"/>
      <c r="R228" s="164"/>
      <c r="S228" s="164"/>
      <c r="T228" s="164"/>
      <c r="U228" s="164"/>
      <c r="V228" s="164"/>
    </row>
    <row r="229" spans="1:25" ht="27" customHeight="1">
      <c r="A229" s="192" t="str">
        <f>IF(ISBLANK(C229)," ",224-COUNTBLANK($C$6:C229))</f>
        <v xml:space="preserve"> </v>
      </c>
      <c r="B229" s="178"/>
      <c r="C229" s="178"/>
      <c r="D229" s="193"/>
      <c r="E229" s="193"/>
      <c r="F229" s="180"/>
      <c r="G229" s="180"/>
      <c r="H229" s="180"/>
      <c r="I229" s="180"/>
      <c r="J229" s="180"/>
      <c r="K229" s="180"/>
      <c r="L229" s="180"/>
      <c r="M229" s="181"/>
      <c r="N229" s="163" t="str">
        <f t="shared" si="13"/>
        <v/>
      </c>
      <c r="O229" s="126" t="str">
        <f t="shared" si="14"/>
        <v>-</v>
      </c>
      <c r="P229" s="164"/>
      <c r="Q229" s="164"/>
      <c r="R229" s="164"/>
      <c r="S229" s="164"/>
      <c r="T229" s="164"/>
      <c r="U229" s="164"/>
      <c r="V229" s="164"/>
    </row>
    <row r="230" spans="1:25" ht="27" customHeight="1">
      <c r="A230" s="192" t="str">
        <f>IF(ISBLANK(C230)," ",225-COUNTBLANK($C$6:C230))</f>
        <v xml:space="preserve"> </v>
      </c>
      <c r="B230" s="178"/>
      <c r="C230" s="178"/>
      <c r="D230" s="193"/>
      <c r="E230" s="193"/>
      <c r="F230" s="180"/>
      <c r="G230" s="180"/>
      <c r="H230" s="180"/>
      <c r="I230" s="180"/>
      <c r="J230" s="180"/>
      <c r="K230" s="180"/>
      <c r="L230" s="180"/>
      <c r="M230" s="181"/>
      <c r="N230" s="163" t="str">
        <f t="shared" si="13"/>
        <v/>
      </c>
      <c r="O230" s="126" t="str">
        <f t="shared" si="14"/>
        <v>-</v>
      </c>
      <c r="P230" s="164"/>
      <c r="Q230" s="164"/>
      <c r="R230" s="164"/>
      <c r="S230" s="164"/>
      <c r="T230" s="164"/>
      <c r="U230" s="164"/>
      <c r="V230" s="164"/>
    </row>
    <row r="231" spans="1:25" ht="27" customHeight="1">
      <c r="A231" s="192" t="str">
        <f>IF(ISBLANK(C231)," ",226-COUNTBLANK($C$6:C231))</f>
        <v xml:space="preserve"> </v>
      </c>
      <c r="B231" s="178"/>
      <c r="C231" s="178"/>
      <c r="D231" s="193"/>
      <c r="E231" s="193"/>
      <c r="F231" s="180"/>
      <c r="G231" s="180"/>
      <c r="H231" s="180"/>
      <c r="I231" s="180"/>
      <c r="J231" s="180"/>
      <c r="K231" s="180"/>
      <c r="L231" s="180"/>
      <c r="M231" s="181"/>
      <c r="N231" s="163" t="str">
        <f t="shared" si="13"/>
        <v/>
      </c>
      <c r="O231" s="126" t="str">
        <f t="shared" si="14"/>
        <v>-</v>
      </c>
      <c r="P231" s="164"/>
      <c r="Q231" s="164"/>
      <c r="R231" s="164"/>
      <c r="S231" s="164"/>
      <c r="T231" s="164"/>
      <c r="U231" s="164"/>
      <c r="V231" s="165"/>
    </row>
    <row r="232" spans="1:25" ht="27" customHeight="1">
      <c r="A232" s="192" t="str">
        <f>IF(ISBLANK(C232)," ",227-COUNTBLANK($C$6:C232))</f>
        <v xml:space="preserve"> </v>
      </c>
      <c r="B232" s="178"/>
      <c r="C232" s="178"/>
      <c r="D232" s="193"/>
      <c r="E232" s="193"/>
      <c r="F232" s="180"/>
      <c r="G232" s="180"/>
      <c r="H232" s="180"/>
      <c r="I232" s="180"/>
      <c r="J232" s="180"/>
      <c r="K232" s="180"/>
      <c r="L232" s="180"/>
      <c r="M232" s="181"/>
      <c r="N232" s="163" t="str">
        <f t="shared" si="13"/>
        <v/>
      </c>
      <c r="O232" s="126" t="str">
        <f t="shared" si="14"/>
        <v>-</v>
      </c>
      <c r="P232" s="164"/>
      <c r="Q232" s="164"/>
      <c r="R232" s="164"/>
      <c r="S232" s="164"/>
      <c r="T232" s="164"/>
      <c r="U232" s="164"/>
      <c r="V232" s="165"/>
    </row>
    <row r="233" spans="1:25" ht="27" customHeight="1">
      <c r="A233" s="192" t="str">
        <f>IF(ISBLANK(C233)," ",228-COUNTBLANK($C$6:C233))</f>
        <v xml:space="preserve"> </v>
      </c>
      <c r="B233" s="178"/>
      <c r="C233" s="178"/>
      <c r="D233" s="193"/>
      <c r="E233" s="193"/>
      <c r="F233" s="180"/>
      <c r="G233" s="180"/>
      <c r="H233" s="180"/>
      <c r="I233" s="180"/>
      <c r="J233" s="180"/>
      <c r="K233" s="180"/>
      <c r="L233" s="180"/>
      <c r="M233" s="181"/>
      <c r="N233" s="163" t="str">
        <f>CONCATENATE(C233,H233)</f>
        <v/>
      </c>
      <c r="O233" s="126" t="str">
        <f t="shared" si="14"/>
        <v>-</v>
      </c>
      <c r="P233" s="164"/>
      <c r="Q233" s="164"/>
      <c r="R233" s="164"/>
      <c r="S233" s="164"/>
      <c r="T233" s="164"/>
      <c r="U233" s="164"/>
      <c r="V233" s="165"/>
    </row>
    <row r="234" spans="1:25" ht="27" customHeight="1">
      <c r="A234" s="192" t="str">
        <f>IF(ISBLANK(C234)," ",229-COUNTBLANK($C$6:C234))</f>
        <v xml:space="preserve"> </v>
      </c>
      <c r="B234" s="178"/>
      <c r="C234" s="178"/>
      <c r="D234" s="193"/>
      <c r="E234" s="193"/>
      <c r="F234" s="180"/>
      <c r="G234" s="180"/>
      <c r="H234" s="180"/>
      <c r="I234" s="180"/>
      <c r="J234" s="180"/>
      <c r="K234" s="180"/>
      <c r="L234" s="180"/>
      <c r="M234" s="181"/>
      <c r="N234" s="163" t="str">
        <f>CONCATENATE(C234,H234)</f>
        <v/>
      </c>
      <c r="O234" s="126" t="str">
        <f t="shared" si="14"/>
        <v>-</v>
      </c>
      <c r="P234" s="164"/>
      <c r="Q234" s="164"/>
      <c r="R234" s="164"/>
      <c r="S234" s="164"/>
      <c r="T234" s="164"/>
      <c r="U234" s="164"/>
      <c r="V234" s="165"/>
    </row>
    <row r="235" spans="1:25" ht="27" customHeight="1">
      <c r="A235" s="192" t="str">
        <f>IF(ISBLANK(C235)," ",230-COUNTBLANK($C$6:C235))</f>
        <v xml:space="preserve"> </v>
      </c>
      <c r="B235" s="178"/>
      <c r="C235" s="178"/>
      <c r="D235" s="193"/>
      <c r="E235" s="193"/>
      <c r="F235" s="180"/>
      <c r="G235" s="180"/>
      <c r="H235" s="180"/>
      <c r="I235" s="180"/>
      <c r="J235" s="180"/>
      <c r="K235" s="180"/>
      <c r="L235" s="180"/>
      <c r="M235" s="181"/>
      <c r="N235" s="163" t="str">
        <f>CONCATENATE(C235,H235)</f>
        <v/>
      </c>
      <c r="O235" s="126" t="str">
        <f t="shared" si="14"/>
        <v>-</v>
      </c>
      <c r="P235" s="164"/>
      <c r="Q235" s="164"/>
      <c r="R235" s="164"/>
      <c r="S235" s="164"/>
      <c r="T235" s="164"/>
      <c r="U235" s="164"/>
      <c r="V235" s="166"/>
      <c r="W235" s="164"/>
      <c r="X235" s="164"/>
      <c r="Y235" s="164"/>
    </row>
    <row r="236" spans="1:25" ht="27" customHeight="1">
      <c r="A236" s="172" t="s">
        <v>44</v>
      </c>
      <c r="B236" s="173"/>
      <c r="C236" s="174"/>
      <c r="D236" s="194"/>
      <c r="E236" s="194">
        <f>SUM(E216:E235)</f>
        <v>0</v>
      </c>
      <c r="F236" s="176"/>
      <c r="G236" s="176"/>
      <c r="H236" s="176"/>
      <c r="I236" s="176"/>
      <c r="J236" s="176"/>
      <c r="K236" s="176"/>
      <c r="L236" s="176"/>
      <c r="M236" s="177"/>
      <c r="N236" s="163" t="str">
        <f>CONCATENATE(C236,H236)</f>
        <v/>
      </c>
      <c r="O236" s="126"/>
      <c r="P236" s="164"/>
      <c r="Q236" s="164"/>
      <c r="R236" s="164"/>
      <c r="S236" s="164"/>
      <c r="T236" s="164"/>
      <c r="U236" s="164"/>
      <c r="V236" s="166"/>
      <c r="W236" s="164"/>
      <c r="X236" s="164"/>
      <c r="Y236" s="164"/>
    </row>
    <row r="237" spans="1:25" ht="27" customHeight="1">
      <c r="A237" s="187" t="str">
        <f>IF(ISBLANK(C237)," ",232-COUNTBLANK($C$6:C237))</f>
        <v xml:space="preserve"> </v>
      </c>
      <c r="B237" s="188"/>
      <c r="C237" s="188"/>
      <c r="D237" s="189"/>
      <c r="E237" s="189"/>
      <c r="F237" s="190"/>
      <c r="G237" s="190"/>
      <c r="H237" s="190"/>
      <c r="I237" s="190"/>
      <c r="J237" s="190"/>
      <c r="K237" s="190"/>
      <c r="L237" s="190"/>
      <c r="M237" s="191"/>
      <c r="N237" s="163" t="str">
        <f>CONCATENATE(C237,H237)</f>
        <v/>
      </c>
      <c r="O237" s="126" t="str">
        <f>IF(D237&gt;=E237,"-","ERR")</f>
        <v>-</v>
      </c>
      <c r="P237" s="164"/>
      <c r="Q237" s="164"/>
      <c r="R237" s="164"/>
      <c r="S237" s="164"/>
      <c r="T237" s="164"/>
      <c r="U237" s="164"/>
      <c r="V237" s="164"/>
    </row>
    <row r="238" spans="1:25" ht="27" customHeight="1">
      <c r="A238" s="192" t="str">
        <f>IF(ISBLANK(C238)," ",233-COUNTBLANK($C$6:C238))</f>
        <v xml:space="preserve"> </v>
      </c>
      <c r="B238" s="178"/>
      <c r="C238" s="178"/>
      <c r="D238" s="193"/>
      <c r="E238" s="193"/>
      <c r="F238" s="180"/>
      <c r="G238" s="180"/>
      <c r="H238" s="180"/>
      <c r="I238" s="180"/>
      <c r="J238" s="180"/>
      <c r="K238" s="180"/>
      <c r="L238" s="180"/>
      <c r="M238" s="181"/>
      <c r="N238" s="163" t="str">
        <f t="shared" ref="N238:N257" si="15">CONCATENATE(C238,H238)</f>
        <v/>
      </c>
      <c r="O238" s="126" t="str">
        <f t="shared" ref="O238:O256" si="16">IF(D238&gt;=E238,"-","ERR")</f>
        <v>-</v>
      </c>
      <c r="P238" s="164"/>
      <c r="Q238" s="164"/>
      <c r="R238" s="164"/>
      <c r="S238" s="164"/>
      <c r="T238" s="164"/>
      <c r="U238" s="164"/>
      <c r="V238" s="164"/>
    </row>
    <row r="239" spans="1:25" ht="27" customHeight="1">
      <c r="A239" s="192" t="str">
        <f>IF(ISBLANK(C239)," ",234-COUNTBLANK($C$6:C239))</f>
        <v xml:space="preserve"> </v>
      </c>
      <c r="B239" s="178"/>
      <c r="C239" s="178"/>
      <c r="D239" s="193"/>
      <c r="E239" s="193"/>
      <c r="F239" s="180"/>
      <c r="G239" s="180"/>
      <c r="H239" s="180"/>
      <c r="I239" s="180"/>
      <c r="J239" s="180"/>
      <c r="K239" s="180"/>
      <c r="L239" s="180"/>
      <c r="M239" s="181"/>
      <c r="N239" s="163" t="str">
        <f t="shared" si="15"/>
        <v/>
      </c>
      <c r="O239" s="126" t="str">
        <f t="shared" si="16"/>
        <v>-</v>
      </c>
      <c r="P239" s="164"/>
      <c r="Q239" s="164"/>
      <c r="R239" s="164"/>
      <c r="S239" s="164"/>
      <c r="T239" s="164"/>
      <c r="U239" s="164"/>
      <c r="V239" s="164"/>
    </row>
    <row r="240" spans="1:25" ht="27" customHeight="1">
      <c r="A240" s="192" t="str">
        <f>IF(ISBLANK(C240)," ",235-COUNTBLANK($C$6:C240))</f>
        <v xml:space="preserve"> </v>
      </c>
      <c r="B240" s="178"/>
      <c r="C240" s="178"/>
      <c r="D240" s="193"/>
      <c r="E240" s="193"/>
      <c r="F240" s="180"/>
      <c r="G240" s="180"/>
      <c r="H240" s="180"/>
      <c r="I240" s="180"/>
      <c r="J240" s="180"/>
      <c r="K240" s="180"/>
      <c r="L240" s="180"/>
      <c r="M240" s="181"/>
      <c r="N240" s="163" t="str">
        <f t="shared" si="15"/>
        <v/>
      </c>
      <c r="O240" s="126" t="str">
        <f t="shared" si="16"/>
        <v>-</v>
      </c>
      <c r="P240" s="164"/>
      <c r="Q240" s="164"/>
      <c r="R240" s="164"/>
      <c r="S240" s="164"/>
      <c r="T240" s="164"/>
      <c r="U240" s="164"/>
      <c r="V240" s="164"/>
    </row>
    <row r="241" spans="1:25" ht="27" customHeight="1">
      <c r="A241" s="192" t="str">
        <f>IF(ISBLANK(C241)," ",236-COUNTBLANK($C$6:C241))</f>
        <v xml:space="preserve"> </v>
      </c>
      <c r="B241" s="178"/>
      <c r="C241" s="178"/>
      <c r="D241" s="193"/>
      <c r="E241" s="193"/>
      <c r="F241" s="180"/>
      <c r="G241" s="180"/>
      <c r="H241" s="180"/>
      <c r="I241" s="180"/>
      <c r="J241" s="180"/>
      <c r="K241" s="180"/>
      <c r="L241" s="180"/>
      <c r="M241" s="181"/>
      <c r="N241" s="163" t="str">
        <f t="shared" si="15"/>
        <v/>
      </c>
      <c r="O241" s="126" t="str">
        <f t="shared" si="16"/>
        <v>-</v>
      </c>
      <c r="P241" s="164"/>
      <c r="Q241" s="164"/>
      <c r="R241" s="164"/>
      <c r="S241" s="164"/>
      <c r="T241" s="164"/>
      <c r="U241" s="164"/>
      <c r="V241" s="164"/>
    </row>
    <row r="242" spans="1:25" ht="27" customHeight="1">
      <c r="A242" s="192" t="str">
        <f>IF(ISBLANK(C242)," ",237-COUNTBLANK($C$6:C242))</f>
        <v xml:space="preserve"> </v>
      </c>
      <c r="B242" s="178"/>
      <c r="C242" s="178"/>
      <c r="D242" s="193"/>
      <c r="E242" s="193"/>
      <c r="F242" s="180"/>
      <c r="G242" s="180"/>
      <c r="H242" s="180"/>
      <c r="I242" s="180"/>
      <c r="J242" s="180"/>
      <c r="K242" s="180"/>
      <c r="L242" s="180"/>
      <c r="M242" s="181"/>
      <c r="N242" s="163" t="str">
        <f t="shared" si="15"/>
        <v/>
      </c>
      <c r="O242" s="126" t="str">
        <f t="shared" si="16"/>
        <v>-</v>
      </c>
      <c r="P242" s="164"/>
      <c r="Q242" s="164"/>
      <c r="R242" s="164"/>
      <c r="S242" s="164"/>
      <c r="T242" s="164"/>
      <c r="U242" s="164"/>
      <c r="V242" s="164"/>
    </row>
    <row r="243" spans="1:25" ht="27" customHeight="1">
      <c r="A243" s="192" t="str">
        <f>IF(ISBLANK(C243)," ",238-COUNTBLANK($C$6:C243))</f>
        <v xml:space="preserve"> </v>
      </c>
      <c r="B243" s="178"/>
      <c r="C243" s="178"/>
      <c r="D243" s="193"/>
      <c r="E243" s="193"/>
      <c r="F243" s="180"/>
      <c r="G243" s="180"/>
      <c r="H243" s="180"/>
      <c r="I243" s="180"/>
      <c r="J243" s="180"/>
      <c r="K243" s="180"/>
      <c r="L243" s="180"/>
      <c r="M243" s="181"/>
      <c r="N243" s="163" t="str">
        <f t="shared" si="15"/>
        <v/>
      </c>
      <c r="O243" s="126" t="str">
        <f t="shared" si="16"/>
        <v>-</v>
      </c>
      <c r="P243" s="164"/>
      <c r="Q243" s="164"/>
      <c r="R243" s="164"/>
      <c r="S243" s="164"/>
      <c r="T243" s="164"/>
      <c r="U243" s="164"/>
      <c r="V243" s="164"/>
    </row>
    <row r="244" spans="1:25" ht="27" customHeight="1">
      <c r="A244" s="192" t="str">
        <f>IF(ISBLANK(C244)," ",239-COUNTBLANK($C$6:C244))</f>
        <v xml:space="preserve"> </v>
      </c>
      <c r="B244" s="178"/>
      <c r="C244" s="178"/>
      <c r="D244" s="193"/>
      <c r="E244" s="193"/>
      <c r="F244" s="180"/>
      <c r="G244" s="180"/>
      <c r="H244" s="180"/>
      <c r="I244" s="180"/>
      <c r="J244" s="180"/>
      <c r="K244" s="180"/>
      <c r="L244" s="180"/>
      <c r="M244" s="181"/>
      <c r="N244" s="163" t="str">
        <f t="shared" si="15"/>
        <v/>
      </c>
      <c r="O244" s="126" t="str">
        <f t="shared" si="16"/>
        <v>-</v>
      </c>
      <c r="P244" s="164"/>
      <c r="Q244" s="164"/>
      <c r="R244" s="164"/>
      <c r="S244" s="164"/>
      <c r="T244" s="164"/>
      <c r="U244" s="164"/>
      <c r="V244" s="164"/>
    </row>
    <row r="245" spans="1:25" ht="27" customHeight="1">
      <c r="A245" s="192" t="str">
        <f>IF(ISBLANK(C245)," ",240-COUNTBLANK($C$6:C245))</f>
        <v xml:space="preserve"> </v>
      </c>
      <c r="B245" s="178"/>
      <c r="C245" s="178"/>
      <c r="D245" s="193"/>
      <c r="E245" s="193"/>
      <c r="F245" s="180"/>
      <c r="G245" s="180"/>
      <c r="H245" s="180"/>
      <c r="I245" s="180"/>
      <c r="J245" s="180"/>
      <c r="K245" s="180"/>
      <c r="L245" s="180"/>
      <c r="M245" s="181"/>
      <c r="N245" s="163" t="str">
        <f t="shared" si="15"/>
        <v/>
      </c>
      <c r="O245" s="126" t="str">
        <f t="shared" si="16"/>
        <v>-</v>
      </c>
      <c r="P245" s="164"/>
      <c r="Q245" s="164"/>
      <c r="R245" s="164"/>
      <c r="S245" s="164"/>
      <c r="T245" s="164"/>
      <c r="U245" s="164"/>
      <c r="V245" s="164"/>
    </row>
    <row r="246" spans="1:25" ht="27" customHeight="1">
      <c r="A246" s="192" t="str">
        <f>IF(ISBLANK(C246)," ",241-COUNTBLANK($C$6:C246))</f>
        <v xml:space="preserve"> </v>
      </c>
      <c r="B246" s="178"/>
      <c r="C246" s="178"/>
      <c r="D246" s="193"/>
      <c r="E246" s="193"/>
      <c r="F246" s="180"/>
      <c r="G246" s="180"/>
      <c r="H246" s="180"/>
      <c r="I246" s="180"/>
      <c r="J246" s="180"/>
      <c r="K246" s="180"/>
      <c r="L246" s="180"/>
      <c r="M246" s="181"/>
      <c r="N246" s="163" t="str">
        <f t="shared" si="15"/>
        <v/>
      </c>
      <c r="O246" s="126" t="str">
        <f t="shared" si="16"/>
        <v>-</v>
      </c>
      <c r="P246" s="164"/>
      <c r="Q246" s="164"/>
      <c r="R246" s="164"/>
      <c r="S246" s="164"/>
      <c r="T246" s="164"/>
      <c r="U246" s="164"/>
      <c r="V246" s="164"/>
    </row>
    <row r="247" spans="1:25" ht="27" customHeight="1">
      <c r="A247" s="192" t="str">
        <f>IF(ISBLANK(C247)," ",242-COUNTBLANK($C$6:C247))</f>
        <v xml:space="preserve"> </v>
      </c>
      <c r="B247" s="178"/>
      <c r="C247" s="178"/>
      <c r="D247" s="193"/>
      <c r="E247" s="193"/>
      <c r="F247" s="180"/>
      <c r="G247" s="180"/>
      <c r="H247" s="180"/>
      <c r="I247" s="180"/>
      <c r="J247" s="180"/>
      <c r="K247" s="180"/>
      <c r="L247" s="180"/>
      <c r="M247" s="181"/>
      <c r="N247" s="163" t="str">
        <f t="shared" si="15"/>
        <v/>
      </c>
      <c r="O247" s="126" t="str">
        <f t="shared" si="16"/>
        <v>-</v>
      </c>
      <c r="P247" s="164"/>
      <c r="Q247" s="164"/>
      <c r="R247" s="164"/>
      <c r="S247" s="164"/>
      <c r="T247" s="164"/>
      <c r="U247" s="164"/>
      <c r="V247" s="164"/>
    </row>
    <row r="248" spans="1:25" ht="27" customHeight="1">
      <c r="A248" s="192" t="str">
        <f>IF(ISBLANK(C248)," ",243-COUNTBLANK($C$6:C248))</f>
        <v xml:space="preserve"> </v>
      </c>
      <c r="B248" s="178"/>
      <c r="C248" s="178"/>
      <c r="D248" s="193"/>
      <c r="E248" s="193"/>
      <c r="F248" s="180"/>
      <c r="G248" s="180"/>
      <c r="H248" s="180"/>
      <c r="I248" s="180"/>
      <c r="J248" s="180"/>
      <c r="K248" s="180"/>
      <c r="L248" s="180"/>
      <c r="M248" s="181"/>
      <c r="N248" s="163" t="str">
        <f t="shared" si="15"/>
        <v/>
      </c>
      <c r="O248" s="126" t="str">
        <f t="shared" si="16"/>
        <v>-</v>
      </c>
      <c r="P248" s="164"/>
      <c r="Q248" s="164"/>
      <c r="R248" s="164"/>
      <c r="S248" s="164"/>
      <c r="T248" s="164"/>
      <c r="U248" s="164"/>
      <c r="V248" s="164"/>
    </row>
    <row r="249" spans="1:25" ht="27" customHeight="1">
      <c r="A249" s="192" t="str">
        <f>IF(ISBLANK(C249)," ",244-COUNTBLANK($C$6:C249))</f>
        <v xml:space="preserve"> </v>
      </c>
      <c r="B249" s="178"/>
      <c r="C249" s="178"/>
      <c r="D249" s="193"/>
      <c r="E249" s="193"/>
      <c r="F249" s="180"/>
      <c r="G249" s="180"/>
      <c r="H249" s="180"/>
      <c r="I249" s="180"/>
      <c r="J249" s="180"/>
      <c r="K249" s="180"/>
      <c r="L249" s="180"/>
      <c r="M249" s="181"/>
      <c r="N249" s="163" t="str">
        <f t="shared" si="15"/>
        <v/>
      </c>
      <c r="O249" s="126" t="str">
        <f t="shared" si="16"/>
        <v>-</v>
      </c>
      <c r="P249" s="164"/>
      <c r="Q249" s="164"/>
      <c r="R249" s="164"/>
      <c r="S249" s="164"/>
      <c r="T249" s="164"/>
      <c r="U249" s="164"/>
      <c r="V249" s="164"/>
    </row>
    <row r="250" spans="1:25" ht="27" customHeight="1">
      <c r="A250" s="192" t="str">
        <f>IF(ISBLANK(C250)," ",245-COUNTBLANK($C$6:C250))</f>
        <v xml:space="preserve"> </v>
      </c>
      <c r="B250" s="178"/>
      <c r="C250" s="178"/>
      <c r="D250" s="193"/>
      <c r="E250" s="193"/>
      <c r="F250" s="180"/>
      <c r="G250" s="180"/>
      <c r="H250" s="180"/>
      <c r="I250" s="180"/>
      <c r="J250" s="180"/>
      <c r="K250" s="180"/>
      <c r="L250" s="180"/>
      <c r="M250" s="181"/>
      <c r="N250" s="163" t="str">
        <f t="shared" si="15"/>
        <v/>
      </c>
      <c r="O250" s="126" t="str">
        <f t="shared" si="16"/>
        <v>-</v>
      </c>
      <c r="P250" s="164"/>
      <c r="Q250" s="164"/>
      <c r="R250" s="164"/>
      <c r="S250" s="164"/>
      <c r="T250" s="164"/>
      <c r="U250" s="164"/>
      <c r="V250" s="164"/>
    </row>
    <row r="251" spans="1:25" ht="27" customHeight="1">
      <c r="A251" s="192" t="str">
        <f>IF(ISBLANK(C251)," ",246-COUNTBLANK($C$6:C251))</f>
        <v xml:space="preserve"> </v>
      </c>
      <c r="B251" s="178"/>
      <c r="C251" s="178"/>
      <c r="D251" s="193"/>
      <c r="E251" s="193"/>
      <c r="F251" s="180"/>
      <c r="G251" s="180"/>
      <c r="H251" s="180"/>
      <c r="I251" s="180"/>
      <c r="J251" s="180"/>
      <c r="K251" s="180"/>
      <c r="L251" s="180"/>
      <c r="M251" s="181"/>
      <c r="N251" s="163" t="str">
        <f t="shared" si="15"/>
        <v/>
      </c>
      <c r="O251" s="126" t="str">
        <f t="shared" si="16"/>
        <v>-</v>
      </c>
      <c r="P251" s="164"/>
      <c r="Q251" s="164"/>
      <c r="R251" s="164"/>
      <c r="S251" s="164"/>
      <c r="T251" s="164"/>
      <c r="U251" s="164"/>
      <c r="V251" s="164"/>
    </row>
    <row r="252" spans="1:25" ht="27" customHeight="1">
      <c r="A252" s="192" t="str">
        <f>IF(ISBLANK(C252)," ",247-COUNTBLANK($C$6:C252))</f>
        <v xml:space="preserve"> </v>
      </c>
      <c r="B252" s="178"/>
      <c r="C252" s="178"/>
      <c r="D252" s="193"/>
      <c r="E252" s="193"/>
      <c r="F252" s="180"/>
      <c r="G252" s="180"/>
      <c r="H252" s="180"/>
      <c r="I252" s="180"/>
      <c r="J252" s="180"/>
      <c r="K252" s="180"/>
      <c r="L252" s="180"/>
      <c r="M252" s="181"/>
      <c r="N252" s="163" t="str">
        <f t="shared" si="15"/>
        <v/>
      </c>
      <c r="O252" s="126" t="str">
        <f t="shared" si="16"/>
        <v>-</v>
      </c>
      <c r="P252" s="164"/>
      <c r="Q252" s="164"/>
      <c r="R252" s="164"/>
      <c r="S252" s="164"/>
      <c r="T252" s="164"/>
      <c r="U252" s="164"/>
      <c r="V252" s="165"/>
    </row>
    <row r="253" spans="1:25" ht="27" customHeight="1">
      <c r="A253" s="192" t="str">
        <f>IF(ISBLANK(C253)," ",248-COUNTBLANK($C$6:C253))</f>
        <v xml:space="preserve"> </v>
      </c>
      <c r="B253" s="178"/>
      <c r="C253" s="178"/>
      <c r="D253" s="193"/>
      <c r="E253" s="193"/>
      <c r="F253" s="180"/>
      <c r="G253" s="180"/>
      <c r="H253" s="180"/>
      <c r="I253" s="180"/>
      <c r="J253" s="180"/>
      <c r="K253" s="180"/>
      <c r="L253" s="180"/>
      <c r="M253" s="181"/>
      <c r="N253" s="163" t="str">
        <f t="shared" si="15"/>
        <v/>
      </c>
      <c r="O253" s="126" t="str">
        <f t="shared" si="16"/>
        <v>-</v>
      </c>
      <c r="P253" s="164"/>
      <c r="Q253" s="164"/>
      <c r="R253" s="164"/>
      <c r="S253" s="164"/>
      <c r="T253" s="164"/>
      <c r="U253" s="164"/>
      <c r="V253" s="165"/>
    </row>
    <row r="254" spans="1:25" ht="27" customHeight="1">
      <c r="A254" s="192" t="str">
        <f>IF(ISBLANK(C254)," ",249-COUNTBLANK($C$6:C254))</f>
        <v xml:space="preserve"> </v>
      </c>
      <c r="B254" s="178"/>
      <c r="C254" s="178"/>
      <c r="D254" s="193"/>
      <c r="E254" s="193"/>
      <c r="F254" s="180"/>
      <c r="G254" s="180"/>
      <c r="H254" s="180"/>
      <c r="I254" s="180"/>
      <c r="J254" s="180"/>
      <c r="K254" s="180"/>
      <c r="L254" s="180"/>
      <c r="M254" s="181"/>
      <c r="N254" s="163" t="str">
        <f t="shared" si="15"/>
        <v/>
      </c>
      <c r="O254" s="126" t="str">
        <f t="shared" si="16"/>
        <v>-</v>
      </c>
      <c r="P254" s="164"/>
      <c r="Q254" s="164"/>
      <c r="R254" s="164"/>
      <c r="S254" s="164"/>
      <c r="T254" s="164"/>
      <c r="U254" s="164"/>
      <c r="V254" s="165"/>
    </row>
    <row r="255" spans="1:25" ht="27" customHeight="1">
      <c r="A255" s="192" t="str">
        <f>IF(ISBLANK(C255)," ",250-COUNTBLANK($C$6:C255))</f>
        <v xml:space="preserve"> </v>
      </c>
      <c r="B255" s="178"/>
      <c r="C255" s="178"/>
      <c r="D255" s="193"/>
      <c r="E255" s="193"/>
      <c r="F255" s="180"/>
      <c r="G255" s="180"/>
      <c r="H255" s="180"/>
      <c r="I255" s="180"/>
      <c r="J255" s="180"/>
      <c r="K255" s="180"/>
      <c r="L255" s="180"/>
      <c r="M255" s="181"/>
      <c r="N255" s="163" t="str">
        <f t="shared" si="15"/>
        <v/>
      </c>
      <c r="O255" s="126" t="str">
        <f t="shared" si="16"/>
        <v>-</v>
      </c>
      <c r="P255" s="164"/>
      <c r="Q255" s="164"/>
      <c r="R255" s="164"/>
      <c r="S255" s="164"/>
      <c r="T255" s="164"/>
      <c r="U255" s="164"/>
      <c r="V255" s="165"/>
    </row>
    <row r="256" spans="1:25" ht="27" customHeight="1">
      <c r="A256" s="192" t="str">
        <f>IF(ISBLANK(C256)," ",251-COUNTBLANK($C$6:C256))</f>
        <v xml:space="preserve"> </v>
      </c>
      <c r="B256" s="178"/>
      <c r="C256" s="178"/>
      <c r="D256" s="193"/>
      <c r="E256" s="193"/>
      <c r="F256" s="180"/>
      <c r="G256" s="180"/>
      <c r="H256" s="180"/>
      <c r="I256" s="180"/>
      <c r="J256" s="180"/>
      <c r="K256" s="180"/>
      <c r="L256" s="180"/>
      <c r="M256" s="181"/>
      <c r="N256" s="163" t="str">
        <f t="shared" si="15"/>
        <v/>
      </c>
      <c r="O256" s="126" t="str">
        <f t="shared" si="16"/>
        <v>-</v>
      </c>
      <c r="P256" s="164"/>
      <c r="Q256" s="164"/>
      <c r="R256" s="164"/>
      <c r="S256" s="164"/>
      <c r="T256" s="164"/>
      <c r="U256" s="164"/>
      <c r="V256" s="166"/>
      <c r="W256" s="164"/>
      <c r="X256" s="164"/>
      <c r="Y256" s="164"/>
    </row>
    <row r="257" spans="1:25" ht="27" customHeight="1">
      <c r="A257" s="172" t="s">
        <v>44</v>
      </c>
      <c r="B257" s="173"/>
      <c r="C257" s="174"/>
      <c r="D257" s="194"/>
      <c r="E257" s="194">
        <f>SUM(E237:E256)</f>
        <v>0</v>
      </c>
      <c r="F257" s="176"/>
      <c r="G257" s="176"/>
      <c r="H257" s="176"/>
      <c r="I257" s="176"/>
      <c r="J257" s="176"/>
      <c r="K257" s="176"/>
      <c r="L257" s="176"/>
      <c r="M257" s="177"/>
      <c r="N257" s="163" t="str">
        <f t="shared" si="15"/>
        <v/>
      </c>
      <c r="O257" s="126"/>
      <c r="P257" s="164"/>
      <c r="Q257" s="164"/>
      <c r="R257" s="164"/>
      <c r="S257" s="164"/>
      <c r="T257" s="164"/>
      <c r="U257" s="164"/>
      <c r="V257" s="166"/>
      <c r="W257" s="164"/>
      <c r="X257" s="164"/>
      <c r="Y257" s="164"/>
    </row>
    <row r="258" spans="1:25" ht="27" customHeight="1">
      <c r="A258" s="187" t="str">
        <f>IF(ISBLANK(C258)," ",253-COUNTBLANK($C$6:C258))</f>
        <v xml:space="preserve"> </v>
      </c>
      <c r="B258" s="188"/>
      <c r="C258" s="188"/>
      <c r="D258" s="189"/>
      <c r="E258" s="189"/>
      <c r="F258" s="190"/>
      <c r="G258" s="190"/>
      <c r="H258" s="190"/>
      <c r="I258" s="190"/>
      <c r="J258" s="190"/>
      <c r="K258" s="190"/>
      <c r="L258" s="190"/>
      <c r="M258" s="191"/>
      <c r="N258" s="163" t="str">
        <f>CONCATENATE(C258,H258)</f>
        <v/>
      </c>
      <c r="O258" s="126" t="str">
        <f>IF(D258&gt;=E258,"-","ERR")</f>
        <v>-</v>
      </c>
      <c r="P258" s="164"/>
      <c r="Q258" s="164"/>
      <c r="R258" s="164"/>
      <c r="S258" s="164"/>
      <c r="T258" s="164"/>
      <c r="U258" s="164"/>
      <c r="V258" s="164"/>
    </row>
    <row r="259" spans="1:25" ht="27" customHeight="1">
      <c r="A259" s="192" t="str">
        <f>IF(ISBLANK(C259)," ",254-COUNTBLANK($C$6:C259))</f>
        <v xml:space="preserve"> </v>
      </c>
      <c r="B259" s="178"/>
      <c r="C259" s="178"/>
      <c r="D259" s="193"/>
      <c r="E259" s="193"/>
      <c r="F259" s="180"/>
      <c r="G259" s="180"/>
      <c r="H259" s="180"/>
      <c r="I259" s="180"/>
      <c r="J259" s="180"/>
      <c r="K259" s="180"/>
      <c r="L259" s="180"/>
      <c r="M259" s="181"/>
      <c r="N259" s="163" t="str">
        <f t="shared" ref="N259:N278" si="17">CONCATENATE(C259,H259)</f>
        <v/>
      </c>
      <c r="O259" s="126" t="str">
        <f t="shared" ref="O259:O277" si="18">IF(D259&gt;=E259,"-","ERR")</f>
        <v>-</v>
      </c>
      <c r="P259" s="164"/>
      <c r="Q259" s="164"/>
      <c r="R259" s="164"/>
      <c r="S259" s="164"/>
      <c r="T259" s="164"/>
      <c r="U259" s="164"/>
      <c r="V259" s="164"/>
    </row>
    <row r="260" spans="1:25" ht="27" customHeight="1">
      <c r="A260" s="192" t="str">
        <f>IF(ISBLANK(C260)," ",255-COUNTBLANK($C$6:C260))</f>
        <v xml:space="preserve"> </v>
      </c>
      <c r="B260" s="178"/>
      <c r="C260" s="178"/>
      <c r="D260" s="193"/>
      <c r="E260" s="193"/>
      <c r="F260" s="180"/>
      <c r="G260" s="180"/>
      <c r="H260" s="180"/>
      <c r="I260" s="180"/>
      <c r="J260" s="180"/>
      <c r="K260" s="180"/>
      <c r="L260" s="180"/>
      <c r="M260" s="181"/>
      <c r="N260" s="163" t="str">
        <f t="shared" si="17"/>
        <v/>
      </c>
      <c r="O260" s="126" t="str">
        <f t="shared" si="18"/>
        <v>-</v>
      </c>
      <c r="P260" s="164"/>
      <c r="Q260" s="164"/>
      <c r="R260" s="164"/>
      <c r="S260" s="164"/>
      <c r="T260" s="164"/>
      <c r="U260" s="164"/>
      <c r="V260" s="164"/>
    </row>
    <row r="261" spans="1:25" ht="27" customHeight="1">
      <c r="A261" s="192" t="str">
        <f>IF(ISBLANK(C261)," ",256-COUNTBLANK($C$6:C261))</f>
        <v xml:space="preserve"> </v>
      </c>
      <c r="B261" s="178"/>
      <c r="C261" s="178"/>
      <c r="D261" s="193"/>
      <c r="E261" s="193"/>
      <c r="F261" s="180"/>
      <c r="G261" s="180"/>
      <c r="H261" s="180"/>
      <c r="I261" s="180"/>
      <c r="J261" s="180"/>
      <c r="K261" s="180"/>
      <c r="L261" s="180"/>
      <c r="M261" s="181"/>
      <c r="N261" s="163" t="str">
        <f t="shared" si="17"/>
        <v/>
      </c>
      <c r="O261" s="126" t="str">
        <f t="shared" si="18"/>
        <v>-</v>
      </c>
      <c r="P261" s="164"/>
      <c r="Q261" s="164"/>
      <c r="R261" s="164"/>
      <c r="S261" s="164"/>
      <c r="T261" s="164"/>
      <c r="U261" s="164"/>
      <c r="V261" s="164"/>
    </row>
    <row r="262" spans="1:25" ht="27" customHeight="1">
      <c r="A262" s="192" t="str">
        <f>IF(ISBLANK(C262)," ",257-COUNTBLANK($C$6:C262))</f>
        <v xml:space="preserve"> </v>
      </c>
      <c r="B262" s="178"/>
      <c r="C262" s="178"/>
      <c r="D262" s="193"/>
      <c r="E262" s="193"/>
      <c r="F262" s="180"/>
      <c r="G262" s="180"/>
      <c r="H262" s="180"/>
      <c r="I262" s="180"/>
      <c r="J262" s="180"/>
      <c r="K262" s="180"/>
      <c r="L262" s="180"/>
      <c r="M262" s="181"/>
      <c r="N262" s="163" t="str">
        <f t="shared" si="17"/>
        <v/>
      </c>
      <c r="O262" s="126" t="str">
        <f t="shared" si="18"/>
        <v>-</v>
      </c>
      <c r="P262" s="164"/>
      <c r="Q262" s="164"/>
      <c r="R262" s="164"/>
      <c r="S262" s="164"/>
      <c r="T262" s="164"/>
      <c r="U262" s="164"/>
      <c r="V262" s="164"/>
    </row>
    <row r="263" spans="1:25" ht="27" customHeight="1">
      <c r="A263" s="192" t="str">
        <f>IF(ISBLANK(C263)," ",258-COUNTBLANK($C$6:C263))</f>
        <v xml:space="preserve"> </v>
      </c>
      <c r="B263" s="178"/>
      <c r="C263" s="178"/>
      <c r="D263" s="193"/>
      <c r="E263" s="193"/>
      <c r="F263" s="180"/>
      <c r="G263" s="180"/>
      <c r="H263" s="180"/>
      <c r="I263" s="180"/>
      <c r="J263" s="180"/>
      <c r="K263" s="180"/>
      <c r="L263" s="180"/>
      <c r="M263" s="181"/>
      <c r="N263" s="163" t="str">
        <f t="shared" si="17"/>
        <v/>
      </c>
      <c r="O263" s="126" t="str">
        <f t="shared" si="18"/>
        <v>-</v>
      </c>
      <c r="P263" s="164"/>
      <c r="Q263" s="164"/>
      <c r="R263" s="164"/>
      <c r="S263" s="164"/>
      <c r="T263" s="164"/>
      <c r="U263" s="164"/>
      <c r="V263" s="164"/>
    </row>
    <row r="264" spans="1:25" ht="27" customHeight="1">
      <c r="A264" s="192" t="str">
        <f>IF(ISBLANK(C264)," ",259-COUNTBLANK($C$6:C264))</f>
        <v xml:space="preserve"> </v>
      </c>
      <c r="B264" s="178"/>
      <c r="C264" s="178"/>
      <c r="D264" s="193"/>
      <c r="E264" s="193"/>
      <c r="F264" s="180"/>
      <c r="G264" s="180"/>
      <c r="H264" s="180"/>
      <c r="I264" s="180"/>
      <c r="J264" s="180"/>
      <c r="K264" s="180"/>
      <c r="L264" s="180"/>
      <c r="M264" s="181"/>
      <c r="N264" s="163" t="str">
        <f t="shared" si="17"/>
        <v/>
      </c>
      <c r="O264" s="126" t="str">
        <f t="shared" si="18"/>
        <v>-</v>
      </c>
      <c r="P264" s="164"/>
      <c r="Q264" s="164"/>
      <c r="R264" s="164"/>
      <c r="S264" s="164"/>
      <c r="T264" s="164"/>
      <c r="U264" s="164"/>
      <c r="V264" s="164"/>
    </row>
    <row r="265" spans="1:25" ht="27" customHeight="1">
      <c r="A265" s="192" t="str">
        <f>IF(ISBLANK(C265)," ",260-COUNTBLANK($C$6:C265))</f>
        <v xml:space="preserve"> </v>
      </c>
      <c r="B265" s="178"/>
      <c r="C265" s="178"/>
      <c r="D265" s="193"/>
      <c r="E265" s="193"/>
      <c r="F265" s="180"/>
      <c r="G265" s="180"/>
      <c r="H265" s="180"/>
      <c r="I265" s="180"/>
      <c r="J265" s="180"/>
      <c r="K265" s="180"/>
      <c r="L265" s="180"/>
      <c r="M265" s="181"/>
      <c r="N265" s="163" t="str">
        <f t="shared" si="17"/>
        <v/>
      </c>
      <c r="O265" s="126" t="str">
        <f t="shared" si="18"/>
        <v>-</v>
      </c>
      <c r="P265" s="164"/>
      <c r="Q265" s="164"/>
      <c r="R265" s="164"/>
      <c r="S265" s="164"/>
      <c r="T265" s="164"/>
      <c r="U265" s="164"/>
      <c r="V265" s="164"/>
    </row>
    <row r="266" spans="1:25" ht="27" customHeight="1">
      <c r="A266" s="192" t="str">
        <f>IF(ISBLANK(C266)," ",261-COUNTBLANK($C$6:C266))</f>
        <v xml:space="preserve"> </v>
      </c>
      <c r="B266" s="178"/>
      <c r="C266" s="178"/>
      <c r="D266" s="193"/>
      <c r="E266" s="193"/>
      <c r="F266" s="180"/>
      <c r="G266" s="180"/>
      <c r="H266" s="180"/>
      <c r="I266" s="180"/>
      <c r="J266" s="180"/>
      <c r="K266" s="180"/>
      <c r="L266" s="180"/>
      <c r="M266" s="181"/>
      <c r="N266" s="163" t="str">
        <f t="shared" si="17"/>
        <v/>
      </c>
      <c r="O266" s="126" t="str">
        <f t="shared" si="18"/>
        <v>-</v>
      </c>
      <c r="P266" s="164"/>
      <c r="Q266" s="164"/>
      <c r="R266" s="164"/>
      <c r="S266" s="164"/>
      <c r="T266" s="164"/>
      <c r="U266" s="164"/>
      <c r="V266" s="164"/>
    </row>
    <row r="267" spans="1:25" ht="27" customHeight="1">
      <c r="A267" s="192" t="str">
        <f>IF(ISBLANK(C267)," ",262-COUNTBLANK($C$6:C267))</f>
        <v xml:space="preserve"> </v>
      </c>
      <c r="B267" s="178"/>
      <c r="C267" s="178"/>
      <c r="D267" s="193"/>
      <c r="E267" s="193"/>
      <c r="F267" s="180"/>
      <c r="G267" s="180"/>
      <c r="H267" s="180"/>
      <c r="I267" s="180"/>
      <c r="J267" s="180"/>
      <c r="K267" s="180"/>
      <c r="L267" s="180"/>
      <c r="M267" s="181"/>
      <c r="N267" s="163" t="str">
        <f t="shared" si="17"/>
        <v/>
      </c>
      <c r="O267" s="126" t="str">
        <f t="shared" si="18"/>
        <v>-</v>
      </c>
      <c r="P267" s="164"/>
      <c r="Q267" s="164"/>
      <c r="R267" s="164"/>
      <c r="S267" s="164"/>
      <c r="T267" s="164"/>
      <c r="U267" s="164"/>
      <c r="V267" s="164"/>
    </row>
    <row r="268" spans="1:25" ht="27" customHeight="1">
      <c r="A268" s="192" t="str">
        <f>IF(ISBLANK(C268)," ",263-COUNTBLANK($C$6:C268))</f>
        <v xml:space="preserve"> </v>
      </c>
      <c r="B268" s="178"/>
      <c r="C268" s="178"/>
      <c r="D268" s="193"/>
      <c r="E268" s="193"/>
      <c r="F268" s="180"/>
      <c r="G268" s="180"/>
      <c r="H268" s="180"/>
      <c r="I268" s="180"/>
      <c r="J268" s="180"/>
      <c r="K268" s="180"/>
      <c r="L268" s="180"/>
      <c r="M268" s="181"/>
      <c r="N268" s="163" t="str">
        <f t="shared" si="17"/>
        <v/>
      </c>
      <c r="O268" s="126" t="str">
        <f t="shared" si="18"/>
        <v>-</v>
      </c>
      <c r="P268" s="164"/>
      <c r="Q268" s="164"/>
      <c r="R268" s="164"/>
      <c r="S268" s="164"/>
      <c r="T268" s="164"/>
      <c r="U268" s="164"/>
      <c r="V268" s="164"/>
    </row>
    <row r="269" spans="1:25" ht="27" customHeight="1">
      <c r="A269" s="192" t="str">
        <f>IF(ISBLANK(C269)," ",264-COUNTBLANK($C$6:C269))</f>
        <v xml:space="preserve"> </v>
      </c>
      <c r="B269" s="178"/>
      <c r="C269" s="178"/>
      <c r="D269" s="193"/>
      <c r="E269" s="193"/>
      <c r="F269" s="180"/>
      <c r="G269" s="180"/>
      <c r="H269" s="180"/>
      <c r="I269" s="180"/>
      <c r="J269" s="180"/>
      <c r="K269" s="180"/>
      <c r="L269" s="180"/>
      <c r="M269" s="181"/>
      <c r="N269" s="163" t="str">
        <f t="shared" si="17"/>
        <v/>
      </c>
      <c r="O269" s="126" t="str">
        <f t="shared" si="18"/>
        <v>-</v>
      </c>
      <c r="P269" s="164"/>
      <c r="Q269" s="164"/>
      <c r="R269" s="164"/>
      <c r="S269" s="164"/>
      <c r="T269" s="164"/>
      <c r="U269" s="164"/>
      <c r="V269" s="164"/>
    </row>
    <row r="270" spans="1:25" ht="27" customHeight="1">
      <c r="A270" s="192" t="str">
        <f>IF(ISBLANK(C270)," ",265-COUNTBLANK($C$6:C270))</f>
        <v xml:space="preserve"> </v>
      </c>
      <c r="B270" s="178"/>
      <c r="C270" s="178"/>
      <c r="D270" s="193"/>
      <c r="E270" s="193"/>
      <c r="F270" s="180"/>
      <c r="G270" s="180"/>
      <c r="H270" s="180"/>
      <c r="I270" s="180"/>
      <c r="J270" s="180"/>
      <c r="K270" s="180"/>
      <c r="L270" s="180"/>
      <c r="M270" s="181"/>
      <c r="N270" s="163" t="str">
        <f t="shared" si="17"/>
        <v/>
      </c>
      <c r="O270" s="126" t="str">
        <f t="shared" si="18"/>
        <v>-</v>
      </c>
      <c r="P270" s="164"/>
      <c r="Q270" s="164"/>
      <c r="R270" s="164"/>
      <c r="S270" s="164"/>
      <c r="T270" s="164"/>
      <c r="U270" s="164"/>
      <c r="V270" s="164"/>
    </row>
    <row r="271" spans="1:25" ht="27" customHeight="1">
      <c r="A271" s="192" t="str">
        <f>IF(ISBLANK(C271)," ",266-COUNTBLANK($C$6:C271))</f>
        <v xml:space="preserve"> </v>
      </c>
      <c r="B271" s="178"/>
      <c r="C271" s="178"/>
      <c r="D271" s="193"/>
      <c r="E271" s="193"/>
      <c r="F271" s="180"/>
      <c r="G271" s="180"/>
      <c r="H271" s="180"/>
      <c r="I271" s="180"/>
      <c r="J271" s="180"/>
      <c r="K271" s="180"/>
      <c r="L271" s="180"/>
      <c r="M271" s="181"/>
      <c r="N271" s="163" t="str">
        <f t="shared" si="17"/>
        <v/>
      </c>
      <c r="O271" s="126" t="str">
        <f t="shared" si="18"/>
        <v>-</v>
      </c>
      <c r="P271" s="164"/>
      <c r="Q271" s="164"/>
      <c r="R271" s="164"/>
      <c r="S271" s="164"/>
      <c r="T271" s="164"/>
      <c r="U271" s="164"/>
      <c r="V271" s="164"/>
    </row>
    <row r="272" spans="1:25" ht="27" customHeight="1">
      <c r="A272" s="192" t="str">
        <f>IF(ISBLANK(C272)," ",267-COUNTBLANK($C$6:C272))</f>
        <v xml:space="preserve"> </v>
      </c>
      <c r="B272" s="178"/>
      <c r="C272" s="178"/>
      <c r="D272" s="193"/>
      <c r="E272" s="193"/>
      <c r="F272" s="180"/>
      <c r="G272" s="180"/>
      <c r="H272" s="180"/>
      <c r="I272" s="180"/>
      <c r="J272" s="180"/>
      <c r="K272" s="180"/>
      <c r="L272" s="180"/>
      <c r="M272" s="181"/>
      <c r="N272" s="163" t="str">
        <f t="shared" si="17"/>
        <v/>
      </c>
      <c r="O272" s="126" t="str">
        <f t="shared" si="18"/>
        <v>-</v>
      </c>
      <c r="P272" s="164"/>
      <c r="Q272" s="164"/>
      <c r="R272" s="164"/>
      <c r="S272" s="164"/>
      <c r="T272" s="164"/>
      <c r="U272" s="164"/>
      <c r="V272" s="164"/>
    </row>
    <row r="273" spans="1:25" ht="27" customHeight="1">
      <c r="A273" s="192" t="str">
        <f>IF(ISBLANK(C273)," ",268-COUNTBLANK($C$6:C273))</f>
        <v xml:space="preserve"> </v>
      </c>
      <c r="B273" s="178"/>
      <c r="C273" s="178"/>
      <c r="D273" s="193"/>
      <c r="E273" s="193"/>
      <c r="F273" s="180"/>
      <c r="G273" s="180"/>
      <c r="H273" s="180"/>
      <c r="I273" s="180"/>
      <c r="J273" s="180"/>
      <c r="K273" s="180"/>
      <c r="L273" s="180"/>
      <c r="M273" s="181"/>
      <c r="N273" s="163" t="str">
        <f t="shared" si="17"/>
        <v/>
      </c>
      <c r="O273" s="126" t="str">
        <f t="shared" si="18"/>
        <v>-</v>
      </c>
      <c r="P273" s="164"/>
      <c r="Q273" s="164"/>
      <c r="R273" s="164"/>
      <c r="S273" s="164"/>
      <c r="T273" s="164"/>
      <c r="U273" s="164"/>
      <c r="V273" s="165"/>
    </row>
    <row r="274" spans="1:25" ht="27" customHeight="1">
      <c r="A274" s="192" t="str">
        <f>IF(ISBLANK(C274)," ",269-COUNTBLANK($C$6:C274))</f>
        <v xml:space="preserve"> </v>
      </c>
      <c r="B274" s="178"/>
      <c r="C274" s="178"/>
      <c r="D274" s="193"/>
      <c r="E274" s="193"/>
      <c r="F274" s="180"/>
      <c r="G274" s="180"/>
      <c r="H274" s="180"/>
      <c r="I274" s="180"/>
      <c r="J274" s="180"/>
      <c r="K274" s="180"/>
      <c r="L274" s="180"/>
      <c r="M274" s="181"/>
      <c r="N274" s="163" t="str">
        <f t="shared" si="17"/>
        <v/>
      </c>
      <c r="O274" s="126" t="str">
        <f t="shared" si="18"/>
        <v>-</v>
      </c>
      <c r="P274" s="164"/>
      <c r="Q274" s="164"/>
      <c r="R274" s="164"/>
      <c r="S274" s="164"/>
      <c r="T274" s="164"/>
      <c r="U274" s="164"/>
      <c r="V274" s="165"/>
    </row>
    <row r="275" spans="1:25" ht="27" customHeight="1">
      <c r="A275" s="192" t="str">
        <f>IF(ISBLANK(C275)," ",270-COUNTBLANK($C$6:C275))</f>
        <v xml:space="preserve"> </v>
      </c>
      <c r="B275" s="178"/>
      <c r="C275" s="178"/>
      <c r="D275" s="193"/>
      <c r="E275" s="193"/>
      <c r="F275" s="180"/>
      <c r="G275" s="180"/>
      <c r="H275" s="180"/>
      <c r="I275" s="180"/>
      <c r="J275" s="180"/>
      <c r="K275" s="180"/>
      <c r="L275" s="180"/>
      <c r="M275" s="181"/>
      <c r="N275" s="163" t="str">
        <f t="shared" si="17"/>
        <v/>
      </c>
      <c r="O275" s="126" t="str">
        <f t="shared" si="18"/>
        <v>-</v>
      </c>
      <c r="P275" s="164"/>
      <c r="Q275" s="164"/>
      <c r="R275" s="164"/>
      <c r="S275" s="164"/>
      <c r="T275" s="164"/>
      <c r="U275" s="164"/>
      <c r="V275" s="165"/>
    </row>
    <row r="276" spans="1:25" ht="27" customHeight="1">
      <c r="A276" s="192" t="str">
        <f>IF(ISBLANK(C276)," ",271-COUNTBLANK($C$6:C276))</f>
        <v xml:space="preserve"> </v>
      </c>
      <c r="B276" s="178"/>
      <c r="C276" s="178"/>
      <c r="D276" s="193"/>
      <c r="E276" s="193"/>
      <c r="F276" s="180"/>
      <c r="G276" s="180"/>
      <c r="H276" s="180"/>
      <c r="I276" s="180"/>
      <c r="J276" s="180"/>
      <c r="K276" s="180"/>
      <c r="L276" s="180"/>
      <c r="M276" s="181"/>
      <c r="N276" s="163" t="str">
        <f t="shared" si="17"/>
        <v/>
      </c>
      <c r="O276" s="126" t="str">
        <f t="shared" si="18"/>
        <v>-</v>
      </c>
      <c r="P276" s="164"/>
      <c r="Q276" s="164"/>
      <c r="R276" s="164"/>
      <c r="S276" s="164"/>
      <c r="T276" s="164"/>
      <c r="U276" s="164"/>
      <c r="V276" s="165"/>
    </row>
    <row r="277" spans="1:25" ht="27" customHeight="1">
      <c r="A277" s="192" t="str">
        <f>IF(ISBLANK(C277)," ",272-COUNTBLANK($C$6:C277))</f>
        <v xml:space="preserve"> </v>
      </c>
      <c r="B277" s="178"/>
      <c r="C277" s="178"/>
      <c r="D277" s="193"/>
      <c r="E277" s="193"/>
      <c r="F277" s="180"/>
      <c r="G277" s="180"/>
      <c r="H277" s="180"/>
      <c r="I277" s="180"/>
      <c r="J277" s="180"/>
      <c r="K277" s="180"/>
      <c r="L277" s="180"/>
      <c r="M277" s="181"/>
      <c r="N277" s="163" t="str">
        <f t="shared" si="17"/>
        <v/>
      </c>
      <c r="O277" s="126" t="str">
        <f t="shared" si="18"/>
        <v>-</v>
      </c>
      <c r="P277" s="164"/>
      <c r="Q277" s="164"/>
      <c r="R277" s="164"/>
      <c r="S277" s="164"/>
      <c r="T277" s="164"/>
      <c r="U277" s="164"/>
      <c r="V277" s="166"/>
      <c r="W277" s="164"/>
      <c r="X277" s="164"/>
      <c r="Y277" s="164"/>
    </row>
    <row r="278" spans="1:25" ht="27" customHeight="1">
      <c r="A278" s="172" t="s">
        <v>44</v>
      </c>
      <c r="B278" s="173"/>
      <c r="C278" s="174"/>
      <c r="D278" s="194"/>
      <c r="E278" s="194">
        <f>SUM(E258:E277)</f>
        <v>0</v>
      </c>
      <c r="F278" s="176"/>
      <c r="G278" s="176"/>
      <c r="H278" s="176"/>
      <c r="I278" s="176"/>
      <c r="J278" s="176"/>
      <c r="K278" s="176"/>
      <c r="L278" s="176"/>
      <c r="M278" s="177"/>
      <c r="N278" s="163" t="str">
        <f t="shared" si="17"/>
        <v/>
      </c>
      <c r="O278" s="126"/>
      <c r="P278" s="164"/>
      <c r="Q278" s="164"/>
      <c r="R278" s="164"/>
      <c r="S278" s="164"/>
      <c r="T278" s="164"/>
      <c r="U278" s="164"/>
      <c r="V278" s="166"/>
      <c r="W278" s="164"/>
      <c r="X278" s="164"/>
      <c r="Y278" s="164"/>
    </row>
    <row r="279" spans="1:25" ht="27" customHeight="1">
      <c r="A279" s="187" t="str">
        <f>IF(ISBLANK(C279)," ",274-COUNTBLANK($C$6:C279))</f>
        <v xml:space="preserve"> </v>
      </c>
      <c r="B279" s="188"/>
      <c r="C279" s="188"/>
      <c r="D279" s="189"/>
      <c r="E279" s="189"/>
      <c r="F279" s="190"/>
      <c r="G279" s="190"/>
      <c r="H279" s="190"/>
      <c r="I279" s="190"/>
      <c r="J279" s="190"/>
      <c r="K279" s="190"/>
      <c r="L279" s="190"/>
      <c r="M279" s="191"/>
      <c r="N279" s="163" t="str">
        <f>CONCATENATE(C279,H279)</f>
        <v/>
      </c>
      <c r="O279" s="126" t="str">
        <f>IF(D279&gt;=E279,"-","ERR")</f>
        <v>-</v>
      </c>
      <c r="P279" s="164"/>
      <c r="Q279" s="164"/>
      <c r="R279" s="164"/>
      <c r="S279" s="164"/>
      <c r="T279" s="164"/>
      <c r="U279" s="164"/>
      <c r="V279" s="164"/>
    </row>
    <row r="280" spans="1:25" ht="27" customHeight="1">
      <c r="A280" s="192" t="str">
        <f>IF(ISBLANK(C280)," ",275-COUNTBLANK($C$6:C280))</f>
        <v xml:space="preserve"> </v>
      </c>
      <c r="B280" s="178"/>
      <c r="C280" s="178"/>
      <c r="D280" s="193"/>
      <c r="E280" s="193"/>
      <c r="F280" s="180"/>
      <c r="G280" s="180"/>
      <c r="H280" s="180"/>
      <c r="I280" s="180"/>
      <c r="J280" s="180"/>
      <c r="K280" s="180"/>
      <c r="L280" s="180"/>
      <c r="M280" s="181"/>
      <c r="N280" s="163" t="str">
        <f t="shared" ref="N280:N299" si="19">CONCATENATE(C280,H280)</f>
        <v/>
      </c>
      <c r="O280" s="126" t="str">
        <f t="shared" ref="O280:O298" si="20">IF(D280&gt;=E280,"-","ERR")</f>
        <v>-</v>
      </c>
      <c r="P280" s="164"/>
      <c r="Q280" s="164"/>
      <c r="R280" s="164"/>
      <c r="S280" s="164"/>
      <c r="T280" s="164"/>
      <c r="U280" s="164"/>
      <c r="V280" s="164"/>
    </row>
    <row r="281" spans="1:25" ht="27" customHeight="1">
      <c r="A281" s="192" t="str">
        <f>IF(ISBLANK(C281)," ",276-COUNTBLANK($C$6:C281))</f>
        <v xml:space="preserve"> </v>
      </c>
      <c r="B281" s="178"/>
      <c r="C281" s="178"/>
      <c r="D281" s="193"/>
      <c r="E281" s="193"/>
      <c r="F281" s="180"/>
      <c r="G281" s="180"/>
      <c r="H281" s="180"/>
      <c r="I281" s="180"/>
      <c r="J281" s="180"/>
      <c r="K281" s="180"/>
      <c r="L281" s="180"/>
      <c r="M281" s="181"/>
      <c r="N281" s="163" t="str">
        <f t="shared" si="19"/>
        <v/>
      </c>
      <c r="O281" s="126" t="str">
        <f t="shared" si="20"/>
        <v>-</v>
      </c>
      <c r="P281" s="164"/>
      <c r="Q281" s="164"/>
      <c r="R281" s="164"/>
      <c r="S281" s="164"/>
      <c r="T281" s="164"/>
      <c r="U281" s="164"/>
      <c r="V281" s="164"/>
    </row>
    <row r="282" spans="1:25" ht="27" customHeight="1">
      <c r="A282" s="192" t="str">
        <f>IF(ISBLANK(C282)," ",277-COUNTBLANK($C$6:C282))</f>
        <v xml:space="preserve"> </v>
      </c>
      <c r="B282" s="178"/>
      <c r="C282" s="178"/>
      <c r="D282" s="193"/>
      <c r="E282" s="193"/>
      <c r="F282" s="180"/>
      <c r="G282" s="180"/>
      <c r="H282" s="180"/>
      <c r="I282" s="180"/>
      <c r="J282" s="180"/>
      <c r="K282" s="180"/>
      <c r="L282" s="180"/>
      <c r="M282" s="181"/>
      <c r="N282" s="163" t="str">
        <f t="shared" si="19"/>
        <v/>
      </c>
      <c r="O282" s="126" t="str">
        <f t="shared" si="20"/>
        <v>-</v>
      </c>
      <c r="P282" s="164"/>
      <c r="Q282" s="164"/>
      <c r="R282" s="164"/>
      <c r="S282" s="164"/>
      <c r="T282" s="164"/>
      <c r="U282" s="164"/>
      <c r="V282" s="164"/>
    </row>
    <row r="283" spans="1:25" ht="27" customHeight="1">
      <c r="A283" s="192" t="str">
        <f>IF(ISBLANK(C283)," ",278-COUNTBLANK($C$6:C283))</f>
        <v xml:space="preserve"> </v>
      </c>
      <c r="B283" s="178"/>
      <c r="C283" s="178"/>
      <c r="D283" s="193"/>
      <c r="E283" s="193"/>
      <c r="F283" s="180"/>
      <c r="G283" s="180"/>
      <c r="H283" s="180"/>
      <c r="I283" s="180"/>
      <c r="J283" s="180"/>
      <c r="K283" s="180"/>
      <c r="L283" s="180"/>
      <c r="M283" s="181"/>
      <c r="N283" s="163" t="str">
        <f t="shared" si="19"/>
        <v/>
      </c>
      <c r="O283" s="126" t="str">
        <f t="shared" si="20"/>
        <v>-</v>
      </c>
      <c r="P283" s="164"/>
      <c r="Q283" s="164"/>
      <c r="R283" s="164"/>
      <c r="S283" s="164"/>
      <c r="T283" s="164"/>
      <c r="U283" s="164"/>
      <c r="V283" s="164"/>
    </row>
    <row r="284" spans="1:25" ht="27" customHeight="1">
      <c r="A284" s="192" t="str">
        <f>IF(ISBLANK(C284)," ",279-COUNTBLANK($C$6:C284))</f>
        <v xml:space="preserve"> </v>
      </c>
      <c r="B284" s="178"/>
      <c r="C284" s="178"/>
      <c r="D284" s="193"/>
      <c r="E284" s="193"/>
      <c r="F284" s="180"/>
      <c r="G284" s="180"/>
      <c r="H284" s="180"/>
      <c r="I284" s="180"/>
      <c r="J284" s="180"/>
      <c r="K284" s="180"/>
      <c r="L284" s="180"/>
      <c r="M284" s="181"/>
      <c r="N284" s="163" t="str">
        <f t="shared" si="19"/>
        <v/>
      </c>
      <c r="O284" s="126" t="str">
        <f t="shared" si="20"/>
        <v>-</v>
      </c>
      <c r="P284" s="164"/>
      <c r="Q284" s="164"/>
      <c r="R284" s="164"/>
      <c r="S284" s="164"/>
      <c r="T284" s="164"/>
      <c r="U284" s="164"/>
      <c r="V284" s="164"/>
    </row>
    <row r="285" spans="1:25" ht="27" customHeight="1">
      <c r="A285" s="192" t="str">
        <f>IF(ISBLANK(C285)," ",280-COUNTBLANK($C$6:C285))</f>
        <v xml:space="preserve"> </v>
      </c>
      <c r="B285" s="178"/>
      <c r="C285" s="178"/>
      <c r="D285" s="193"/>
      <c r="E285" s="193"/>
      <c r="F285" s="180"/>
      <c r="G285" s="180"/>
      <c r="H285" s="180"/>
      <c r="I285" s="180"/>
      <c r="J285" s="180"/>
      <c r="K285" s="180"/>
      <c r="L285" s="180"/>
      <c r="M285" s="181"/>
      <c r="N285" s="163" t="str">
        <f t="shared" si="19"/>
        <v/>
      </c>
      <c r="O285" s="126" t="str">
        <f t="shared" si="20"/>
        <v>-</v>
      </c>
      <c r="P285" s="164"/>
      <c r="Q285" s="164"/>
      <c r="R285" s="164"/>
      <c r="S285" s="164"/>
      <c r="T285" s="164"/>
      <c r="U285" s="164"/>
      <c r="V285" s="164"/>
    </row>
    <row r="286" spans="1:25" ht="27" customHeight="1">
      <c r="A286" s="192" t="str">
        <f>IF(ISBLANK(C286)," ",281-COUNTBLANK($C$6:C286))</f>
        <v xml:space="preserve"> </v>
      </c>
      <c r="B286" s="178"/>
      <c r="C286" s="178"/>
      <c r="D286" s="193"/>
      <c r="E286" s="193"/>
      <c r="F286" s="180"/>
      <c r="G286" s="180"/>
      <c r="H286" s="180"/>
      <c r="I286" s="180"/>
      <c r="J286" s="180"/>
      <c r="K286" s="180"/>
      <c r="L286" s="180"/>
      <c r="M286" s="181"/>
      <c r="N286" s="163" t="str">
        <f t="shared" si="19"/>
        <v/>
      </c>
      <c r="O286" s="126" t="str">
        <f t="shared" si="20"/>
        <v>-</v>
      </c>
      <c r="P286" s="164"/>
      <c r="Q286" s="164"/>
      <c r="R286" s="164"/>
      <c r="S286" s="164"/>
      <c r="T286" s="164"/>
      <c r="U286" s="164"/>
      <c r="V286" s="164"/>
    </row>
    <row r="287" spans="1:25" ht="27" customHeight="1">
      <c r="A287" s="192" t="str">
        <f>IF(ISBLANK(C287)," ",282-COUNTBLANK($C$6:C287))</f>
        <v xml:space="preserve"> </v>
      </c>
      <c r="B287" s="178"/>
      <c r="C287" s="178"/>
      <c r="D287" s="193"/>
      <c r="E287" s="193"/>
      <c r="F287" s="180"/>
      <c r="G287" s="180"/>
      <c r="H287" s="180"/>
      <c r="I287" s="180"/>
      <c r="J287" s="180"/>
      <c r="K287" s="180"/>
      <c r="L287" s="180"/>
      <c r="M287" s="181"/>
      <c r="N287" s="163" t="str">
        <f t="shared" si="19"/>
        <v/>
      </c>
      <c r="O287" s="126" t="str">
        <f t="shared" si="20"/>
        <v>-</v>
      </c>
      <c r="P287" s="164"/>
      <c r="Q287" s="164"/>
      <c r="R287" s="164"/>
      <c r="S287" s="164"/>
      <c r="T287" s="164"/>
      <c r="U287" s="164"/>
      <c r="V287" s="164"/>
    </row>
    <row r="288" spans="1:25" ht="27" customHeight="1">
      <c r="A288" s="192" t="str">
        <f>IF(ISBLANK(C288)," ",283-COUNTBLANK($C$6:C288))</f>
        <v xml:space="preserve"> </v>
      </c>
      <c r="B288" s="178"/>
      <c r="C288" s="178"/>
      <c r="D288" s="193"/>
      <c r="E288" s="193"/>
      <c r="F288" s="180"/>
      <c r="G288" s="180"/>
      <c r="H288" s="180"/>
      <c r="I288" s="180"/>
      <c r="J288" s="180"/>
      <c r="K288" s="180"/>
      <c r="L288" s="180"/>
      <c r="M288" s="181"/>
      <c r="N288" s="163" t="str">
        <f t="shared" si="19"/>
        <v/>
      </c>
      <c r="O288" s="126" t="str">
        <f t="shared" si="20"/>
        <v>-</v>
      </c>
      <c r="P288" s="164"/>
      <c r="Q288" s="164"/>
      <c r="R288" s="164"/>
      <c r="S288" s="164"/>
      <c r="T288" s="164"/>
      <c r="U288" s="164"/>
      <c r="V288" s="164"/>
    </row>
    <row r="289" spans="1:25" ht="27" customHeight="1">
      <c r="A289" s="192" t="str">
        <f>IF(ISBLANK(C289)," ",284-COUNTBLANK($C$6:C289))</f>
        <v xml:space="preserve"> </v>
      </c>
      <c r="B289" s="178"/>
      <c r="C289" s="178"/>
      <c r="D289" s="193"/>
      <c r="E289" s="193"/>
      <c r="F289" s="180"/>
      <c r="G289" s="180"/>
      <c r="H289" s="180"/>
      <c r="I289" s="180"/>
      <c r="J289" s="180"/>
      <c r="K289" s="180"/>
      <c r="L289" s="180"/>
      <c r="M289" s="181"/>
      <c r="N289" s="163" t="str">
        <f t="shared" si="19"/>
        <v/>
      </c>
      <c r="O289" s="126" t="str">
        <f t="shared" si="20"/>
        <v>-</v>
      </c>
      <c r="P289" s="164"/>
      <c r="Q289" s="164"/>
      <c r="R289" s="164"/>
      <c r="S289" s="164"/>
      <c r="T289" s="164"/>
      <c r="U289" s="164"/>
      <c r="V289" s="164"/>
    </row>
    <row r="290" spans="1:25" ht="27" customHeight="1">
      <c r="A290" s="192" t="str">
        <f>IF(ISBLANK(C290)," ",285-COUNTBLANK($C$6:C290))</f>
        <v xml:space="preserve"> </v>
      </c>
      <c r="B290" s="178"/>
      <c r="C290" s="178"/>
      <c r="D290" s="193"/>
      <c r="E290" s="193"/>
      <c r="F290" s="180"/>
      <c r="G290" s="180"/>
      <c r="H290" s="180"/>
      <c r="I290" s="180"/>
      <c r="J290" s="180"/>
      <c r="K290" s="180"/>
      <c r="L290" s="180"/>
      <c r="M290" s="181"/>
      <c r="N290" s="163" t="str">
        <f t="shared" si="19"/>
        <v/>
      </c>
      <c r="O290" s="126" t="str">
        <f t="shared" si="20"/>
        <v>-</v>
      </c>
      <c r="P290" s="164"/>
      <c r="Q290" s="164"/>
      <c r="R290" s="164"/>
      <c r="S290" s="164"/>
      <c r="T290" s="164"/>
      <c r="U290" s="164"/>
      <c r="V290" s="164"/>
    </row>
    <row r="291" spans="1:25" ht="27" customHeight="1">
      <c r="A291" s="192" t="str">
        <f>IF(ISBLANK(C291)," ",286-COUNTBLANK($C$6:C291))</f>
        <v xml:space="preserve"> </v>
      </c>
      <c r="B291" s="178"/>
      <c r="C291" s="178"/>
      <c r="D291" s="193"/>
      <c r="E291" s="193"/>
      <c r="F291" s="180"/>
      <c r="G291" s="180"/>
      <c r="H291" s="180"/>
      <c r="I291" s="180"/>
      <c r="J291" s="180"/>
      <c r="K291" s="180"/>
      <c r="L291" s="180"/>
      <c r="M291" s="181"/>
      <c r="N291" s="163" t="str">
        <f t="shared" si="19"/>
        <v/>
      </c>
      <c r="O291" s="126" t="str">
        <f t="shared" si="20"/>
        <v>-</v>
      </c>
      <c r="P291" s="164"/>
      <c r="Q291" s="164"/>
      <c r="R291" s="164"/>
      <c r="S291" s="164"/>
      <c r="T291" s="164"/>
      <c r="U291" s="164"/>
      <c r="V291" s="164"/>
    </row>
    <row r="292" spans="1:25" ht="27" customHeight="1">
      <c r="A292" s="192" t="str">
        <f>IF(ISBLANK(C292)," ",287-COUNTBLANK($C$6:C292))</f>
        <v xml:space="preserve"> </v>
      </c>
      <c r="B292" s="178"/>
      <c r="C292" s="178"/>
      <c r="D292" s="193"/>
      <c r="E292" s="193"/>
      <c r="F292" s="180"/>
      <c r="G292" s="180"/>
      <c r="H292" s="180"/>
      <c r="I292" s="180"/>
      <c r="J292" s="180"/>
      <c r="K292" s="180"/>
      <c r="L292" s="180"/>
      <c r="M292" s="181"/>
      <c r="N292" s="163" t="str">
        <f t="shared" si="19"/>
        <v/>
      </c>
      <c r="O292" s="126" t="str">
        <f t="shared" si="20"/>
        <v>-</v>
      </c>
      <c r="P292" s="164"/>
      <c r="Q292" s="164"/>
      <c r="R292" s="164"/>
      <c r="S292" s="164"/>
      <c r="T292" s="164"/>
      <c r="U292" s="164"/>
      <c r="V292" s="164"/>
    </row>
    <row r="293" spans="1:25" ht="27" customHeight="1">
      <c r="A293" s="192" t="str">
        <f>IF(ISBLANK(C293)," ",288-COUNTBLANK($C$6:C293))</f>
        <v xml:space="preserve"> </v>
      </c>
      <c r="B293" s="178"/>
      <c r="C293" s="178"/>
      <c r="D293" s="193"/>
      <c r="E293" s="193"/>
      <c r="F293" s="180"/>
      <c r="G293" s="180"/>
      <c r="H293" s="180"/>
      <c r="I293" s="180"/>
      <c r="J293" s="180"/>
      <c r="K293" s="180"/>
      <c r="L293" s="180"/>
      <c r="M293" s="181"/>
      <c r="N293" s="163" t="str">
        <f t="shared" si="19"/>
        <v/>
      </c>
      <c r="O293" s="126" t="str">
        <f t="shared" si="20"/>
        <v>-</v>
      </c>
      <c r="P293" s="164"/>
      <c r="Q293" s="164"/>
      <c r="R293" s="164"/>
      <c r="S293" s="164"/>
      <c r="T293" s="164"/>
      <c r="U293" s="164"/>
      <c r="V293" s="164"/>
    </row>
    <row r="294" spans="1:25" ht="27" customHeight="1">
      <c r="A294" s="192" t="str">
        <f>IF(ISBLANK(C294)," ",289-COUNTBLANK($C$6:C294))</f>
        <v xml:space="preserve"> </v>
      </c>
      <c r="B294" s="178"/>
      <c r="C294" s="178"/>
      <c r="D294" s="193"/>
      <c r="E294" s="193"/>
      <c r="F294" s="180"/>
      <c r="G294" s="180"/>
      <c r="H294" s="180"/>
      <c r="I294" s="180"/>
      <c r="J294" s="180"/>
      <c r="K294" s="180"/>
      <c r="L294" s="180"/>
      <c r="M294" s="181"/>
      <c r="N294" s="163" t="str">
        <f t="shared" si="19"/>
        <v/>
      </c>
      <c r="O294" s="126" t="str">
        <f t="shared" si="20"/>
        <v>-</v>
      </c>
      <c r="P294" s="164"/>
      <c r="Q294" s="164"/>
      <c r="R294" s="164"/>
      <c r="S294" s="164"/>
      <c r="T294" s="164"/>
      <c r="U294" s="164"/>
      <c r="V294" s="165"/>
    </row>
    <row r="295" spans="1:25" ht="27" customHeight="1">
      <c r="A295" s="192" t="str">
        <f>IF(ISBLANK(C295)," ",290-COUNTBLANK($C$6:C295))</f>
        <v xml:space="preserve"> </v>
      </c>
      <c r="B295" s="178"/>
      <c r="C295" s="178"/>
      <c r="D295" s="193"/>
      <c r="E295" s="193"/>
      <c r="F295" s="180"/>
      <c r="G295" s="180"/>
      <c r="H295" s="180"/>
      <c r="I295" s="180"/>
      <c r="J295" s="180"/>
      <c r="K295" s="180"/>
      <c r="L295" s="180"/>
      <c r="M295" s="181"/>
      <c r="N295" s="163" t="str">
        <f t="shared" si="19"/>
        <v/>
      </c>
      <c r="O295" s="126" t="str">
        <f t="shared" si="20"/>
        <v>-</v>
      </c>
      <c r="P295" s="164"/>
      <c r="Q295" s="164"/>
      <c r="R295" s="164"/>
      <c r="S295" s="164"/>
      <c r="T295" s="164"/>
      <c r="U295" s="164"/>
      <c r="V295" s="165"/>
    </row>
    <row r="296" spans="1:25" ht="27" customHeight="1">
      <c r="A296" s="192" t="str">
        <f>IF(ISBLANK(C296)," ",291-COUNTBLANK($C$6:C296))</f>
        <v xml:space="preserve"> </v>
      </c>
      <c r="B296" s="178"/>
      <c r="C296" s="178"/>
      <c r="D296" s="193"/>
      <c r="E296" s="193"/>
      <c r="F296" s="180"/>
      <c r="G296" s="180"/>
      <c r="H296" s="180"/>
      <c r="I296" s="180"/>
      <c r="J296" s="180"/>
      <c r="K296" s="180"/>
      <c r="L296" s="180"/>
      <c r="M296" s="181"/>
      <c r="N296" s="163" t="str">
        <f t="shared" si="19"/>
        <v/>
      </c>
      <c r="O296" s="126" t="str">
        <f t="shared" si="20"/>
        <v>-</v>
      </c>
      <c r="P296" s="164"/>
      <c r="Q296" s="164"/>
      <c r="R296" s="164"/>
      <c r="S296" s="164"/>
      <c r="T296" s="164"/>
      <c r="U296" s="164"/>
      <c r="V296" s="165"/>
    </row>
    <row r="297" spans="1:25" ht="27" customHeight="1">
      <c r="A297" s="192" t="str">
        <f>IF(ISBLANK(C297)," ",292-COUNTBLANK($C$6:C297))</f>
        <v xml:space="preserve"> </v>
      </c>
      <c r="B297" s="178"/>
      <c r="C297" s="178"/>
      <c r="D297" s="193"/>
      <c r="E297" s="193"/>
      <c r="F297" s="180"/>
      <c r="G297" s="180"/>
      <c r="H297" s="180"/>
      <c r="I297" s="180"/>
      <c r="J297" s="180"/>
      <c r="K297" s="180"/>
      <c r="L297" s="180"/>
      <c r="M297" s="181"/>
      <c r="N297" s="163" t="str">
        <f t="shared" si="19"/>
        <v/>
      </c>
      <c r="O297" s="126" t="str">
        <f t="shared" si="20"/>
        <v>-</v>
      </c>
      <c r="P297" s="164"/>
      <c r="Q297" s="164"/>
      <c r="R297" s="164"/>
      <c r="S297" s="164"/>
      <c r="T297" s="164"/>
      <c r="U297" s="164"/>
      <c r="V297" s="165"/>
    </row>
    <row r="298" spans="1:25" ht="27" customHeight="1">
      <c r="A298" s="192" t="str">
        <f>IF(ISBLANK(C298)," ",293-COUNTBLANK($C$6:C298))</f>
        <v xml:space="preserve"> </v>
      </c>
      <c r="B298" s="178"/>
      <c r="C298" s="178"/>
      <c r="D298" s="193"/>
      <c r="E298" s="193"/>
      <c r="F298" s="180"/>
      <c r="G298" s="180"/>
      <c r="H298" s="180"/>
      <c r="I298" s="180"/>
      <c r="J298" s="180"/>
      <c r="K298" s="180"/>
      <c r="L298" s="180"/>
      <c r="M298" s="181"/>
      <c r="N298" s="163" t="str">
        <f t="shared" si="19"/>
        <v/>
      </c>
      <c r="O298" s="126" t="str">
        <f t="shared" si="20"/>
        <v>-</v>
      </c>
      <c r="P298" s="164"/>
      <c r="Q298" s="164"/>
      <c r="R298" s="164"/>
      <c r="S298" s="164"/>
      <c r="T298" s="164"/>
      <c r="U298" s="164"/>
      <c r="V298" s="166"/>
      <c r="W298" s="164"/>
      <c r="X298" s="164"/>
      <c r="Y298" s="164"/>
    </row>
    <row r="299" spans="1:25" ht="27" customHeight="1">
      <c r="A299" s="172" t="s">
        <v>44</v>
      </c>
      <c r="B299" s="173"/>
      <c r="C299" s="174"/>
      <c r="D299" s="194"/>
      <c r="E299" s="194">
        <f>SUM(E279:E298)</f>
        <v>0</v>
      </c>
      <c r="F299" s="176"/>
      <c r="G299" s="176"/>
      <c r="H299" s="176"/>
      <c r="I299" s="176"/>
      <c r="J299" s="176"/>
      <c r="K299" s="176"/>
      <c r="L299" s="176"/>
      <c r="M299" s="177"/>
      <c r="N299" s="163" t="str">
        <f t="shared" si="19"/>
        <v/>
      </c>
      <c r="O299" s="126"/>
      <c r="P299" s="164"/>
      <c r="Q299" s="164"/>
      <c r="R299" s="164"/>
      <c r="S299" s="164"/>
      <c r="T299" s="164"/>
      <c r="U299" s="164"/>
      <c r="V299" s="166"/>
      <c r="W299" s="164"/>
      <c r="X299" s="164"/>
      <c r="Y299" s="164"/>
    </row>
    <row r="300" spans="1:25" ht="27" customHeight="1">
      <c r="A300" s="187" t="str">
        <f>IF(ISBLANK(C300)," ",295-COUNTBLANK($C$6:C300))</f>
        <v xml:space="preserve"> </v>
      </c>
      <c r="B300" s="188"/>
      <c r="C300" s="188"/>
      <c r="D300" s="189"/>
      <c r="E300" s="189"/>
      <c r="F300" s="190"/>
      <c r="G300" s="190"/>
      <c r="H300" s="190"/>
      <c r="I300" s="190"/>
      <c r="J300" s="190"/>
      <c r="K300" s="190"/>
      <c r="L300" s="190"/>
      <c r="M300" s="191"/>
      <c r="N300" s="163" t="str">
        <f>CONCATENATE(C300,H300)</f>
        <v/>
      </c>
      <c r="O300" s="126" t="str">
        <f>IF(D300&gt;=E300,"-","ERR")</f>
        <v>-</v>
      </c>
      <c r="P300" s="164"/>
      <c r="Q300" s="164"/>
      <c r="R300" s="164"/>
      <c r="S300" s="164"/>
      <c r="T300" s="164"/>
      <c r="U300" s="164"/>
      <c r="V300" s="164"/>
    </row>
    <row r="301" spans="1:25" ht="27" customHeight="1">
      <c r="A301" s="192" t="str">
        <f>IF(ISBLANK(C301)," ",296-COUNTBLANK($C$6:C301))</f>
        <v xml:space="preserve"> </v>
      </c>
      <c r="B301" s="178"/>
      <c r="C301" s="178"/>
      <c r="D301" s="193"/>
      <c r="E301" s="193"/>
      <c r="F301" s="180"/>
      <c r="G301" s="180"/>
      <c r="H301" s="180"/>
      <c r="I301" s="180"/>
      <c r="J301" s="180"/>
      <c r="K301" s="180"/>
      <c r="L301" s="180"/>
      <c r="M301" s="181"/>
      <c r="N301" s="163" t="str">
        <f t="shared" ref="N301:N320" si="21">CONCATENATE(C301,H301)</f>
        <v/>
      </c>
      <c r="O301" s="126" t="str">
        <f t="shared" ref="O301:O319" si="22">IF(D301&gt;=E301,"-","ERR")</f>
        <v>-</v>
      </c>
      <c r="P301" s="164"/>
      <c r="Q301" s="164"/>
      <c r="R301" s="164"/>
      <c r="S301" s="164"/>
      <c r="T301" s="164"/>
      <c r="U301" s="164"/>
      <c r="V301" s="164"/>
    </row>
    <row r="302" spans="1:25" ht="27" customHeight="1">
      <c r="A302" s="192" t="str">
        <f>IF(ISBLANK(C302)," ",297-COUNTBLANK($C$6:C302))</f>
        <v xml:space="preserve"> </v>
      </c>
      <c r="B302" s="178"/>
      <c r="C302" s="178"/>
      <c r="D302" s="193"/>
      <c r="E302" s="193"/>
      <c r="F302" s="180"/>
      <c r="G302" s="180"/>
      <c r="H302" s="180"/>
      <c r="I302" s="180"/>
      <c r="J302" s="180"/>
      <c r="K302" s="180"/>
      <c r="L302" s="180"/>
      <c r="M302" s="181"/>
      <c r="N302" s="163" t="str">
        <f t="shared" si="21"/>
        <v/>
      </c>
      <c r="O302" s="126" t="str">
        <f t="shared" si="22"/>
        <v>-</v>
      </c>
      <c r="P302" s="164"/>
      <c r="Q302" s="164"/>
      <c r="R302" s="164"/>
      <c r="S302" s="164"/>
      <c r="T302" s="164"/>
      <c r="U302" s="164"/>
      <c r="V302" s="164"/>
    </row>
    <row r="303" spans="1:25" ht="27" customHeight="1">
      <c r="A303" s="192" t="str">
        <f>IF(ISBLANK(C303)," ",298-COUNTBLANK($C$6:C303))</f>
        <v xml:space="preserve"> </v>
      </c>
      <c r="B303" s="178"/>
      <c r="C303" s="178"/>
      <c r="D303" s="193"/>
      <c r="E303" s="193"/>
      <c r="F303" s="180"/>
      <c r="G303" s="180"/>
      <c r="H303" s="180"/>
      <c r="I303" s="180"/>
      <c r="J303" s="180"/>
      <c r="K303" s="180"/>
      <c r="L303" s="180"/>
      <c r="M303" s="181"/>
      <c r="N303" s="163" t="str">
        <f t="shared" si="21"/>
        <v/>
      </c>
      <c r="O303" s="126" t="str">
        <f t="shared" si="22"/>
        <v>-</v>
      </c>
      <c r="P303" s="164"/>
      <c r="Q303" s="164"/>
      <c r="R303" s="164"/>
      <c r="S303" s="164"/>
      <c r="T303" s="164"/>
      <c r="U303" s="164"/>
      <c r="V303" s="164"/>
    </row>
    <row r="304" spans="1:25" ht="27" customHeight="1">
      <c r="A304" s="192" t="str">
        <f>IF(ISBLANK(C304)," ",299-COUNTBLANK($C$6:C304))</f>
        <v xml:space="preserve"> </v>
      </c>
      <c r="B304" s="178"/>
      <c r="C304" s="178"/>
      <c r="D304" s="193"/>
      <c r="E304" s="193"/>
      <c r="F304" s="180"/>
      <c r="G304" s="180"/>
      <c r="H304" s="180"/>
      <c r="I304" s="180"/>
      <c r="J304" s="180"/>
      <c r="K304" s="180"/>
      <c r="L304" s="180"/>
      <c r="M304" s="181"/>
      <c r="N304" s="163" t="str">
        <f t="shared" si="21"/>
        <v/>
      </c>
      <c r="O304" s="126" t="str">
        <f t="shared" si="22"/>
        <v>-</v>
      </c>
      <c r="P304" s="164"/>
      <c r="Q304" s="164"/>
      <c r="R304" s="164"/>
      <c r="S304" s="164"/>
      <c r="T304" s="164"/>
      <c r="U304" s="164"/>
      <c r="V304" s="164"/>
    </row>
    <row r="305" spans="1:25" ht="27" customHeight="1">
      <c r="A305" s="192" t="str">
        <f>IF(ISBLANK(C305)," ",300-COUNTBLANK($C$6:C305))</f>
        <v xml:space="preserve"> </v>
      </c>
      <c r="B305" s="178"/>
      <c r="C305" s="178"/>
      <c r="D305" s="193"/>
      <c r="E305" s="193"/>
      <c r="F305" s="180"/>
      <c r="G305" s="180"/>
      <c r="H305" s="180"/>
      <c r="I305" s="180"/>
      <c r="J305" s="180"/>
      <c r="K305" s="180"/>
      <c r="L305" s="180"/>
      <c r="M305" s="181"/>
      <c r="N305" s="163" t="str">
        <f t="shared" si="21"/>
        <v/>
      </c>
      <c r="O305" s="126" t="str">
        <f t="shared" si="22"/>
        <v>-</v>
      </c>
      <c r="P305" s="164"/>
      <c r="Q305" s="164"/>
      <c r="R305" s="164"/>
      <c r="S305" s="164"/>
      <c r="T305" s="164"/>
      <c r="U305" s="164"/>
      <c r="V305" s="164"/>
    </row>
    <row r="306" spans="1:25" ht="27" customHeight="1">
      <c r="A306" s="192" t="str">
        <f>IF(ISBLANK(C306)," ",301-COUNTBLANK($C$6:C306))</f>
        <v xml:space="preserve"> </v>
      </c>
      <c r="B306" s="178"/>
      <c r="C306" s="178"/>
      <c r="D306" s="193"/>
      <c r="E306" s="193"/>
      <c r="F306" s="180"/>
      <c r="G306" s="180"/>
      <c r="H306" s="180"/>
      <c r="I306" s="180"/>
      <c r="J306" s="180"/>
      <c r="K306" s="180"/>
      <c r="L306" s="180"/>
      <c r="M306" s="181"/>
      <c r="N306" s="163" t="str">
        <f t="shared" si="21"/>
        <v/>
      </c>
      <c r="O306" s="126" t="str">
        <f t="shared" si="22"/>
        <v>-</v>
      </c>
      <c r="P306" s="164"/>
      <c r="Q306" s="164"/>
      <c r="R306" s="164"/>
      <c r="S306" s="164"/>
      <c r="T306" s="164"/>
      <c r="U306" s="164"/>
      <c r="V306" s="164"/>
    </row>
    <row r="307" spans="1:25" ht="27" customHeight="1">
      <c r="A307" s="192" t="str">
        <f>IF(ISBLANK(C307)," ",302-COUNTBLANK($C$6:C307))</f>
        <v xml:space="preserve"> </v>
      </c>
      <c r="B307" s="178"/>
      <c r="C307" s="178"/>
      <c r="D307" s="193"/>
      <c r="E307" s="193"/>
      <c r="F307" s="180"/>
      <c r="G307" s="180"/>
      <c r="H307" s="180"/>
      <c r="I307" s="180"/>
      <c r="J307" s="180"/>
      <c r="K307" s="180"/>
      <c r="L307" s="180"/>
      <c r="M307" s="181"/>
      <c r="N307" s="163" t="str">
        <f t="shared" si="21"/>
        <v/>
      </c>
      <c r="O307" s="126" t="str">
        <f t="shared" si="22"/>
        <v>-</v>
      </c>
      <c r="P307" s="164"/>
      <c r="Q307" s="164"/>
      <c r="R307" s="164"/>
      <c r="S307" s="164"/>
      <c r="T307" s="164"/>
      <c r="U307" s="164"/>
      <c r="V307" s="164"/>
    </row>
    <row r="308" spans="1:25" ht="27" customHeight="1">
      <c r="A308" s="192" t="str">
        <f>IF(ISBLANK(C308)," ",303-COUNTBLANK($C$6:C308))</f>
        <v xml:space="preserve"> </v>
      </c>
      <c r="B308" s="178"/>
      <c r="C308" s="178"/>
      <c r="D308" s="193"/>
      <c r="E308" s="193"/>
      <c r="F308" s="180"/>
      <c r="G308" s="180"/>
      <c r="H308" s="180"/>
      <c r="I308" s="180"/>
      <c r="J308" s="180"/>
      <c r="K308" s="180"/>
      <c r="L308" s="180"/>
      <c r="M308" s="181"/>
      <c r="N308" s="163" t="str">
        <f t="shared" si="21"/>
        <v/>
      </c>
      <c r="O308" s="126" t="str">
        <f t="shared" si="22"/>
        <v>-</v>
      </c>
      <c r="P308" s="164"/>
      <c r="Q308" s="164"/>
      <c r="R308" s="164"/>
      <c r="S308" s="164"/>
      <c r="T308" s="164"/>
      <c r="U308" s="164"/>
      <c r="V308" s="164"/>
    </row>
    <row r="309" spans="1:25" ht="27" customHeight="1">
      <c r="A309" s="192" t="str">
        <f>IF(ISBLANK(C309)," ",304-COUNTBLANK($C$6:C309))</f>
        <v xml:space="preserve"> </v>
      </c>
      <c r="B309" s="178"/>
      <c r="C309" s="178"/>
      <c r="D309" s="193"/>
      <c r="E309" s="193"/>
      <c r="F309" s="180"/>
      <c r="G309" s="180"/>
      <c r="H309" s="180"/>
      <c r="I309" s="180"/>
      <c r="J309" s="180"/>
      <c r="K309" s="180"/>
      <c r="L309" s="180"/>
      <c r="M309" s="181"/>
      <c r="N309" s="163" t="str">
        <f t="shared" si="21"/>
        <v/>
      </c>
      <c r="O309" s="126" t="str">
        <f t="shared" si="22"/>
        <v>-</v>
      </c>
      <c r="P309" s="164"/>
      <c r="Q309" s="164"/>
      <c r="R309" s="164"/>
      <c r="S309" s="164"/>
      <c r="T309" s="164"/>
      <c r="U309" s="164"/>
      <c r="V309" s="164"/>
    </row>
    <row r="310" spans="1:25" ht="27" customHeight="1">
      <c r="A310" s="192" t="str">
        <f>IF(ISBLANK(C310)," ",305-COUNTBLANK($C$6:C310))</f>
        <v xml:space="preserve"> </v>
      </c>
      <c r="B310" s="178"/>
      <c r="C310" s="178"/>
      <c r="D310" s="193"/>
      <c r="E310" s="193"/>
      <c r="F310" s="180"/>
      <c r="G310" s="180"/>
      <c r="H310" s="180"/>
      <c r="I310" s="180"/>
      <c r="J310" s="180"/>
      <c r="K310" s="180"/>
      <c r="L310" s="180"/>
      <c r="M310" s="181"/>
      <c r="N310" s="163" t="str">
        <f t="shared" si="21"/>
        <v/>
      </c>
      <c r="O310" s="126" t="str">
        <f t="shared" si="22"/>
        <v>-</v>
      </c>
      <c r="P310" s="164"/>
      <c r="Q310" s="164"/>
      <c r="R310" s="164"/>
      <c r="S310" s="164"/>
      <c r="T310" s="164"/>
      <c r="U310" s="164"/>
      <c r="V310" s="164"/>
    </row>
    <row r="311" spans="1:25" ht="27" customHeight="1">
      <c r="A311" s="192" t="str">
        <f>IF(ISBLANK(C311)," ",306-COUNTBLANK($C$6:C311))</f>
        <v xml:space="preserve"> </v>
      </c>
      <c r="B311" s="178"/>
      <c r="C311" s="178"/>
      <c r="D311" s="193"/>
      <c r="E311" s="193"/>
      <c r="F311" s="180"/>
      <c r="G311" s="180"/>
      <c r="H311" s="180"/>
      <c r="I311" s="180"/>
      <c r="J311" s="180"/>
      <c r="K311" s="180"/>
      <c r="L311" s="180"/>
      <c r="M311" s="181"/>
      <c r="N311" s="163" t="str">
        <f t="shared" si="21"/>
        <v/>
      </c>
      <c r="O311" s="126" t="str">
        <f t="shared" si="22"/>
        <v>-</v>
      </c>
      <c r="P311" s="164"/>
      <c r="Q311" s="164"/>
      <c r="R311" s="164"/>
      <c r="S311" s="164"/>
      <c r="T311" s="164"/>
      <c r="U311" s="164"/>
      <c r="V311" s="164"/>
    </row>
    <row r="312" spans="1:25" ht="27" customHeight="1">
      <c r="A312" s="192" t="str">
        <f>IF(ISBLANK(C312)," ",307-COUNTBLANK($C$6:C312))</f>
        <v xml:space="preserve"> </v>
      </c>
      <c r="B312" s="178"/>
      <c r="C312" s="178"/>
      <c r="D312" s="193"/>
      <c r="E312" s="193"/>
      <c r="F312" s="180"/>
      <c r="G312" s="180"/>
      <c r="H312" s="180"/>
      <c r="I312" s="180"/>
      <c r="J312" s="180"/>
      <c r="K312" s="180"/>
      <c r="L312" s="180"/>
      <c r="M312" s="181"/>
      <c r="N312" s="163" t="str">
        <f t="shared" si="21"/>
        <v/>
      </c>
      <c r="O312" s="126" t="str">
        <f t="shared" si="22"/>
        <v>-</v>
      </c>
      <c r="P312" s="164"/>
      <c r="Q312" s="164"/>
      <c r="R312" s="164"/>
      <c r="S312" s="164"/>
      <c r="T312" s="164"/>
      <c r="U312" s="164"/>
      <c r="V312" s="164"/>
    </row>
    <row r="313" spans="1:25" ht="27" customHeight="1">
      <c r="A313" s="192" t="str">
        <f>IF(ISBLANK(C313)," ",308-COUNTBLANK($C$6:C313))</f>
        <v xml:space="preserve"> </v>
      </c>
      <c r="B313" s="178"/>
      <c r="C313" s="178"/>
      <c r="D313" s="193"/>
      <c r="E313" s="193"/>
      <c r="F313" s="180"/>
      <c r="G313" s="180"/>
      <c r="H313" s="180"/>
      <c r="I313" s="180"/>
      <c r="J313" s="180"/>
      <c r="K313" s="180"/>
      <c r="L313" s="180"/>
      <c r="M313" s="181"/>
      <c r="N313" s="163" t="str">
        <f t="shared" si="21"/>
        <v/>
      </c>
      <c r="O313" s="126" t="str">
        <f t="shared" si="22"/>
        <v>-</v>
      </c>
      <c r="P313" s="164"/>
      <c r="Q313" s="164"/>
      <c r="R313" s="164"/>
      <c r="S313" s="164"/>
      <c r="T313" s="164"/>
      <c r="U313" s="164"/>
      <c r="V313" s="164"/>
    </row>
    <row r="314" spans="1:25" ht="27" customHeight="1">
      <c r="A314" s="192" t="str">
        <f>IF(ISBLANK(C314)," ",309-COUNTBLANK($C$6:C314))</f>
        <v xml:space="preserve"> </v>
      </c>
      <c r="B314" s="178"/>
      <c r="C314" s="178"/>
      <c r="D314" s="193"/>
      <c r="E314" s="193"/>
      <c r="F314" s="180"/>
      <c r="G314" s="180"/>
      <c r="H314" s="180"/>
      <c r="I314" s="180"/>
      <c r="J314" s="180"/>
      <c r="K314" s="180"/>
      <c r="L314" s="180"/>
      <c r="M314" s="181"/>
      <c r="N314" s="163" t="str">
        <f t="shared" si="21"/>
        <v/>
      </c>
      <c r="O314" s="126" t="str">
        <f t="shared" si="22"/>
        <v>-</v>
      </c>
      <c r="P314" s="164"/>
      <c r="Q314" s="164"/>
      <c r="R314" s="164"/>
      <c r="S314" s="164"/>
      <c r="T314" s="164"/>
      <c r="U314" s="164"/>
      <c r="V314" s="164"/>
    </row>
    <row r="315" spans="1:25" ht="27" customHeight="1">
      <c r="A315" s="192" t="str">
        <f>IF(ISBLANK(C315)," ",310-COUNTBLANK($C$6:C315))</f>
        <v xml:space="preserve"> </v>
      </c>
      <c r="B315" s="178"/>
      <c r="C315" s="178"/>
      <c r="D315" s="193"/>
      <c r="E315" s="193"/>
      <c r="F315" s="180"/>
      <c r="G315" s="180"/>
      <c r="H315" s="180"/>
      <c r="I315" s="180"/>
      <c r="J315" s="180"/>
      <c r="K315" s="180"/>
      <c r="L315" s="180"/>
      <c r="M315" s="181"/>
      <c r="N315" s="163" t="str">
        <f t="shared" si="21"/>
        <v/>
      </c>
      <c r="O315" s="126" t="str">
        <f t="shared" si="22"/>
        <v>-</v>
      </c>
      <c r="P315" s="164"/>
      <c r="Q315" s="164"/>
      <c r="R315" s="164"/>
      <c r="S315" s="164"/>
      <c r="T315" s="164"/>
      <c r="U315" s="164"/>
      <c r="V315" s="165"/>
    </row>
    <row r="316" spans="1:25" ht="27" customHeight="1">
      <c r="A316" s="192" t="str">
        <f>IF(ISBLANK(C316)," ",311-COUNTBLANK($C$6:C316))</f>
        <v xml:space="preserve"> </v>
      </c>
      <c r="B316" s="178"/>
      <c r="C316" s="178"/>
      <c r="D316" s="193"/>
      <c r="E316" s="193"/>
      <c r="F316" s="180"/>
      <c r="G316" s="180"/>
      <c r="H316" s="180"/>
      <c r="I316" s="180"/>
      <c r="J316" s="180"/>
      <c r="K316" s="180"/>
      <c r="L316" s="180"/>
      <c r="M316" s="181"/>
      <c r="N316" s="163" t="str">
        <f t="shared" si="21"/>
        <v/>
      </c>
      <c r="O316" s="126" t="str">
        <f t="shared" si="22"/>
        <v>-</v>
      </c>
      <c r="P316" s="164"/>
      <c r="Q316" s="164"/>
      <c r="R316" s="164"/>
      <c r="S316" s="164"/>
      <c r="T316" s="164"/>
      <c r="U316" s="164"/>
      <c r="V316" s="165"/>
    </row>
    <row r="317" spans="1:25" ht="27" customHeight="1">
      <c r="A317" s="192" t="str">
        <f>IF(ISBLANK(C317)," ",312-COUNTBLANK($C$6:C317))</f>
        <v xml:space="preserve"> </v>
      </c>
      <c r="B317" s="178"/>
      <c r="C317" s="178"/>
      <c r="D317" s="193"/>
      <c r="E317" s="193"/>
      <c r="F317" s="180"/>
      <c r="G317" s="180"/>
      <c r="H317" s="180"/>
      <c r="I317" s="180"/>
      <c r="J317" s="180"/>
      <c r="K317" s="180"/>
      <c r="L317" s="180"/>
      <c r="M317" s="181"/>
      <c r="N317" s="163" t="str">
        <f t="shared" si="21"/>
        <v/>
      </c>
      <c r="O317" s="126" t="str">
        <f t="shared" si="22"/>
        <v>-</v>
      </c>
      <c r="P317" s="164"/>
      <c r="Q317" s="164"/>
      <c r="R317" s="164"/>
      <c r="S317" s="164"/>
      <c r="T317" s="164"/>
      <c r="U317" s="164"/>
      <c r="V317" s="165"/>
    </row>
    <row r="318" spans="1:25" ht="27" customHeight="1">
      <c r="A318" s="192" t="str">
        <f>IF(ISBLANK(C318)," ",313-COUNTBLANK($C$6:C318))</f>
        <v xml:space="preserve"> </v>
      </c>
      <c r="B318" s="178"/>
      <c r="C318" s="178"/>
      <c r="D318" s="193"/>
      <c r="E318" s="193"/>
      <c r="F318" s="180"/>
      <c r="G318" s="180"/>
      <c r="H318" s="180"/>
      <c r="I318" s="180"/>
      <c r="J318" s="180"/>
      <c r="K318" s="180"/>
      <c r="L318" s="180"/>
      <c r="M318" s="181"/>
      <c r="N318" s="163" t="str">
        <f t="shared" si="21"/>
        <v/>
      </c>
      <c r="O318" s="126" t="str">
        <f t="shared" si="22"/>
        <v>-</v>
      </c>
      <c r="P318" s="164"/>
      <c r="Q318" s="164"/>
      <c r="R318" s="164"/>
      <c r="S318" s="164"/>
      <c r="T318" s="164"/>
      <c r="U318" s="164"/>
      <c r="V318" s="165"/>
    </row>
    <row r="319" spans="1:25" ht="27" customHeight="1">
      <c r="A319" s="192" t="str">
        <f>IF(ISBLANK(C319)," ",314-COUNTBLANK($C$6:C319))</f>
        <v xml:space="preserve"> </v>
      </c>
      <c r="B319" s="178"/>
      <c r="C319" s="178"/>
      <c r="D319" s="193"/>
      <c r="E319" s="193"/>
      <c r="F319" s="180"/>
      <c r="G319" s="180"/>
      <c r="H319" s="180"/>
      <c r="I319" s="180"/>
      <c r="J319" s="180"/>
      <c r="K319" s="180"/>
      <c r="L319" s="180"/>
      <c r="M319" s="181"/>
      <c r="N319" s="163" t="str">
        <f t="shared" si="21"/>
        <v/>
      </c>
      <c r="O319" s="126" t="str">
        <f t="shared" si="22"/>
        <v>-</v>
      </c>
      <c r="P319" s="164"/>
      <c r="Q319" s="164"/>
      <c r="R319" s="164"/>
      <c r="S319" s="164"/>
      <c r="T319" s="164"/>
      <c r="U319" s="164"/>
      <c r="V319" s="166"/>
      <c r="W319" s="164"/>
      <c r="X319" s="164"/>
      <c r="Y319" s="164"/>
    </row>
    <row r="320" spans="1:25" ht="27" customHeight="1">
      <c r="A320" s="172" t="s">
        <v>44</v>
      </c>
      <c r="B320" s="173"/>
      <c r="C320" s="174"/>
      <c r="D320" s="194"/>
      <c r="E320" s="194">
        <f>SUM(E300:E319)</f>
        <v>0</v>
      </c>
      <c r="F320" s="176"/>
      <c r="G320" s="176"/>
      <c r="H320" s="176"/>
      <c r="I320" s="176"/>
      <c r="J320" s="176"/>
      <c r="K320" s="176"/>
      <c r="L320" s="176"/>
      <c r="M320" s="177"/>
      <c r="N320" s="163" t="str">
        <f t="shared" si="21"/>
        <v/>
      </c>
      <c r="O320" s="126"/>
      <c r="P320" s="164"/>
      <c r="Q320" s="164"/>
      <c r="R320" s="164"/>
      <c r="S320" s="164"/>
      <c r="T320" s="164"/>
      <c r="U320" s="164"/>
      <c r="V320" s="166"/>
      <c r="W320" s="164"/>
      <c r="X320" s="164"/>
      <c r="Y320" s="164"/>
    </row>
    <row r="321" spans="1:22" ht="27" customHeight="1">
      <c r="A321" s="187" t="str">
        <f>IF(ISBLANK(C321)," ",316-COUNTBLANK($C$6:C321))</f>
        <v xml:space="preserve"> </v>
      </c>
      <c r="B321" s="188"/>
      <c r="C321" s="188"/>
      <c r="D321" s="189"/>
      <c r="E321" s="189"/>
      <c r="F321" s="190"/>
      <c r="G321" s="190"/>
      <c r="H321" s="190"/>
      <c r="I321" s="190"/>
      <c r="J321" s="190"/>
      <c r="K321" s="190"/>
      <c r="L321" s="190"/>
      <c r="M321" s="191"/>
      <c r="N321" s="163" t="str">
        <f>CONCATENATE(C321,H321)</f>
        <v/>
      </c>
      <c r="O321" s="126" t="str">
        <f>IF(D321&gt;=E321,"-","ERR")</f>
        <v>-</v>
      </c>
      <c r="P321" s="164"/>
      <c r="Q321" s="164"/>
      <c r="R321" s="164"/>
      <c r="S321" s="164"/>
      <c r="T321" s="164"/>
      <c r="U321" s="164"/>
      <c r="V321" s="164"/>
    </row>
    <row r="322" spans="1:22" ht="27" customHeight="1">
      <c r="A322" s="192" t="str">
        <f>IF(ISBLANK(C322)," ",317-COUNTBLANK($C$6:C322))</f>
        <v xml:space="preserve"> </v>
      </c>
      <c r="B322" s="178"/>
      <c r="C322" s="178"/>
      <c r="D322" s="193"/>
      <c r="E322" s="193"/>
      <c r="F322" s="180"/>
      <c r="G322" s="180"/>
      <c r="H322" s="180"/>
      <c r="I322" s="180"/>
      <c r="J322" s="180"/>
      <c r="K322" s="180"/>
      <c r="L322" s="180"/>
      <c r="M322" s="181"/>
      <c r="N322" s="163" t="str">
        <f t="shared" ref="N322:N341" si="23">CONCATENATE(C322,H322)</f>
        <v/>
      </c>
      <c r="O322" s="126" t="str">
        <f t="shared" ref="O322:O340" si="24">IF(D322&gt;=E322,"-","ERR")</f>
        <v>-</v>
      </c>
      <c r="P322" s="164"/>
      <c r="Q322" s="164"/>
      <c r="R322" s="164"/>
      <c r="S322" s="164"/>
      <c r="T322" s="164"/>
      <c r="U322" s="164"/>
      <c r="V322" s="164"/>
    </row>
    <row r="323" spans="1:22" ht="27" customHeight="1">
      <c r="A323" s="192" t="str">
        <f>IF(ISBLANK(C323)," ",318-COUNTBLANK($C$6:C323))</f>
        <v xml:space="preserve"> </v>
      </c>
      <c r="B323" s="178"/>
      <c r="C323" s="178"/>
      <c r="D323" s="193"/>
      <c r="E323" s="193"/>
      <c r="F323" s="180"/>
      <c r="G323" s="180"/>
      <c r="H323" s="180"/>
      <c r="I323" s="180"/>
      <c r="J323" s="180"/>
      <c r="K323" s="180"/>
      <c r="L323" s="180"/>
      <c r="M323" s="181"/>
      <c r="N323" s="163" t="str">
        <f t="shared" si="23"/>
        <v/>
      </c>
      <c r="O323" s="126" t="str">
        <f t="shared" si="24"/>
        <v>-</v>
      </c>
      <c r="P323" s="164"/>
      <c r="Q323" s="164"/>
      <c r="R323" s="164"/>
      <c r="S323" s="164"/>
      <c r="T323" s="164"/>
      <c r="U323" s="164"/>
      <c r="V323" s="164"/>
    </row>
    <row r="324" spans="1:22" ht="27" customHeight="1">
      <c r="A324" s="192" t="str">
        <f>IF(ISBLANK(C324)," ",319-COUNTBLANK($C$6:C324))</f>
        <v xml:space="preserve"> </v>
      </c>
      <c r="B324" s="178"/>
      <c r="C324" s="178"/>
      <c r="D324" s="193"/>
      <c r="E324" s="193"/>
      <c r="F324" s="180"/>
      <c r="G324" s="180"/>
      <c r="H324" s="180"/>
      <c r="I324" s="180"/>
      <c r="J324" s="180"/>
      <c r="K324" s="180"/>
      <c r="L324" s="180"/>
      <c r="M324" s="181"/>
      <c r="N324" s="163" t="str">
        <f t="shared" si="23"/>
        <v/>
      </c>
      <c r="O324" s="126" t="str">
        <f t="shared" si="24"/>
        <v>-</v>
      </c>
      <c r="P324" s="164"/>
      <c r="Q324" s="164"/>
      <c r="R324" s="164"/>
      <c r="S324" s="164"/>
      <c r="T324" s="164"/>
      <c r="U324" s="164"/>
      <c r="V324" s="164"/>
    </row>
    <row r="325" spans="1:22" ht="27" customHeight="1">
      <c r="A325" s="192" t="str">
        <f>IF(ISBLANK(C325)," ",320-COUNTBLANK($C$6:C325))</f>
        <v xml:space="preserve"> </v>
      </c>
      <c r="B325" s="178"/>
      <c r="C325" s="178"/>
      <c r="D325" s="193"/>
      <c r="E325" s="193"/>
      <c r="F325" s="180"/>
      <c r="G325" s="180"/>
      <c r="H325" s="180"/>
      <c r="I325" s="180"/>
      <c r="J325" s="180"/>
      <c r="K325" s="180"/>
      <c r="L325" s="180"/>
      <c r="M325" s="181"/>
      <c r="N325" s="163" t="str">
        <f t="shared" si="23"/>
        <v/>
      </c>
      <c r="O325" s="126" t="str">
        <f t="shared" si="24"/>
        <v>-</v>
      </c>
      <c r="P325" s="164"/>
      <c r="Q325" s="164"/>
      <c r="R325" s="164"/>
      <c r="S325" s="164"/>
      <c r="T325" s="164"/>
      <c r="U325" s="164"/>
      <c r="V325" s="164"/>
    </row>
    <row r="326" spans="1:22" ht="27" customHeight="1">
      <c r="A326" s="192" t="str">
        <f>IF(ISBLANK(C326)," ",321-COUNTBLANK($C$6:C326))</f>
        <v xml:space="preserve"> </v>
      </c>
      <c r="B326" s="178"/>
      <c r="C326" s="178"/>
      <c r="D326" s="193"/>
      <c r="E326" s="193"/>
      <c r="F326" s="180"/>
      <c r="G326" s="180"/>
      <c r="H326" s="180"/>
      <c r="I326" s="180"/>
      <c r="J326" s="180"/>
      <c r="K326" s="180"/>
      <c r="L326" s="180"/>
      <c r="M326" s="181"/>
      <c r="N326" s="163" t="str">
        <f t="shared" si="23"/>
        <v/>
      </c>
      <c r="O326" s="126" t="str">
        <f t="shared" si="24"/>
        <v>-</v>
      </c>
      <c r="P326" s="164"/>
      <c r="Q326" s="164"/>
      <c r="R326" s="164"/>
      <c r="S326" s="164"/>
      <c r="T326" s="164"/>
      <c r="U326" s="164"/>
      <c r="V326" s="164"/>
    </row>
    <row r="327" spans="1:22" ht="27" customHeight="1">
      <c r="A327" s="192" t="str">
        <f>IF(ISBLANK(C327)," ",322-COUNTBLANK($C$6:C327))</f>
        <v xml:space="preserve"> </v>
      </c>
      <c r="B327" s="178"/>
      <c r="C327" s="178"/>
      <c r="D327" s="193"/>
      <c r="E327" s="193"/>
      <c r="F327" s="180"/>
      <c r="G327" s="180"/>
      <c r="H327" s="180"/>
      <c r="I327" s="180"/>
      <c r="J327" s="180"/>
      <c r="K327" s="180"/>
      <c r="L327" s="180"/>
      <c r="M327" s="181"/>
      <c r="N327" s="163" t="str">
        <f t="shared" si="23"/>
        <v/>
      </c>
      <c r="O327" s="126" t="str">
        <f t="shared" si="24"/>
        <v>-</v>
      </c>
      <c r="P327" s="164"/>
      <c r="Q327" s="164"/>
      <c r="R327" s="164"/>
      <c r="S327" s="164"/>
      <c r="T327" s="164"/>
      <c r="U327" s="164"/>
      <c r="V327" s="164"/>
    </row>
    <row r="328" spans="1:22" ht="27" customHeight="1">
      <c r="A328" s="192" t="str">
        <f>IF(ISBLANK(C328)," ",323-COUNTBLANK($C$6:C328))</f>
        <v xml:space="preserve"> </v>
      </c>
      <c r="B328" s="178"/>
      <c r="C328" s="178"/>
      <c r="D328" s="193"/>
      <c r="E328" s="193"/>
      <c r="F328" s="180"/>
      <c r="G328" s="180"/>
      <c r="H328" s="180"/>
      <c r="I328" s="180"/>
      <c r="J328" s="180"/>
      <c r="K328" s="180"/>
      <c r="L328" s="180"/>
      <c r="M328" s="181"/>
      <c r="N328" s="163" t="str">
        <f t="shared" si="23"/>
        <v/>
      </c>
      <c r="O328" s="126" t="str">
        <f t="shared" si="24"/>
        <v>-</v>
      </c>
      <c r="P328" s="164"/>
      <c r="Q328" s="164"/>
      <c r="R328" s="164"/>
      <c r="S328" s="164"/>
      <c r="T328" s="164"/>
      <c r="U328" s="164"/>
      <c r="V328" s="164"/>
    </row>
    <row r="329" spans="1:22" ht="27" customHeight="1">
      <c r="A329" s="192" t="str">
        <f>IF(ISBLANK(C329)," ",324-COUNTBLANK($C$6:C329))</f>
        <v xml:space="preserve"> </v>
      </c>
      <c r="B329" s="178"/>
      <c r="C329" s="178"/>
      <c r="D329" s="193"/>
      <c r="E329" s="193"/>
      <c r="F329" s="180"/>
      <c r="G329" s="180"/>
      <c r="H329" s="180"/>
      <c r="I329" s="180"/>
      <c r="J329" s="180"/>
      <c r="K329" s="180"/>
      <c r="L329" s="180"/>
      <c r="M329" s="181"/>
      <c r="N329" s="163" t="str">
        <f t="shared" si="23"/>
        <v/>
      </c>
      <c r="O329" s="126" t="str">
        <f t="shared" si="24"/>
        <v>-</v>
      </c>
      <c r="P329" s="164"/>
      <c r="Q329" s="164"/>
      <c r="R329" s="164"/>
      <c r="S329" s="164"/>
      <c r="T329" s="164"/>
      <c r="U329" s="164"/>
      <c r="V329" s="164"/>
    </row>
    <row r="330" spans="1:22" ht="27" customHeight="1">
      <c r="A330" s="192" t="str">
        <f>IF(ISBLANK(C330)," ",325-COUNTBLANK($C$6:C330))</f>
        <v xml:space="preserve"> </v>
      </c>
      <c r="B330" s="178"/>
      <c r="C330" s="178"/>
      <c r="D330" s="193"/>
      <c r="E330" s="193"/>
      <c r="F330" s="180"/>
      <c r="G330" s="180"/>
      <c r="H330" s="180"/>
      <c r="I330" s="180"/>
      <c r="J330" s="180"/>
      <c r="K330" s="180"/>
      <c r="L330" s="180"/>
      <c r="M330" s="181"/>
      <c r="N330" s="163" t="str">
        <f t="shared" si="23"/>
        <v/>
      </c>
      <c r="O330" s="126" t="str">
        <f t="shared" si="24"/>
        <v>-</v>
      </c>
      <c r="P330" s="164"/>
      <c r="Q330" s="164"/>
      <c r="R330" s="164"/>
      <c r="S330" s="164"/>
      <c r="T330" s="164"/>
      <c r="U330" s="164"/>
      <c r="V330" s="164"/>
    </row>
    <row r="331" spans="1:22" ht="27" customHeight="1">
      <c r="A331" s="192" t="str">
        <f>IF(ISBLANK(C331)," ",326-COUNTBLANK($C$6:C331))</f>
        <v xml:space="preserve"> </v>
      </c>
      <c r="B331" s="178"/>
      <c r="C331" s="178"/>
      <c r="D331" s="193"/>
      <c r="E331" s="193"/>
      <c r="F331" s="180"/>
      <c r="G331" s="180"/>
      <c r="H331" s="180"/>
      <c r="I331" s="180"/>
      <c r="J331" s="180"/>
      <c r="K331" s="180"/>
      <c r="L331" s="180"/>
      <c r="M331" s="181"/>
      <c r="N331" s="163" t="str">
        <f t="shared" si="23"/>
        <v/>
      </c>
      <c r="O331" s="126" t="str">
        <f t="shared" si="24"/>
        <v>-</v>
      </c>
      <c r="P331" s="164"/>
      <c r="Q331" s="164"/>
      <c r="R331" s="164"/>
      <c r="S331" s="164"/>
      <c r="T331" s="164"/>
      <c r="U331" s="164"/>
      <c r="V331" s="164"/>
    </row>
    <row r="332" spans="1:22" ht="27" customHeight="1">
      <c r="A332" s="192" t="str">
        <f>IF(ISBLANK(C332)," ",327-COUNTBLANK($C$6:C332))</f>
        <v xml:space="preserve"> </v>
      </c>
      <c r="B332" s="178"/>
      <c r="C332" s="178"/>
      <c r="D332" s="193"/>
      <c r="E332" s="193"/>
      <c r="F332" s="180"/>
      <c r="G332" s="180"/>
      <c r="H332" s="180"/>
      <c r="I332" s="180"/>
      <c r="J332" s="180"/>
      <c r="K332" s="180"/>
      <c r="L332" s="180"/>
      <c r="M332" s="181"/>
      <c r="N332" s="163" t="str">
        <f t="shared" si="23"/>
        <v/>
      </c>
      <c r="O332" s="126" t="str">
        <f t="shared" si="24"/>
        <v>-</v>
      </c>
      <c r="P332" s="164"/>
      <c r="Q332" s="164"/>
      <c r="R332" s="164"/>
      <c r="S332" s="164"/>
      <c r="T332" s="164"/>
      <c r="U332" s="164"/>
      <c r="V332" s="164"/>
    </row>
    <row r="333" spans="1:22" ht="27" customHeight="1">
      <c r="A333" s="192" t="str">
        <f>IF(ISBLANK(C333)," ",328-COUNTBLANK($C$6:C333))</f>
        <v xml:space="preserve"> </v>
      </c>
      <c r="B333" s="178"/>
      <c r="C333" s="178"/>
      <c r="D333" s="193"/>
      <c r="E333" s="193"/>
      <c r="F333" s="180"/>
      <c r="G333" s="180"/>
      <c r="H333" s="180"/>
      <c r="I333" s="180"/>
      <c r="J333" s="180"/>
      <c r="K333" s="180"/>
      <c r="L333" s="180"/>
      <c r="M333" s="181"/>
      <c r="N333" s="163" t="str">
        <f t="shared" si="23"/>
        <v/>
      </c>
      <c r="O333" s="126" t="str">
        <f t="shared" si="24"/>
        <v>-</v>
      </c>
      <c r="P333" s="164"/>
      <c r="Q333" s="164"/>
      <c r="R333" s="164"/>
      <c r="S333" s="164"/>
      <c r="T333" s="164"/>
      <c r="U333" s="164"/>
      <c r="V333" s="164"/>
    </row>
    <row r="334" spans="1:22" ht="27" customHeight="1">
      <c r="A334" s="192" t="str">
        <f>IF(ISBLANK(C334)," ",329-COUNTBLANK($C$6:C334))</f>
        <v xml:space="preserve"> </v>
      </c>
      <c r="B334" s="178"/>
      <c r="C334" s="178"/>
      <c r="D334" s="193"/>
      <c r="E334" s="193"/>
      <c r="F334" s="180"/>
      <c r="G334" s="180"/>
      <c r="H334" s="180"/>
      <c r="I334" s="180"/>
      <c r="J334" s="180"/>
      <c r="K334" s="180"/>
      <c r="L334" s="180"/>
      <c r="M334" s="181"/>
      <c r="N334" s="163" t="str">
        <f t="shared" si="23"/>
        <v/>
      </c>
      <c r="O334" s="126" t="str">
        <f t="shared" si="24"/>
        <v>-</v>
      </c>
      <c r="P334" s="164"/>
      <c r="Q334" s="164"/>
      <c r="R334" s="164"/>
      <c r="S334" s="164"/>
      <c r="T334" s="164"/>
      <c r="U334" s="164"/>
      <c r="V334" s="164"/>
    </row>
    <row r="335" spans="1:22" ht="27" customHeight="1">
      <c r="A335" s="192" t="str">
        <f>IF(ISBLANK(C335)," ",330-COUNTBLANK($C$6:C335))</f>
        <v xml:space="preserve"> </v>
      </c>
      <c r="B335" s="178"/>
      <c r="C335" s="178"/>
      <c r="D335" s="193"/>
      <c r="E335" s="193"/>
      <c r="F335" s="180"/>
      <c r="G335" s="180"/>
      <c r="H335" s="180"/>
      <c r="I335" s="180"/>
      <c r="J335" s="180"/>
      <c r="K335" s="180"/>
      <c r="L335" s="180"/>
      <c r="M335" s="181"/>
      <c r="N335" s="163" t="str">
        <f t="shared" si="23"/>
        <v/>
      </c>
      <c r="O335" s="126" t="str">
        <f t="shared" si="24"/>
        <v>-</v>
      </c>
      <c r="P335" s="164"/>
      <c r="Q335" s="164"/>
      <c r="R335" s="164"/>
      <c r="S335" s="164"/>
      <c r="T335" s="164"/>
      <c r="U335" s="164"/>
      <c r="V335" s="164"/>
    </row>
    <row r="336" spans="1:22" ht="27" customHeight="1">
      <c r="A336" s="192" t="str">
        <f>IF(ISBLANK(C336)," ",331-COUNTBLANK($C$6:C336))</f>
        <v xml:space="preserve"> </v>
      </c>
      <c r="B336" s="178"/>
      <c r="C336" s="178"/>
      <c r="D336" s="193"/>
      <c r="E336" s="193"/>
      <c r="F336" s="180"/>
      <c r="G336" s="180"/>
      <c r="H336" s="180"/>
      <c r="I336" s="180"/>
      <c r="J336" s="180"/>
      <c r="K336" s="180"/>
      <c r="L336" s="180"/>
      <c r="M336" s="181"/>
      <c r="N336" s="163" t="str">
        <f t="shared" si="23"/>
        <v/>
      </c>
      <c r="O336" s="126" t="str">
        <f t="shared" si="24"/>
        <v>-</v>
      </c>
      <c r="P336" s="164"/>
      <c r="Q336" s="164"/>
      <c r="R336" s="164"/>
      <c r="S336" s="164"/>
      <c r="T336" s="164"/>
      <c r="U336" s="164"/>
      <c r="V336" s="165"/>
    </row>
    <row r="337" spans="1:25" ht="27" customHeight="1">
      <c r="A337" s="192" t="str">
        <f>IF(ISBLANK(C337)," ",332-COUNTBLANK($C$6:C337))</f>
        <v xml:space="preserve"> </v>
      </c>
      <c r="B337" s="178"/>
      <c r="C337" s="178"/>
      <c r="D337" s="193"/>
      <c r="E337" s="193"/>
      <c r="F337" s="180"/>
      <c r="G337" s="180"/>
      <c r="H337" s="180"/>
      <c r="I337" s="180"/>
      <c r="J337" s="180"/>
      <c r="K337" s="180"/>
      <c r="L337" s="180"/>
      <c r="M337" s="181"/>
      <c r="N337" s="163" t="str">
        <f t="shared" si="23"/>
        <v/>
      </c>
      <c r="O337" s="126" t="str">
        <f t="shared" si="24"/>
        <v>-</v>
      </c>
      <c r="P337" s="164"/>
      <c r="Q337" s="164"/>
      <c r="R337" s="164"/>
      <c r="S337" s="164"/>
      <c r="T337" s="164"/>
      <c r="U337" s="164"/>
      <c r="V337" s="165"/>
    </row>
    <row r="338" spans="1:25" ht="27" customHeight="1">
      <c r="A338" s="192" t="str">
        <f>IF(ISBLANK(C338)," ",333-COUNTBLANK($C$6:C338))</f>
        <v xml:space="preserve"> </v>
      </c>
      <c r="B338" s="178"/>
      <c r="C338" s="178"/>
      <c r="D338" s="193"/>
      <c r="E338" s="193"/>
      <c r="F338" s="180"/>
      <c r="G338" s="180"/>
      <c r="H338" s="180"/>
      <c r="I338" s="180"/>
      <c r="J338" s="180"/>
      <c r="K338" s="180"/>
      <c r="L338" s="180"/>
      <c r="M338" s="181"/>
      <c r="N338" s="163" t="str">
        <f t="shared" si="23"/>
        <v/>
      </c>
      <c r="O338" s="126" t="str">
        <f t="shared" si="24"/>
        <v>-</v>
      </c>
      <c r="P338" s="164"/>
      <c r="Q338" s="164"/>
      <c r="R338" s="164"/>
      <c r="S338" s="164"/>
      <c r="T338" s="164"/>
      <c r="U338" s="164"/>
      <c r="V338" s="165"/>
    </row>
    <row r="339" spans="1:25" ht="27" customHeight="1">
      <c r="A339" s="192" t="str">
        <f>IF(ISBLANK(C339)," ",334-COUNTBLANK($C$6:C339))</f>
        <v xml:space="preserve"> </v>
      </c>
      <c r="B339" s="178"/>
      <c r="C339" s="178"/>
      <c r="D339" s="193"/>
      <c r="E339" s="193"/>
      <c r="F339" s="180"/>
      <c r="G339" s="180"/>
      <c r="H339" s="180"/>
      <c r="I339" s="180"/>
      <c r="J339" s="180"/>
      <c r="K339" s="180"/>
      <c r="L339" s="180"/>
      <c r="M339" s="181"/>
      <c r="N339" s="163" t="str">
        <f t="shared" si="23"/>
        <v/>
      </c>
      <c r="O339" s="126" t="str">
        <f t="shared" si="24"/>
        <v>-</v>
      </c>
      <c r="P339" s="164"/>
      <c r="Q339" s="164"/>
      <c r="R339" s="164"/>
      <c r="S339" s="164"/>
      <c r="T339" s="164"/>
      <c r="U339" s="164"/>
      <c r="V339" s="165"/>
    </row>
    <row r="340" spans="1:25" ht="27" customHeight="1">
      <c r="A340" s="192" t="str">
        <f>IF(ISBLANK(C340)," ",335-COUNTBLANK($C$6:C340))</f>
        <v xml:space="preserve"> </v>
      </c>
      <c r="B340" s="178"/>
      <c r="C340" s="178"/>
      <c r="D340" s="193"/>
      <c r="E340" s="193"/>
      <c r="F340" s="180"/>
      <c r="G340" s="180"/>
      <c r="H340" s="180"/>
      <c r="I340" s="180"/>
      <c r="J340" s="180"/>
      <c r="K340" s="180"/>
      <c r="L340" s="180"/>
      <c r="M340" s="181"/>
      <c r="N340" s="163" t="str">
        <f t="shared" si="23"/>
        <v/>
      </c>
      <c r="O340" s="126" t="str">
        <f t="shared" si="24"/>
        <v>-</v>
      </c>
      <c r="P340" s="164"/>
      <c r="Q340" s="164"/>
      <c r="R340" s="164"/>
      <c r="S340" s="164"/>
      <c r="T340" s="164"/>
      <c r="U340" s="164"/>
      <c r="V340" s="166"/>
      <c r="W340" s="164"/>
      <c r="X340" s="164"/>
      <c r="Y340" s="164"/>
    </row>
    <row r="341" spans="1:25" ht="27" customHeight="1">
      <c r="A341" s="172" t="s">
        <v>44</v>
      </c>
      <c r="B341" s="173"/>
      <c r="C341" s="174"/>
      <c r="D341" s="194"/>
      <c r="E341" s="194">
        <f>SUM(E321:E340)</f>
        <v>0</v>
      </c>
      <c r="F341" s="176"/>
      <c r="G341" s="176"/>
      <c r="H341" s="176"/>
      <c r="I341" s="176"/>
      <c r="J341" s="176"/>
      <c r="K341" s="176"/>
      <c r="L341" s="176"/>
      <c r="M341" s="177"/>
      <c r="N341" s="163" t="str">
        <f t="shared" si="23"/>
        <v/>
      </c>
      <c r="O341" s="126"/>
      <c r="P341" s="164"/>
      <c r="Q341" s="164"/>
      <c r="R341" s="164"/>
      <c r="S341" s="164"/>
      <c r="T341" s="164"/>
      <c r="U341" s="164"/>
      <c r="V341" s="166"/>
      <c r="W341" s="164"/>
      <c r="X341" s="164"/>
      <c r="Y341" s="164"/>
    </row>
    <row r="342" spans="1:25" ht="27" customHeight="1">
      <c r="A342" s="187" t="str">
        <f>IF(ISBLANK(C342)," ",337-COUNTBLANK($C$6:C342))</f>
        <v xml:space="preserve"> </v>
      </c>
      <c r="B342" s="188"/>
      <c r="C342" s="188"/>
      <c r="D342" s="189"/>
      <c r="E342" s="189"/>
      <c r="F342" s="190"/>
      <c r="G342" s="190"/>
      <c r="H342" s="190"/>
      <c r="I342" s="190"/>
      <c r="J342" s="190"/>
      <c r="K342" s="190"/>
      <c r="L342" s="190"/>
      <c r="M342" s="191"/>
      <c r="N342" s="163" t="str">
        <f>CONCATENATE(C342,H342)</f>
        <v/>
      </c>
      <c r="O342" s="126" t="str">
        <f>IF(D342&gt;=E342,"-","ERR")</f>
        <v>-</v>
      </c>
      <c r="P342" s="164"/>
      <c r="Q342" s="164"/>
      <c r="R342" s="164"/>
      <c r="S342" s="164"/>
      <c r="T342" s="164"/>
      <c r="U342" s="164"/>
      <c r="V342" s="164"/>
    </row>
    <row r="343" spans="1:25" ht="27" customHeight="1">
      <c r="A343" s="192" t="str">
        <f>IF(ISBLANK(C343)," ",338-COUNTBLANK($C$6:C343))</f>
        <v xml:space="preserve"> </v>
      </c>
      <c r="B343" s="178"/>
      <c r="C343" s="178"/>
      <c r="D343" s="193"/>
      <c r="E343" s="193"/>
      <c r="F343" s="180"/>
      <c r="G343" s="180"/>
      <c r="H343" s="180"/>
      <c r="I343" s="180"/>
      <c r="J343" s="180"/>
      <c r="K343" s="180"/>
      <c r="L343" s="180"/>
      <c r="M343" s="181"/>
      <c r="N343" s="163" t="str">
        <f t="shared" ref="N343:N362" si="25">CONCATENATE(C343,H343)</f>
        <v/>
      </c>
      <c r="O343" s="126" t="str">
        <f t="shared" ref="O343:O361" si="26">IF(D343&gt;=E343,"-","ERR")</f>
        <v>-</v>
      </c>
      <c r="P343" s="164"/>
      <c r="Q343" s="164"/>
      <c r="R343" s="164"/>
      <c r="S343" s="164"/>
      <c r="T343" s="164"/>
      <c r="U343" s="164"/>
      <c r="V343" s="164"/>
    </row>
    <row r="344" spans="1:25" ht="27" customHeight="1">
      <c r="A344" s="192" t="str">
        <f>IF(ISBLANK(C344)," ",339-COUNTBLANK($C$6:C344))</f>
        <v xml:space="preserve"> </v>
      </c>
      <c r="B344" s="178"/>
      <c r="C344" s="178"/>
      <c r="D344" s="193"/>
      <c r="E344" s="193"/>
      <c r="F344" s="180"/>
      <c r="G344" s="180"/>
      <c r="H344" s="180"/>
      <c r="I344" s="180"/>
      <c r="J344" s="180"/>
      <c r="K344" s="180"/>
      <c r="L344" s="180"/>
      <c r="M344" s="181"/>
      <c r="N344" s="163" t="str">
        <f t="shared" si="25"/>
        <v/>
      </c>
      <c r="O344" s="126" t="str">
        <f t="shared" si="26"/>
        <v>-</v>
      </c>
      <c r="P344" s="164"/>
      <c r="Q344" s="164"/>
      <c r="R344" s="164"/>
      <c r="S344" s="164"/>
      <c r="T344" s="164"/>
      <c r="U344" s="164"/>
      <c r="V344" s="164"/>
    </row>
    <row r="345" spans="1:25" ht="27" customHeight="1">
      <c r="A345" s="192" t="str">
        <f>IF(ISBLANK(C345)," ",340-COUNTBLANK($C$6:C345))</f>
        <v xml:space="preserve"> </v>
      </c>
      <c r="B345" s="178"/>
      <c r="C345" s="178"/>
      <c r="D345" s="193"/>
      <c r="E345" s="193"/>
      <c r="F345" s="180"/>
      <c r="G345" s="180"/>
      <c r="H345" s="180"/>
      <c r="I345" s="180"/>
      <c r="J345" s="180"/>
      <c r="K345" s="180"/>
      <c r="L345" s="180"/>
      <c r="M345" s="181"/>
      <c r="N345" s="163" t="str">
        <f t="shared" si="25"/>
        <v/>
      </c>
      <c r="O345" s="126" t="str">
        <f t="shared" si="26"/>
        <v>-</v>
      </c>
      <c r="P345" s="164"/>
      <c r="Q345" s="164"/>
      <c r="R345" s="164"/>
      <c r="S345" s="164"/>
      <c r="T345" s="164"/>
      <c r="U345" s="164"/>
      <c r="V345" s="164"/>
    </row>
    <row r="346" spans="1:25" ht="27" customHeight="1">
      <c r="A346" s="192" t="str">
        <f>IF(ISBLANK(C346)," ",341-COUNTBLANK($C$6:C346))</f>
        <v xml:space="preserve"> </v>
      </c>
      <c r="B346" s="178"/>
      <c r="C346" s="178"/>
      <c r="D346" s="193"/>
      <c r="E346" s="193"/>
      <c r="F346" s="180"/>
      <c r="G346" s="180"/>
      <c r="H346" s="180"/>
      <c r="I346" s="180"/>
      <c r="J346" s="180"/>
      <c r="K346" s="180"/>
      <c r="L346" s="180"/>
      <c r="M346" s="181"/>
      <c r="N346" s="163" t="str">
        <f t="shared" si="25"/>
        <v/>
      </c>
      <c r="O346" s="126" t="str">
        <f t="shared" si="26"/>
        <v>-</v>
      </c>
      <c r="P346" s="164"/>
      <c r="Q346" s="164"/>
      <c r="R346" s="164"/>
      <c r="S346" s="164"/>
      <c r="T346" s="164"/>
      <c r="U346" s="164"/>
      <c r="V346" s="164"/>
    </row>
    <row r="347" spans="1:25" ht="27" customHeight="1">
      <c r="A347" s="192" t="str">
        <f>IF(ISBLANK(C347)," ",342-COUNTBLANK($C$6:C347))</f>
        <v xml:space="preserve"> </v>
      </c>
      <c r="B347" s="178"/>
      <c r="C347" s="178"/>
      <c r="D347" s="193"/>
      <c r="E347" s="193"/>
      <c r="F347" s="180"/>
      <c r="G347" s="180"/>
      <c r="H347" s="180"/>
      <c r="I347" s="180"/>
      <c r="J347" s="180"/>
      <c r="K347" s="180"/>
      <c r="L347" s="180"/>
      <c r="M347" s="181"/>
      <c r="N347" s="163" t="str">
        <f t="shared" si="25"/>
        <v/>
      </c>
      <c r="O347" s="126" t="str">
        <f t="shared" si="26"/>
        <v>-</v>
      </c>
      <c r="P347" s="164"/>
      <c r="Q347" s="164"/>
      <c r="R347" s="164"/>
      <c r="S347" s="164"/>
      <c r="T347" s="164"/>
      <c r="U347" s="164"/>
      <c r="V347" s="164"/>
    </row>
    <row r="348" spans="1:25" ht="27" customHeight="1">
      <c r="A348" s="192" t="str">
        <f>IF(ISBLANK(C348)," ",343-COUNTBLANK($C$6:C348))</f>
        <v xml:space="preserve"> </v>
      </c>
      <c r="B348" s="178"/>
      <c r="C348" s="178"/>
      <c r="D348" s="193"/>
      <c r="E348" s="193"/>
      <c r="F348" s="180"/>
      <c r="G348" s="180"/>
      <c r="H348" s="180"/>
      <c r="I348" s="180"/>
      <c r="J348" s="180"/>
      <c r="K348" s="180"/>
      <c r="L348" s="180"/>
      <c r="M348" s="181"/>
      <c r="N348" s="163" t="str">
        <f t="shared" si="25"/>
        <v/>
      </c>
      <c r="O348" s="126" t="str">
        <f t="shared" si="26"/>
        <v>-</v>
      </c>
      <c r="P348" s="164"/>
      <c r="Q348" s="164"/>
      <c r="R348" s="164"/>
      <c r="S348" s="164"/>
      <c r="T348" s="164"/>
      <c r="U348" s="164"/>
      <c r="V348" s="164"/>
    </row>
    <row r="349" spans="1:25" ht="27" customHeight="1">
      <c r="A349" s="192" t="str">
        <f>IF(ISBLANK(C349)," ",344-COUNTBLANK($C$6:C349))</f>
        <v xml:space="preserve"> </v>
      </c>
      <c r="B349" s="178"/>
      <c r="C349" s="178"/>
      <c r="D349" s="193"/>
      <c r="E349" s="193"/>
      <c r="F349" s="180"/>
      <c r="G349" s="180"/>
      <c r="H349" s="180"/>
      <c r="I349" s="180"/>
      <c r="J349" s="180"/>
      <c r="K349" s="180"/>
      <c r="L349" s="180"/>
      <c r="M349" s="181"/>
      <c r="N349" s="163" t="str">
        <f t="shared" si="25"/>
        <v/>
      </c>
      <c r="O349" s="126" t="str">
        <f t="shared" si="26"/>
        <v>-</v>
      </c>
      <c r="P349" s="164"/>
      <c r="Q349" s="164"/>
      <c r="R349" s="164"/>
      <c r="S349" s="164"/>
      <c r="T349" s="164"/>
      <c r="U349" s="164"/>
      <c r="V349" s="164"/>
    </row>
    <row r="350" spans="1:25" ht="27" customHeight="1">
      <c r="A350" s="192" t="str">
        <f>IF(ISBLANK(C350)," ",345-COUNTBLANK($C$6:C350))</f>
        <v xml:space="preserve"> </v>
      </c>
      <c r="B350" s="178"/>
      <c r="C350" s="178"/>
      <c r="D350" s="193"/>
      <c r="E350" s="193"/>
      <c r="F350" s="180"/>
      <c r="G350" s="180"/>
      <c r="H350" s="180"/>
      <c r="I350" s="180"/>
      <c r="J350" s="180"/>
      <c r="K350" s="180"/>
      <c r="L350" s="180"/>
      <c r="M350" s="181"/>
      <c r="N350" s="163" t="str">
        <f t="shared" si="25"/>
        <v/>
      </c>
      <c r="O350" s="126" t="str">
        <f t="shared" si="26"/>
        <v>-</v>
      </c>
      <c r="P350" s="164"/>
      <c r="Q350" s="164"/>
      <c r="R350" s="164"/>
      <c r="S350" s="164"/>
      <c r="T350" s="164"/>
      <c r="U350" s="164"/>
      <c r="V350" s="164"/>
    </row>
    <row r="351" spans="1:25" ht="27" customHeight="1">
      <c r="A351" s="192" t="str">
        <f>IF(ISBLANK(C351)," ",346-COUNTBLANK($C$6:C351))</f>
        <v xml:space="preserve"> </v>
      </c>
      <c r="B351" s="178"/>
      <c r="C351" s="178"/>
      <c r="D351" s="193"/>
      <c r="E351" s="193"/>
      <c r="F351" s="180"/>
      <c r="G351" s="180"/>
      <c r="H351" s="180"/>
      <c r="I351" s="180"/>
      <c r="J351" s="180"/>
      <c r="K351" s="180"/>
      <c r="L351" s="180"/>
      <c r="M351" s="181"/>
      <c r="N351" s="163" t="str">
        <f t="shared" si="25"/>
        <v/>
      </c>
      <c r="O351" s="126" t="str">
        <f t="shared" si="26"/>
        <v>-</v>
      </c>
      <c r="P351" s="164"/>
      <c r="Q351" s="164"/>
      <c r="R351" s="164"/>
      <c r="S351" s="164"/>
      <c r="T351" s="164"/>
      <c r="U351" s="164"/>
      <c r="V351" s="164"/>
    </row>
    <row r="352" spans="1:25" ht="27" customHeight="1">
      <c r="A352" s="192" t="str">
        <f>IF(ISBLANK(C352)," ",347-COUNTBLANK($C$6:C352))</f>
        <v xml:space="preserve"> </v>
      </c>
      <c r="B352" s="178"/>
      <c r="C352" s="178"/>
      <c r="D352" s="193"/>
      <c r="E352" s="193"/>
      <c r="F352" s="180"/>
      <c r="G352" s="180"/>
      <c r="H352" s="180"/>
      <c r="I352" s="180"/>
      <c r="J352" s="180"/>
      <c r="K352" s="180"/>
      <c r="L352" s="180"/>
      <c r="M352" s="181"/>
      <c r="N352" s="163" t="str">
        <f t="shared" si="25"/>
        <v/>
      </c>
      <c r="O352" s="126" t="str">
        <f t="shared" si="26"/>
        <v>-</v>
      </c>
      <c r="P352" s="164"/>
      <c r="Q352" s="164"/>
      <c r="R352" s="164"/>
      <c r="S352" s="164"/>
      <c r="T352" s="164"/>
      <c r="U352" s="164"/>
      <c r="V352" s="164"/>
    </row>
    <row r="353" spans="1:25" ht="27" customHeight="1">
      <c r="A353" s="192" t="str">
        <f>IF(ISBLANK(C353)," ",348-COUNTBLANK($C$6:C353))</f>
        <v xml:space="preserve"> </v>
      </c>
      <c r="B353" s="178"/>
      <c r="C353" s="178"/>
      <c r="D353" s="193"/>
      <c r="E353" s="193"/>
      <c r="F353" s="180"/>
      <c r="G353" s="180"/>
      <c r="H353" s="180"/>
      <c r="I353" s="180"/>
      <c r="J353" s="180"/>
      <c r="K353" s="180"/>
      <c r="L353" s="180"/>
      <c r="M353" s="181"/>
      <c r="N353" s="163" t="str">
        <f t="shared" si="25"/>
        <v/>
      </c>
      <c r="O353" s="126" t="str">
        <f t="shared" si="26"/>
        <v>-</v>
      </c>
      <c r="P353" s="164"/>
      <c r="Q353" s="164"/>
      <c r="R353" s="164"/>
      <c r="S353" s="164"/>
      <c r="T353" s="164"/>
      <c r="U353" s="164"/>
      <c r="V353" s="164"/>
    </row>
    <row r="354" spans="1:25" ht="27" customHeight="1">
      <c r="A354" s="192" t="str">
        <f>IF(ISBLANK(C354)," ",349-COUNTBLANK($C$6:C354))</f>
        <v xml:space="preserve"> </v>
      </c>
      <c r="B354" s="178"/>
      <c r="C354" s="178"/>
      <c r="D354" s="193"/>
      <c r="E354" s="193"/>
      <c r="F354" s="180"/>
      <c r="G354" s="180"/>
      <c r="H354" s="180"/>
      <c r="I354" s="180"/>
      <c r="J354" s="180"/>
      <c r="K354" s="180"/>
      <c r="L354" s="180"/>
      <c r="M354" s="181"/>
      <c r="N354" s="163" t="str">
        <f t="shared" si="25"/>
        <v/>
      </c>
      <c r="O354" s="126" t="str">
        <f t="shared" si="26"/>
        <v>-</v>
      </c>
      <c r="P354" s="164"/>
      <c r="Q354" s="164"/>
      <c r="R354" s="164"/>
      <c r="S354" s="164"/>
      <c r="T354" s="164"/>
      <c r="U354" s="164"/>
      <c r="V354" s="164"/>
    </row>
    <row r="355" spans="1:25" ht="27" customHeight="1">
      <c r="A355" s="192" t="str">
        <f>IF(ISBLANK(C355)," ",350-COUNTBLANK($C$6:C355))</f>
        <v xml:space="preserve"> </v>
      </c>
      <c r="B355" s="178"/>
      <c r="C355" s="178"/>
      <c r="D355" s="193"/>
      <c r="E355" s="193"/>
      <c r="F355" s="180"/>
      <c r="G355" s="180"/>
      <c r="H355" s="180"/>
      <c r="I355" s="180"/>
      <c r="J355" s="180"/>
      <c r="K355" s="180"/>
      <c r="L355" s="180"/>
      <c r="M355" s="181"/>
      <c r="N355" s="163" t="str">
        <f t="shared" si="25"/>
        <v/>
      </c>
      <c r="O355" s="126" t="str">
        <f t="shared" si="26"/>
        <v>-</v>
      </c>
      <c r="P355" s="164"/>
      <c r="Q355" s="164"/>
      <c r="R355" s="164"/>
      <c r="S355" s="164"/>
      <c r="T355" s="164"/>
      <c r="U355" s="164"/>
      <c r="V355" s="164"/>
    </row>
    <row r="356" spans="1:25" ht="27" customHeight="1">
      <c r="A356" s="192" t="str">
        <f>IF(ISBLANK(C356)," ",351-COUNTBLANK($C$6:C356))</f>
        <v xml:space="preserve"> </v>
      </c>
      <c r="B356" s="178"/>
      <c r="C356" s="178"/>
      <c r="D356" s="193"/>
      <c r="E356" s="193"/>
      <c r="F356" s="180"/>
      <c r="G356" s="180"/>
      <c r="H356" s="180"/>
      <c r="I356" s="180"/>
      <c r="J356" s="180"/>
      <c r="K356" s="180"/>
      <c r="L356" s="180"/>
      <c r="M356" s="181"/>
      <c r="N356" s="163" t="str">
        <f t="shared" si="25"/>
        <v/>
      </c>
      <c r="O356" s="126" t="str">
        <f t="shared" si="26"/>
        <v>-</v>
      </c>
      <c r="P356" s="164"/>
      <c r="Q356" s="164"/>
      <c r="R356" s="164"/>
      <c r="S356" s="164"/>
      <c r="T356" s="164"/>
      <c r="U356" s="164"/>
      <c r="V356" s="164"/>
    </row>
    <row r="357" spans="1:25" ht="27" customHeight="1">
      <c r="A357" s="192" t="str">
        <f>IF(ISBLANK(C357)," ",352-COUNTBLANK($C$6:C357))</f>
        <v xml:space="preserve"> </v>
      </c>
      <c r="B357" s="178"/>
      <c r="C357" s="178"/>
      <c r="D357" s="193"/>
      <c r="E357" s="193"/>
      <c r="F357" s="180"/>
      <c r="G357" s="180"/>
      <c r="H357" s="180"/>
      <c r="I357" s="180"/>
      <c r="J357" s="180"/>
      <c r="K357" s="180"/>
      <c r="L357" s="180"/>
      <c r="M357" s="181"/>
      <c r="N357" s="163" t="str">
        <f t="shared" si="25"/>
        <v/>
      </c>
      <c r="O357" s="126" t="str">
        <f t="shared" si="26"/>
        <v>-</v>
      </c>
      <c r="P357" s="164"/>
      <c r="Q357" s="164"/>
      <c r="R357" s="164"/>
      <c r="S357" s="164"/>
      <c r="T357" s="164"/>
      <c r="U357" s="164"/>
      <c r="V357" s="165"/>
    </row>
    <row r="358" spans="1:25" ht="27" customHeight="1">
      <c r="A358" s="192" t="str">
        <f>IF(ISBLANK(C358)," ",353-COUNTBLANK($C$6:C358))</f>
        <v xml:space="preserve"> </v>
      </c>
      <c r="B358" s="178"/>
      <c r="C358" s="178"/>
      <c r="D358" s="193"/>
      <c r="E358" s="193"/>
      <c r="F358" s="180"/>
      <c r="G358" s="180"/>
      <c r="H358" s="180"/>
      <c r="I358" s="180"/>
      <c r="J358" s="180"/>
      <c r="K358" s="180"/>
      <c r="L358" s="180"/>
      <c r="M358" s="181"/>
      <c r="N358" s="163" t="str">
        <f t="shared" si="25"/>
        <v/>
      </c>
      <c r="O358" s="126" t="str">
        <f t="shared" si="26"/>
        <v>-</v>
      </c>
      <c r="P358" s="164"/>
      <c r="Q358" s="164"/>
      <c r="R358" s="164"/>
      <c r="S358" s="164"/>
      <c r="T358" s="164"/>
      <c r="U358" s="164"/>
      <c r="V358" s="165"/>
    </row>
    <row r="359" spans="1:25" ht="27" customHeight="1">
      <c r="A359" s="192" t="str">
        <f>IF(ISBLANK(C359)," ",354-COUNTBLANK($C$6:C359))</f>
        <v xml:space="preserve"> </v>
      </c>
      <c r="B359" s="178"/>
      <c r="C359" s="178"/>
      <c r="D359" s="193"/>
      <c r="E359" s="193"/>
      <c r="F359" s="180"/>
      <c r="G359" s="180"/>
      <c r="H359" s="180"/>
      <c r="I359" s="180"/>
      <c r="J359" s="180"/>
      <c r="K359" s="180"/>
      <c r="L359" s="180"/>
      <c r="M359" s="181"/>
      <c r="N359" s="163" t="str">
        <f t="shared" si="25"/>
        <v/>
      </c>
      <c r="O359" s="126" t="str">
        <f t="shared" si="26"/>
        <v>-</v>
      </c>
      <c r="P359" s="164"/>
      <c r="Q359" s="164"/>
      <c r="R359" s="164"/>
      <c r="S359" s="164"/>
      <c r="T359" s="164"/>
      <c r="U359" s="164"/>
      <c r="V359" s="165"/>
    </row>
    <row r="360" spans="1:25" ht="27" customHeight="1">
      <c r="A360" s="192" t="str">
        <f>IF(ISBLANK(C360)," ",355-COUNTBLANK($C$6:C360))</f>
        <v xml:space="preserve"> </v>
      </c>
      <c r="B360" s="178"/>
      <c r="C360" s="178"/>
      <c r="D360" s="193"/>
      <c r="E360" s="193"/>
      <c r="F360" s="180"/>
      <c r="G360" s="180"/>
      <c r="H360" s="180"/>
      <c r="I360" s="180"/>
      <c r="J360" s="180"/>
      <c r="K360" s="180"/>
      <c r="L360" s="180"/>
      <c r="M360" s="181"/>
      <c r="N360" s="163" t="str">
        <f t="shared" si="25"/>
        <v/>
      </c>
      <c r="O360" s="126" t="str">
        <f t="shared" si="26"/>
        <v>-</v>
      </c>
      <c r="P360" s="164"/>
      <c r="Q360" s="164"/>
      <c r="R360" s="164"/>
      <c r="S360" s="164"/>
      <c r="T360" s="164"/>
      <c r="U360" s="164"/>
      <c r="V360" s="165"/>
    </row>
    <row r="361" spans="1:25" ht="27" customHeight="1">
      <c r="A361" s="192" t="str">
        <f>IF(ISBLANK(C361)," ",356-COUNTBLANK($C$6:C361))</f>
        <v xml:space="preserve"> </v>
      </c>
      <c r="B361" s="178"/>
      <c r="C361" s="178"/>
      <c r="D361" s="193"/>
      <c r="E361" s="193"/>
      <c r="F361" s="180"/>
      <c r="G361" s="180"/>
      <c r="H361" s="180"/>
      <c r="I361" s="180"/>
      <c r="J361" s="180"/>
      <c r="K361" s="180"/>
      <c r="L361" s="180"/>
      <c r="M361" s="181"/>
      <c r="N361" s="163" t="str">
        <f t="shared" si="25"/>
        <v/>
      </c>
      <c r="O361" s="126" t="str">
        <f t="shared" si="26"/>
        <v>-</v>
      </c>
      <c r="P361" s="164"/>
      <c r="Q361" s="164"/>
      <c r="R361" s="164"/>
      <c r="S361" s="164"/>
      <c r="T361" s="164"/>
      <c r="U361" s="164"/>
      <c r="V361" s="166"/>
      <c r="W361" s="164"/>
      <c r="X361" s="164"/>
      <c r="Y361" s="164"/>
    </row>
    <row r="362" spans="1:25" ht="27" customHeight="1">
      <c r="A362" s="172" t="s">
        <v>44</v>
      </c>
      <c r="B362" s="173"/>
      <c r="C362" s="174"/>
      <c r="D362" s="194"/>
      <c r="E362" s="194">
        <f>SUM(E342:E361)</f>
        <v>0</v>
      </c>
      <c r="F362" s="176"/>
      <c r="G362" s="176"/>
      <c r="H362" s="176"/>
      <c r="I362" s="176"/>
      <c r="J362" s="176"/>
      <c r="K362" s="176"/>
      <c r="L362" s="176"/>
      <c r="M362" s="177"/>
      <c r="N362" s="163" t="str">
        <f t="shared" si="25"/>
        <v/>
      </c>
      <c r="O362" s="126"/>
      <c r="P362" s="164"/>
      <c r="Q362" s="164"/>
      <c r="R362" s="164"/>
      <c r="S362" s="164"/>
      <c r="T362" s="164"/>
      <c r="U362" s="164"/>
      <c r="V362" s="166"/>
      <c r="W362" s="164"/>
      <c r="X362" s="164"/>
      <c r="Y362" s="164"/>
    </row>
    <row r="363" spans="1:25" ht="27" customHeight="1">
      <c r="A363" s="187" t="str">
        <f>IF(ISBLANK(C363)," ",358-COUNTBLANK($C$6:C363))</f>
        <v xml:space="preserve"> </v>
      </c>
      <c r="B363" s="188"/>
      <c r="C363" s="188"/>
      <c r="D363" s="189"/>
      <c r="E363" s="189"/>
      <c r="F363" s="190"/>
      <c r="G363" s="190"/>
      <c r="H363" s="190"/>
      <c r="I363" s="190"/>
      <c r="J363" s="190"/>
      <c r="K363" s="190"/>
      <c r="L363" s="190"/>
      <c r="M363" s="191"/>
      <c r="N363" s="163" t="str">
        <f>CONCATENATE(C363,H363)</f>
        <v/>
      </c>
      <c r="O363" s="126" t="str">
        <f>IF(D363&gt;=E363,"-","ERR")</f>
        <v>-</v>
      </c>
      <c r="P363" s="164"/>
      <c r="Q363" s="164"/>
      <c r="R363" s="164"/>
      <c r="S363" s="164"/>
      <c r="T363" s="164"/>
      <c r="U363" s="164"/>
      <c r="V363" s="164"/>
    </row>
    <row r="364" spans="1:25" ht="27" customHeight="1">
      <c r="A364" s="192" t="str">
        <f>IF(ISBLANK(C364)," ",359-COUNTBLANK($C$6:C364))</f>
        <v xml:space="preserve"> </v>
      </c>
      <c r="B364" s="178"/>
      <c r="C364" s="178"/>
      <c r="D364" s="193"/>
      <c r="E364" s="193"/>
      <c r="F364" s="180"/>
      <c r="G364" s="180"/>
      <c r="H364" s="180"/>
      <c r="I364" s="180"/>
      <c r="J364" s="180"/>
      <c r="K364" s="180"/>
      <c r="L364" s="180"/>
      <c r="M364" s="181"/>
      <c r="N364" s="163" t="str">
        <f t="shared" ref="N364:N383" si="27">CONCATENATE(C364,H364)</f>
        <v/>
      </c>
      <c r="O364" s="126" t="str">
        <f t="shared" ref="O364:O382" si="28">IF(D364&gt;=E364,"-","ERR")</f>
        <v>-</v>
      </c>
      <c r="P364" s="164"/>
      <c r="Q364" s="164"/>
      <c r="R364" s="164"/>
      <c r="S364" s="164"/>
      <c r="T364" s="164"/>
      <c r="U364" s="164"/>
      <c r="V364" s="164"/>
    </row>
    <row r="365" spans="1:25" ht="27" customHeight="1">
      <c r="A365" s="192" t="str">
        <f>IF(ISBLANK(C365)," ",360-COUNTBLANK($C$6:C365))</f>
        <v xml:space="preserve"> </v>
      </c>
      <c r="B365" s="178"/>
      <c r="C365" s="178"/>
      <c r="D365" s="193"/>
      <c r="E365" s="193"/>
      <c r="F365" s="180"/>
      <c r="G365" s="180"/>
      <c r="H365" s="180"/>
      <c r="I365" s="180"/>
      <c r="J365" s="180"/>
      <c r="K365" s="180"/>
      <c r="L365" s="180"/>
      <c r="M365" s="181"/>
      <c r="N365" s="163" t="str">
        <f t="shared" si="27"/>
        <v/>
      </c>
      <c r="O365" s="126" t="str">
        <f t="shared" si="28"/>
        <v>-</v>
      </c>
      <c r="P365" s="164"/>
      <c r="Q365" s="164"/>
      <c r="R365" s="164"/>
      <c r="S365" s="164"/>
      <c r="T365" s="164"/>
      <c r="U365" s="164"/>
      <c r="V365" s="164"/>
    </row>
    <row r="366" spans="1:25" ht="27" customHeight="1">
      <c r="A366" s="192" t="str">
        <f>IF(ISBLANK(C366)," ",361-COUNTBLANK($C$6:C366))</f>
        <v xml:space="preserve"> </v>
      </c>
      <c r="B366" s="178"/>
      <c r="C366" s="178"/>
      <c r="D366" s="193"/>
      <c r="E366" s="193"/>
      <c r="F366" s="180"/>
      <c r="G366" s="180"/>
      <c r="H366" s="180"/>
      <c r="I366" s="180"/>
      <c r="J366" s="180"/>
      <c r="K366" s="180"/>
      <c r="L366" s="180"/>
      <c r="M366" s="181"/>
      <c r="N366" s="163" t="str">
        <f t="shared" si="27"/>
        <v/>
      </c>
      <c r="O366" s="126" t="str">
        <f t="shared" si="28"/>
        <v>-</v>
      </c>
      <c r="P366" s="164"/>
      <c r="Q366" s="164"/>
      <c r="R366" s="164"/>
      <c r="S366" s="164"/>
      <c r="T366" s="164"/>
      <c r="U366" s="164"/>
      <c r="V366" s="164"/>
    </row>
    <row r="367" spans="1:25" ht="27" customHeight="1">
      <c r="A367" s="192" t="str">
        <f>IF(ISBLANK(C367)," ",362-COUNTBLANK($C$6:C367))</f>
        <v xml:space="preserve"> </v>
      </c>
      <c r="B367" s="178"/>
      <c r="C367" s="178"/>
      <c r="D367" s="193"/>
      <c r="E367" s="193"/>
      <c r="F367" s="180"/>
      <c r="G367" s="180"/>
      <c r="H367" s="180"/>
      <c r="I367" s="180"/>
      <c r="J367" s="180"/>
      <c r="K367" s="180"/>
      <c r="L367" s="180"/>
      <c r="M367" s="181"/>
      <c r="N367" s="163" t="str">
        <f t="shared" si="27"/>
        <v/>
      </c>
      <c r="O367" s="126" t="str">
        <f t="shared" si="28"/>
        <v>-</v>
      </c>
      <c r="P367" s="164"/>
      <c r="Q367" s="164"/>
      <c r="R367" s="164"/>
      <c r="S367" s="164"/>
      <c r="T367" s="164"/>
      <c r="U367" s="164"/>
      <c r="V367" s="164"/>
    </row>
    <row r="368" spans="1:25" ht="27" customHeight="1">
      <c r="A368" s="192" t="str">
        <f>IF(ISBLANK(C368)," ",363-COUNTBLANK($C$6:C368))</f>
        <v xml:space="preserve"> </v>
      </c>
      <c r="B368" s="178"/>
      <c r="C368" s="178"/>
      <c r="D368" s="193"/>
      <c r="E368" s="193"/>
      <c r="F368" s="180"/>
      <c r="G368" s="180"/>
      <c r="H368" s="180"/>
      <c r="I368" s="180"/>
      <c r="J368" s="180"/>
      <c r="K368" s="180"/>
      <c r="L368" s="180"/>
      <c r="M368" s="181"/>
      <c r="N368" s="163" t="str">
        <f t="shared" si="27"/>
        <v/>
      </c>
      <c r="O368" s="126" t="str">
        <f t="shared" si="28"/>
        <v>-</v>
      </c>
      <c r="P368" s="164"/>
      <c r="Q368" s="164"/>
      <c r="R368" s="164"/>
      <c r="S368" s="164"/>
      <c r="T368" s="164"/>
      <c r="U368" s="164"/>
      <c r="V368" s="164"/>
    </row>
    <row r="369" spans="1:25" ht="27" customHeight="1">
      <c r="A369" s="192" t="str">
        <f>IF(ISBLANK(C369)," ",364-COUNTBLANK($C$6:C369))</f>
        <v xml:space="preserve"> </v>
      </c>
      <c r="B369" s="178"/>
      <c r="C369" s="178"/>
      <c r="D369" s="193"/>
      <c r="E369" s="193"/>
      <c r="F369" s="180"/>
      <c r="G369" s="180"/>
      <c r="H369" s="180"/>
      <c r="I369" s="180"/>
      <c r="J369" s="180"/>
      <c r="K369" s="180"/>
      <c r="L369" s="180"/>
      <c r="M369" s="181"/>
      <c r="N369" s="163" t="str">
        <f t="shared" si="27"/>
        <v/>
      </c>
      <c r="O369" s="126" t="str">
        <f t="shared" si="28"/>
        <v>-</v>
      </c>
      <c r="P369" s="164"/>
      <c r="Q369" s="164"/>
      <c r="R369" s="164"/>
      <c r="S369" s="164"/>
      <c r="T369" s="164"/>
      <c r="U369" s="164"/>
      <c r="V369" s="164"/>
    </row>
    <row r="370" spans="1:25" ht="27" customHeight="1">
      <c r="A370" s="192" t="str">
        <f>IF(ISBLANK(C370)," ",365-COUNTBLANK($C$6:C370))</f>
        <v xml:space="preserve"> </v>
      </c>
      <c r="B370" s="178"/>
      <c r="C370" s="178"/>
      <c r="D370" s="193"/>
      <c r="E370" s="193"/>
      <c r="F370" s="180"/>
      <c r="G370" s="180"/>
      <c r="H370" s="180"/>
      <c r="I370" s="180"/>
      <c r="J370" s="180"/>
      <c r="K370" s="180"/>
      <c r="L370" s="180"/>
      <c r="M370" s="181"/>
      <c r="N370" s="163" t="str">
        <f t="shared" si="27"/>
        <v/>
      </c>
      <c r="O370" s="126" t="str">
        <f t="shared" si="28"/>
        <v>-</v>
      </c>
      <c r="P370" s="164"/>
      <c r="Q370" s="164"/>
      <c r="R370" s="164"/>
      <c r="S370" s="164"/>
      <c r="T370" s="164"/>
      <c r="U370" s="164"/>
      <c r="V370" s="164"/>
    </row>
    <row r="371" spans="1:25" ht="27" customHeight="1">
      <c r="A371" s="192" t="str">
        <f>IF(ISBLANK(C371)," ",366-COUNTBLANK($C$6:C371))</f>
        <v xml:space="preserve"> </v>
      </c>
      <c r="B371" s="178"/>
      <c r="C371" s="178"/>
      <c r="D371" s="193"/>
      <c r="E371" s="193"/>
      <c r="F371" s="180"/>
      <c r="G371" s="180"/>
      <c r="H371" s="180"/>
      <c r="I371" s="180"/>
      <c r="J371" s="180"/>
      <c r="K371" s="180"/>
      <c r="L371" s="180"/>
      <c r="M371" s="181"/>
      <c r="N371" s="163" t="str">
        <f t="shared" si="27"/>
        <v/>
      </c>
      <c r="O371" s="126" t="str">
        <f t="shared" si="28"/>
        <v>-</v>
      </c>
      <c r="P371" s="164"/>
      <c r="Q371" s="164"/>
      <c r="R371" s="164"/>
      <c r="S371" s="164"/>
      <c r="T371" s="164"/>
      <c r="U371" s="164"/>
      <c r="V371" s="164"/>
    </row>
    <row r="372" spans="1:25" ht="27" customHeight="1">
      <c r="A372" s="192" t="str">
        <f>IF(ISBLANK(C372)," ",367-COUNTBLANK($C$6:C372))</f>
        <v xml:space="preserve"> </v>
      </c>
      <c r="B372" s="178"/>
      <c r="C372" s="178"/>
      <c r="D372" s="193"/>
      <c r="E372" s="193"/>
      <c r="F372" s="180"/>
      <c r="G372" s="180"/>
      <c r="H372" s="180"/>
      <c r="I372" s="180"/>
      <c r="J372" s="180"/>
      <c r="K372" s="180"/>
      <c r="L372" s="180"/>
      <c r="M372" s="181"/>
      <c r="N372" s="163" t="str">
        <f t="shared" si="27"/>
        <v/>
      </c>
      <c r="O372" s="126" t="str">
        <f t="shared" si="28"/>
        <v>-</v>
      </c>
      <c r="P372" s="164"/>
      <c r="Q372" s="164"/>
      <c r="R372" s="164"/>
      <c r="S372" s="164"/>
      <c r="T372" s="164"/>
      <c r="U372" s="164"/>
      <c r="V372" s="164"/>
    </row>
    <row r="373" spans="1:25" ht="27" customHeight="1">
      <c r="A373" s="192" t="str">
        <f>IF(ISBLANK(C373)," ",368-COUNTBLANK($C$6:C373))</f>
        <v xml:space="preserve"> </v>
      </c>
      <c r="B373" s="178"/>
      <c r="C373" s="178"/>
      <c r="D373" s="193"/>
      <c r="E373" s="193"/>
      <c r="F373" s="180"/>
      <c r="G373" s="180"/>
      <c r="H373" s="180"/>
      <c r="I373" s="180"/>
      <c r="J373" s="180"/>
      <c r="K373" s="180"/>
      <c r="L373" s="180"/>
      <c r="M373" s="181"/>
      <c r="N373" s="163" t="str">
        <f t="shared" si="27"/>
        <v/>
      </c>
      <c r="O373" s="126" t="str">
        <f t="shared" si="28"/>
        <v>-</v>
      </c>
      <c r="P373" s="164"/>
      <c r="Q373" s="164"/>
      <c r="R373" s="164"/>
      <c r="S373" s="164"/>
      <c r="T373" s="164"/>
      <c r="U373" s="164"/>
      <c r="V373" s="164"/>
    </row>
    <row r="374" spans="1:25" ht="27" customHeight="1">
      <c r="A374" s="192" t="str">
        <f>IF(ISBLANK(C374)," ",369-COUNTBLANK($C$6:C374))</f>
        <v xml:space="preserve"> </v>
      </c>
      <c r="B374" s="178"/>
      <c r="C374" s="178"/>
      <c r="D374" s="193"/>
      <c r="E374" s="193"/>
      <c r="F374" s="180"/>
      <c r="G374" s="180"/>
      <c r="H374" s="180"/>
      <c r="I374" s="180"/>
      <c r="J374" s="180"/>
      <c r="K374" s="180"/>
      <c r="L374" s="180"/>
      <c r="M374" s="181"/>
      <c r="N374" s="163" t="str">
        <f t="shared" si="27"/>
        <v/>
      </c>
      <c r="O374" s="126" t="str">
        <f t="shared" si="28"/>
        <v>-</v>
      </c>
      <c r="P374" s="164"/>
      <c r="Q374" s="164"/>
      <c r="R374" s="164"/>
      <c r="S374" s="164"/>
      <c r="T374" s="164"/>
      <c r="U374" s="164"/>
      <c r="V374" s="164"/>
    </row>
    <row r="375" spans="1:25" ht="27" customHeight="1">
      <c r="A375" s="192" t="str">
        <f>IF(ISBLANK(C375)," ",370-COUNTBLANK($C$6:C375))</f>
        <v xml:space="preserve"> </v>
      </c>
      <c r="B375" s="178"/>
      <c r="C375" s="178"/>
      <c r="D375" s="193"/>
      <c r="E375" s="193"/>
      <c r="F375" s="180"/>
      <c r="G375" s="180"/>
      <c r="H375" s="180"/>
      <c r="I375" s="180"/>
      <c r="J375" s="180"/>
      <c r="K375" s="180"/>
      <c r="L375" s="180"/>
      <c r="M375" s="181"/>
      <c r="N375" s="163" t="str">
        <f t="shared" si="27"/>
        <v/>
      </c>
      <c r="O375" s="126" t="str">
        <f t="shared" si="28"/>
        <v>-</v>
      </c>
      <c r="P375" s="164"/>
      <c r="Q375" s="164"/>
      <c r="R375" s="164"/>
      <c r="S375" s="164"/>
      <c r="T375" s="164"/>
      <c r="U375" s="164"/>
      <c r="V375" s="164"/>
    </row>
    <row r="376" spans="1:25" ht="27" customHeight="1">
      <c r="A376" s="192" t="str">
        <f>IF(ISBLANK(C376)," ",371-COUNTBLANK($C$6:C376))</f>
        <v xml:space="preserve"> </v>
      </c>
      <c r="B376" s="178"/>
      <c r="C376" s="178"/>
      <c r="D376" s="193"/>
      <c r="E376" s="193"/>
      <c r="F376" s="180"/>
      <c r="G376" s="180"/>
      <c r="H376" s="180"/>
      <c r="I376" s="180"/>
      <c r="J376" s="180"/>
      <c r="K376" s="180"/>
      <c r="L376" s="180"/>
      <c r="M376" s="181"/>
      <c r="N376" s="163" t="str">
        <f t="shared" si="27"/>
        <v/>
      </c>
      <c r="O376" s="126" t="str">
        <f t="shared" si="28"/>
        <v>-</v>
      </c>
      <c r="P376" s="164"/>
      <c r="Q376" s="164"/>
      <c r="R376" s="164"/>
      <c r="S376" s="164"/>
      <c r="T376" s="164"/>
      <c r="U376" s="164"/>
      <c r="V376" s="164"/>
    </row>
    <row r="377" spans="1:25" ht="27" customHeight="1">
      <c r="A377" s="192" t="str">
        <f>IF(ISBLANK(C377)," ",372-COUNTBLANK($C$6:C377))</f>
        <v xml:space="preserve"> </v>
      </c>
      <c r="B377" s="178"/>
      <c r="C377" s="178"/>
      <c r="D377" s="193"/>
      <c r="E377" s="193"/>
      <c r="F377" s="180"/>
      <c r="G377" s="180"/>
      <c r="H377" s="180"/>
      <c r="I377" s="180"/>
      <c r="J377" s="180"/>
      <c r="K377" s="180"/>
      <c r="L377" s="180"/>
      <c r="M377" s="181"/>
      <c r="N377" s="163" t="str">
        <f t="shared" si="27"/>
        <v/>
      </c>
      <c r="O377" s="126" t="str">
        <f t="shared" si="28"/>
        <v>-</v>
      </c>
      <c r="P377" s="164"/>
      <c r="Q377" s="164"/>
      <c r="R377" s="164"/>
      <c r="S377" s="164"/>
      <c r="T377" s="164"/>
      <c r="U377" s="164"/>
      <c r="V377" s="164"/>
    </row>
    <row r="378" spans="1:25" ht="27" customHeight="1">
      <c r="A378" s="192" t="str">
        <f>IF(ISBLANK(C378)," ",373-COUNTBLANK($C$6:C378))</f>
        <v xml:space="preserve"> </v>
      </c>
      <c r="B378" s="178"/>
      <c r="C378" s="178"/>
      <c r="D378" s="193"/>
      <c r="E378" s="193"/>
      <c r="F378" s="180"/>
      <c r="G378" s="180"/>
      <c r="H378" s="180"/>
      <c r="I378" s="180"/>
      <c r="J378" s="180"/>
      <c r="K378" s="180"/>
      <c r="L378" s="180"/>
      <c r="M378" s="181"/>
      <c r="N378" s="163" t="str">
        <f t="shared" si="27"/>
        <v/>
      </c>
      <c r="O378" s="126" t="str">
        <f t="shared" si="28"/>
        <v>-</v>
      </c>
      <c r="P378" s="164"/>
      <c r="Q378" s="164"/>
      <c r="R378" s="164"/>
      <c r="S378" s="164"/>
      <c r="T378" s="164"/>
      <c r="U378" s="164"/>
      <c r="V378" s="165"/>
    </row>
    <row r="379" spans="1:25" ht="27" customHeight="1">
      <c r="A379" s="192" t="str">
        <f>IF(ISBLANK(C379)," ",374-COUNTBLANK($C$6:C379))</f>
        <v xml:space="preserve"> </v>
      </c>
      <c r="B379" s="178"/>
      <c r="C379" s="178"/>
      <c r="D379" s="193"/>
      <c r="E379" s="193"/>
      <c r="F379" s="180"/>
      <c r="G379" s="180"/>
      <c r="H379" s="180"/>
      <c r="I379" s="180"/>
      <c r="J379" s="180"/>
      <c r="K379" s="180"/>
      <c r="L379" s="180"/>
      <c r="M379" s="181"/>
      <c r="N379" s="163" t="str">
        <f t="shared" si="27"/>
        <v/>
      </c>
      <c r="O379" s="126" t="str">
        <f t="shared" si="28"/>
        <v>-</v>
      </c>
      <c r="P379" s="164"/>
      <c r="Q379" s="164"/>
      <c r="R379" s="164"/>
      <c r="S379" s="164"/>
      <c r="T379" s="164"/>
      <c r="U379" s="164"/>
      <c r="V379" s="165"/>
    </row>
    <row r="380" spans="1:25" ht="27" customHeight="1">
      <c r="A380" s="192" t="str">
        <f>IF(ISBLANK(C380)," ",375-COUNTBLANK($C$6:C380))</f>
        <v xml:space="preserve"> </v>
      </c>
      <c r="B380" s="178"/>
      <c r="C380" s="178"/>
      <c r="D380" s="193"/>
      <c r="E380" s="193"/>
      <c r="F380" s="180"/>
      <c r="G380" s="180"/>
      <c r="H380" s="180"/>
      <c r="I380" s="180"/>
      <c r="J380" s="180"/>
      <c r="K380" s="180"/>
      <c r="L380" s="180"/>
      <c r="M380" s="181"/>
      <c r="N380" s="163" t="str">
        <f t="shared" si="27"/>
        <v/>
      </c>
      <c r="O380" s="126" t="str">
        <f t="shared" si="28"/>
        <v>-</v>
      </c>
      <c r="P380" s="164"/>
      <c r="Q380" s="164"/>
      <c r="R380" s="164"/>
      <c r="S380" s="164"/>
      <c r="T380" s="164"/>
      <c r="U380" s="164"/>
      <c r="V380" s="165"/>
    </row>
    <row r="381" spans="1:25" ht="27" customHeight="1">
      <c r="A381" s="192" t="str">
        <f>IF(ISBLANK(C381)," ",376-COUNTBLANK($C$6:C381))</f>
        <v xml:space="preserve"> </v>
      </c>
      <c r="B381" s="178"/>
      <c r="C381" s="178"/>
      <c r="D381" s="193"/>
      <c r="E381" s="193"/>
      <c r="F381" s="180"/>
      <c r="G381" s="180"/>
      <c r="H381" s="180"/>
      <c r="I381" s="180"/>
      <c r="J381" s="180"/>
      <c r="K381" s="180"/>
      <c r="L381" s="180"/>
      <c r="M381" s="181"/>
      <c r="N381" s="163" t="str">
        <f t="shared" si="27"/>
        <v/>
      </c>
      <c r="O381" s="126" t="str">
        <f t="shared" si="28"/>
        <v>-</v>
      </c>
      <c r="P381" s="164"/>
      <c r="Q381" s="164"/>
      <c r="R381" s="164"/>
      <c r="S381" s="164"/>
      <c r="T381" s="164"/>
      <c r="U381" s="164"/>
      <c r="V381" s="165"/>
    </row>
    <row r="382" spans="1:25" ht="27" customHeight="1">
      <c r="A382" s="192" t="str">
        <f>IF(ISBLANK(C382)," ",377-COUNTBLANK($C$6:C382))</f>
        <v xml:space="preserve"> </v>
      </c>
      <c r="B382" s="178"/>
      <c r="C382" s="178"/>
      <c r="D382" s="193"/>
      <c r="E382" s="193"/>
      <c r="F382" s="180"/>
      <c r="G382" s="180"/>
      <c r="H382" s="180"/>
      <c r="I382" s="180"/>
      <c r="J382" s="180"/>
      <c r="K382" s="180"/>
      <c r="L382" s="180"/>
      <c r="M382" s="181"/>
      <c r="N382" s="163" t="str">
        <f t="shared" si="27"/>
        <v/>
      </c>
      <c r="O382" s="126" t="str">
        <f t="shared" si="28"/>
        <v>-</v>
      </c>
      <c r="P382" s="164"/>
      <c r="Q382" s="164"/>
      <c r="R382" s="164"/>
      <c r="S382" s="164"/>
      <c r="T382" s="164"/>
      <c r="U382" s="164"/>
      <c r="V382" s="166"/>
      <c r="W382" s="164"/>
      <c r="X382" s="164"/>
      <c r="Y382" s="164"/>
    </row>
    <row r="383" spans="1:25" ht="27" customHeight="1">
      <c r="A383" s="172" t="s">
        <v>44</v>
      </c>
      <c r="B383" s="173"/>
      <c r="C383" s="174"/>
      <c r="D383" s="194"/>
      <c r="E383" s="194">
        <f>SUM(E363:E382)</f>
        <v>0</v>
      </c>
      <c r="F383" s="176"/>
      <c r="G383" s="176"/>
      <c r="H383" s="176"/>
      <c r="I383" s="176"/>
      <c r="J383" s="176"/>
      <c r="K383" s="176"/>
      <c r="L383" s="176"/>
      <c r="M383" s="177"/>
      <c r="N383" s="163" t="str">
        <f t="shared" si="27"/>
        <v/>
      </c>
      <c r="O383" s="126"/>
      <c r="P383" s="164"/>
      <c r="Q383" s="164"/>
      <c r="R383" s="164"/>
      <c r="S383" s="164"/>
      <c r="T383" s="164"/>
      <c r="U383" s="164"/>
      <c r="V383" s="166"/>
      <c r="W383" s="164"/>
      <c r="X383" s="164"/>
      <c r="Y383" s="164"/>
    </row>
    <row r="384" spans="1:25" ht="27" customHeight="1">
      <c r="A384" s="187" t="str">
        <f>IF(ISBLANK(C384)," ",379-COUNTBLANK($C$6:C384))</f>
        <v xml:space="preserve"> </v>
      </c>
      <c r="B384" s="188"/>
      <c r="C384" s="188"/>
      <c r="D384" s="189"/>
      <c r="E384" s="189"/>
      <c r="F384" s="190"/>
      <c r="G384" s="190"/>
      <c r="H384" s="190"/>
      <c r="I384" s="190"/>
      <c r="J384" s="190"/>
      <c r="K384" s="190"/>
      <c r="L384" s="190"/>
      <c r="M384" s="191"/>
      <c r="N384" s="163" t="str">
        <f>CONCATENATE(C384,H384)</f>
        <v/>
      </c>
      <c r="O384" s="126" t="str">
        <f>IF(D384&gt;=E384,"-","ERR")</f>
        <v>-</v>
      </c>
      <c r="P384" s="164"/>
      <c r="Q384" s="164"/>
      <c r="R384" s="164"/>
      <c r="S384" s="164"/>
      <c r="T384" s="164"/>
      <c r="U384" s="164"/>
      <c r="V384" s="164"/>
    </row>
    <row r="385" spans="1:22" ht="27" customHeight="1">
      <c r="A385" s="192" t="str">
        <f>IF(ISBLANK(C385)," ",380-COUNTBLANK($C$6:C385))</f>
        <v xml:space="preserve"> </v>
      </c>
      <c r="B385" s="178"/>
      <c r="C385" s="178"/>
      <c r="D385" s="193"/>
      <c r="E385" s="193"/>
      <c r="F385" s="180"/>
      <c r="G385" s="180"/>
      <c r="H385" s="180"/>
      <c r="I385" s="180"/>
      <c r="J385" s="180"/>
      <c r="K385" s="180"/>
      <c r="L385" s="180"/>
      <c r="M385" s="181"/>
      <c r="N385" s="163" t="str">
        <f t="shared" ref="N385:N404" si="29">CONCATENATE(C385,H385)</f>
        <v/>
      </c>
      <c r="O385" s="126" t="str">
        <f t="shared" ref="O385:O403" si="30">IF(D385&gt;=E385,"-","ERR")</f>
        <v>-</v>
      </c>
      <c r="P385" s="164"/>
      <c r="Q385" s="164"/>
      <c r="R385" s="164"/>
      <c r="S385" s="164"/>
      <c r="T385" s="164"/>
      <c r="U385" s="164"/>
      <c r="V385" s="164"/>
    </row>
    <row r="386" spans="1:22" ht="27" customHeight="1">
      <c r="A386" s="192" t="str">
        <f>IF(ISBLANK(C386)," ",381-COUNTBLANK($C$6:C386))</f>
        <v xml:space="preserve"> </v>
      </c>
      <c r="B386" s="178"/>
      <c r="C386" s="178"/>
      <c r="D386" s="193"/>
      <c r="E386" s="193"/>
      <c r="F386" s="180"/>
      <c r="G386" s="180"/>
      <c r="H386" s="180"/>
      <c r="I386" s="180"/>
      <c r="J386" s="180"/>
      <c r="K386" s="180"/>
      <c r="L386" s="180"/>
      <c r="M386" s="181"/>
      <c r="N386" s="163" t="str">
        <f t="shared" si="29"/>
        <v/>
      </c>
      <c r="O386" s="126" t="str">
        <f t="shared" si="30"/>
        <v>-</v>
      </c>
      <c r="P386" s="164"/>
      <c r="Q386" s="164"/>
      <c r="R386" s="164"/>
      <c r="S386" s="164"/>
      <c r="T386" s="164"/>
      <c r="U386" s="164"/>
      <c r="V386" s="164"/>
    </row>
    <row r="387" spans="1:22" ht="27" customHeight="1">
      <c r="A387" s="192" t="str">
        <f>IF(ISBLANK(C387)," ",382-COUNTBLANK($C$6:C387))</f>
        <v xml:space="preserve"> </v>
      </c>
      <c r="B387" s="178"/>
      <c r="C387" s="178"/>
      <c r="D387" s="193"/>
      <c r="E387" s="193"/>
      <c r="F387" s="180"/>
      <c r="G387" s="180"/>
      <c r="H387" s="180"/>
      <c r="I387" s="180"/>
      <c r="J387" s="180"/>
      <c r="K387" s="180"/>
      <c r="L387" s="180"/>
      <c r="M387" s="181"/>
      <c r="N387" s="163" t="str">
        <f t="shared" si="29"/>
        <v/>
      </c>
      <c r="O387" s="126" t="str">
        <f t="shared" si="30"/>
        <v>-</v>
      </c>
      <c r="P387" s="164"/>
      <c r="Q387" s="164"/>
      <c r="R387" s="164"/>
      <c r="S387" s="164"/>
      <c r="T387" s="164"/>
      <c r="U387" s="164"/>
      <c r="V387" s="164"/>
    </row>
    <row r="388" spans="1:22" ht="27" customHeight="1">
      <c r="A388" s="192" t="str">
        <f>IF(ISBLANK(C388)," ",383-COUNTBLANK($C$6:C388))</f>
        <v xml:space="preserve"> </v>
      </c>
      <c r="B388" s="178"/>
      <c r="C388" s="178"/>
      <c r="D388" s="193"/>
      <c r="E388" s="193"/>
      <c r="F388" s="180"/>
      <c r="G388" s="180"/>
      <c r="H388" s="180"/>
      <c r="I388" s="180"/>
      <c r="J388" s="180"/>
      <c r="K388" s="180"/>
      <c r="L388" s="180"/>
      <c r="M388" s="181"/>
      <c r="N388" s="163" t="str">
        <f t="shared" si="29"/>
        <v/>
      </c>
      <c r="O388" s="126" t="str">
        <f t="shared" si="30"/>
        <v>-</v>
      </c>
      <c r="P388" s="164"/>
      <c r="Q388" s="164"/>
      <c r="R388" s="164"/>
      <c r="S388" s="164"/>
      <c r="T388" s="164"/>
      <c r="U388" s="164"/>
      <c r="V388" s="164"/>
    </row>
    <row r="389" spans="1:22" ht="27" customHeight="1">
      <c r="A389" s="192" t="str">
        <f>IF(ISBLANK(C389)," ",384-COUNTBLANK($C$6:C389))</f>
        <v xml:space="preserve"> </v>
      </c>
      <c r="B389" s="178"/>
      <c r="C389" s="178"/>
      <c r="D389" s="193"/>
      <c r="E389" s="193"/>
      <c r="F389" s="180"/>
      <c r="G389" s="180"/>
      <c r="H389" s="180"/>
      <c r="I389" s="180"/>
      <c r="J389" s="180"/>
      <c r="K389" s="180"/>
      <c r="L389" s="180"/>
      <c r="M389" s="181"/>
      <c r="N389" s="163" t="str">
        <f t="shared" si="29"/>
        <v/>
      </c>
      <c r="O389" s="126" t="str">
        <f t="shared" si="30"/>
        <v>-</v>
      </c>
      <c r="P389" s="164"/>
      <c r="Q389" s="164"/>
      <c r="R389" s="164"/>
      <c r="S389" s="164"/>
      <c r="T389" s="164"/>
      <c r="U389" s="164"/>
      <c r="V389" s="164"/>
    </row>
    <row r="390" spans="1:22" ht="27" customHeight="1">
      <c r="A390" s="192" t="str">
        <f>IF(ISBLANK(C390)," ",385-COUNTBLANK($C$6:C390))</f>
        <v xml:space="preserve"> </v>
      </c>
      <c r="B390" s="178"/>
      <c r="C390" s="178"/>
      <c r="D390" s="193"/>
      <c r="E390" s="193"/>
      <c r="F390" s="180"/>
      <c r="G390" s="180"/>
      <c r="H390" s="180"/>
      <c r="I390" s="180"/>
      <c r="J390" s="180"/>
      <c r="K390" s="180"/>
      <c r="L390" s="180"/>
      <c r="M390" s="181"/>
      <c r="N390" s="163" t="str">
        <f t="shared" si="29"/>
        <v/>
      </c>
      <c r="O390" s="126" t="str">
        <f t="shared" si="30"/>
        <v>-</v>
      </c>
      <c r="P390" s="164"/>
      <c r="Q390" s="164"/>
      <c r="R390" s="164"/>
      <c r="S390" s="164"/>
      <c r="T390" s="164"/>
      <c r="U390" s="164"/>
      <c r="V390" s="164"/>
    </row>
    <row r="391" spans="1:22" ht="27" customHeight="1">
      <c r="A391" s="192" t="str">
        <f>IF(ISBLANK(C391)," ",386-COUNTBLANK($C$6:C391))</f>
        <v xml:space="preserve"> </v>
      </c>
      <c r="B391" s="178"/>
      <c r="C391" s="178"/>
      <c r="D391" s="193"/>
      <c r="E391" s="193"/>
      <c r="F391" s="180"/>
      <c r="G391" s="180"/>
      <c r="H391" s="180"/>
      <c r="I391" s="180"/>
      <c r="J391" s="180"/>
      <c r="K391" s="180"/>
      <c r="L391" s="180"/>
      <c r="M391" s="181"/>
      <c r="N391" s="163" t="str">
        <f t="shared" si="29"/>
        <v/>
      </c>
      <c r="O391" s="126" t="str">
        <f t="shared" si="30"/>
        <v>-</v>
      </c>
      <c r="P391" s="164"/>
      <c r="Q391" s="164"/>
      <c r="R391" s="164"/>
      <c r="S391" s="164"/>
      <c r="T391" s="164"/>
      <c r="U391" s="164"/>
      <c r="V391" s="164"/>
    </row>
    <row r="392" spans="1:22" ht="27" customHeight="1">
      <c r="A392" s="192" t="str">
        <f>IF(ISBLANK(C392)," ",387-COUNTBLANK($C$6:C392))</f>
        <v xml:space="preserve"> </v>
      </c>
      <c r="B392" s="178"/>
      <c r="C392" s="178"/>
      <c r="D392" s="193"/>
      <c r="E392" s="193"/>
      <c r="F392" s="180"/>
      <c r="G392" s="180"/>
      <c r="H392" s="180"/>
      <c r="I392" s="180"/>
      <c r="J392" s="180"/>
      <c r="K392" s="180"/>
      <c r="L392" s="180"/>
      <c r="M392" s="181"/>
      <c r="N392" s="163" t="str">
        <f t="shared" si="29"/>
        <v/>
      </c>
      <c r="O392" s="126" t="str">
        <f t="shared" si="30"/>
        <v>-</v>
      </c>
      <c r="P392" s="164"/>
      <c r="Q392" s="164"/>
      <c r="R392" s="164"/>
      <c r="S392" s="164"/>
      <c r="T392" s="164"/>
      <c r="U392" s="164"/>
      <c r="V392" s="164"/>
    </row>
    <row r="393" spans="1:22" ht="27" customHeight="1">
      <c r="A393" s="192" t="str">
        <f>IF(ISBLANK(C393)," ",388-COUNTBLANK($C$6:C393))</f>
        <v xml:space="preserve"> </v>
      </c>
      <c r="B393" s="178"/>
      <c r="C393" s="178"/>
      <c r="D393" s="193"/>
      <c r="E393" s="193"/>
      <c r="F393" s="180"/>
      <c r="G393" s="180"/>
      <c r="H393" s="180"/>
      <c r="I393" s="180"/>
      <c r="J393" s="180"/>
      <c r="K393" s="180"/>
      <c r="L393" s="180"/>
      <c r="M393" s="181"/>
      <c r="N393" s="163" t="str">
        <f t="shared" si="29"/>
        <v/>
      </c>
      <c r="O393" s="126" t="str">
        <f t="shared" si="30"/>
        <v>-</v>
      </c>
      <c r="P393" s="164"/>
      <c r="Q393" s="164"/>
      <c r="R393" s="164"/>
      <c r="S393" s="164"/>
      <c r="T393" s="164"/>
      <c r="U393" s="164"/>
      <c r="V393" s="164"/>
    </row>
    <row r="394" spans="1:22" ht="27" customHeight="1">
      <c r="A394" s="192" t="str">
        <f>IF(ISBLANK(C394)," ",389-COUNTBLANK($C$6:C394))</f>
        <v xml:space="preserve"> </v>
      </c>
      <c r="B394" s="178"/>
      <c r="C394" s="178"/>
      <c r="D394" s="193"/>
      <c r="E394" s="193"/>
      <c r="F394" s="180"/>
      <c r="G394" s="180"/>
      <c r="H394" s="180"/>
      <c r="I394" s="180"/>
      <c r="J394" s="180"/>
      <c r="K394" s="180"/>
      <c r="L394" s="180"/>
      <c r="M394" s="181"/>
      <c r="N394" s="163" t="str">
        <f t="shared" si="29"/>
        <v/>
      </c>
      <c r="O394" s="126" t="str">
        <f t="shared" si="30"/>
        <v>-</v>
      </c>
      <c r="P394" s="164"/>
      <c r="Q394" s="164"/>
      <c r="R394" s="164"/>
      <c r="S394" s="164"/>
      <c r="T394" s="164"/>
      <c r="U394" s="164"/>
      <c r="V394" s="164"/>
    </row>
    <row r="395" spans="1:22" ht="27" customHeight="1">
      <c r="A395" s="192" t="str">
        <f>IF(ISBLANK(C395)," ",390-COUNTBLANK($C$6:C395))</f>
        <v xml:space="preserve"> </v>
      </c>
      <c r="B395" s="178"/>
      <c r="C395" s="178"/>
      <c r="D395" s="193"/>
      <c r="E395" s="193"/>
      <c r="F395" s="180"/>
      <c r="G395" s="180"/>
      <c r="H395" s="180"/>
      <c r="I395" s="180"/>
      <c r="J395" s="180"/>
      <c r="K395" s="180"/>
      <c r="L395" s="180"/>
      <c r="M395" s="181"/>
      <c r="N395" s="163" t="str">
        <f t="shared" si="29"/>
        <v/>
      </c>
      <c r="O395" s="126" t="str">
        <f t="shared" si="30"/>
        <v>-</v>
      </c>
      <c r="P395" s="164"/>
      <c r="Q395" s="164"/>
      <c r="R395" s="164"/>
      <c r="S395" s="164"/>
      <c r="T395" s="164"/>
      <c r="U395" s="164"/>
      <c r="V395" s="164"/>
    </row>
    <row r="396" spans="1:22" ht="27" customHeight="1">
      <c r="A396" s="192" t="str">
        <f>IF(ISBLANK(C396)," ",391-COUNTBLANK($C$6:C396))</f>
        <v xml:space="preserve"> </v>
      </c>
      <c r="B396" s="178"/>
      <c r="C396" s="178"/>
      <c r="D396" s="193"/>
      <c r="E396" s="193"/>
      <c r="F396" s="180"/>
      <c r="G396" s="180"/>
      <c r="H396" s="180"/>
      <c r="I396" s="180"/>
      <c r="J396" s="180"/>
      <c r="K396" s="180"/>
      <c r="L396" s="180"/>
      <c r="M396" s="181"/>
      <c r="N396" s="163" t="str">
        <f t="shared" si="29"/>
        <v/>
      </c>
      <c r="O396" s="126" t="str">
        <f t="shared" si="30"/>
        <v>-</v>
      </c>
      <c r="P396" s="164"/>
      <c r="Q396" s="164"/>
      <c r="R396" s="164"/>
      <c r="S396" s="164"/>
      <c r="T396" s="164"/>
      <c r="U396" s="164"/>
      <c r="V396" s="164"/>
    </row>
    <row r="397" spans="1:22" ht="27" customHeight="1">
      <c r="A397" s="192" t="str">
        <f>IF(ISBLANK(C397)," ",392-COUNTBLANK($C$6:C397))</f>
        <v xml:space="preserve"> </v>
      </c>
      <c r="B397" s="178"/>
      <c r="C397" s="178"/>
      <c r="D397" s="193"/>
      <c r="E397" s="193"/>
      <c r="F397" s="180"/>
      <c r="G397" s="180"/>
      <c r="H397" s="180"/>
      <c r="I397" s="180"/>
      <c r="J397" s="180"/>
      <c r="K397" s="180"/>
      <c r="L397" s="180"/>
      <c r="M397" s="181"/>
      <c r="N397" s="163" t="str">
        <f t="shared" si="29"/>
        <v/>
      </c>
      <c r="O397" s="126" t="str">
        <f t="shared" si="30"/>
        <v>-</v>
      </c>
      <c r="P397" s="164"/>
      <c r="Q397" s="164"/>
      <c r="R397" s="164"/>
      <c r="S397" s="164"/>
      <c r="T397" s="164"/>
      <c r="U397" s="164"/>
      <c r="V397" s="164"/>
    </row>
    <row r="398" spans="1:22" ht="27" customHeight="1">
      <c r="A398" s="192" t="str">
        <f>IF(ISBLANK(C398)," ",393-COUNTBLANK($C$6:C398))</f>
        <v xml:space="preserve"> </v>
      </c>
      <c r="B398" s="178"/>
      <c r="C398" s="178"/>
      <c r="D398" s="193"/>
      <c r="E398" s="193"/>
      <c r="F398" s="180"/>
      <c r="G398" s="180"/>
      <c r="H398" s="180"/>
      <c r="I398" s="180"/>
      <c r="J398" s="180"/>
      <c r="K398" s="180"/>
      <c r="L398" s="180"/>
      <c r="M398" s="181"/>
      <c r="N398" s="163" t="str">
        <f t="shared" si="29"/>
        <v/>
      </c>
      <c r="O398" s="126" t="str">
        <f t="shared" si="30"/>
        <v>-</v>
      </c>
      <c r="P398" s="164"/>
      <c r="Q398" s="164"/>
      <c r="R398" s="164"/>
      <c r="S398" s="164"/>
      <c r="T398" s="164"/>
      <c r="U398" s="164"/>
      <c r="V398" s="164"/>
    </row>
    <row r="399" spans="1:22" ht="27" customHeight="1">
      <c r="A399" s="192" t="str">
        <f>IF(ISBLANK(C399)," ",394-COUNTBLANK($C$6:C399))</f>
        <v xml:space="preserve"> </v>
      </c>
      <c r="B399" s="178"/>
      <c r="C399" s="178"/>
      <c r="D399" s="193"/>
      <c r="E399" s="193"/>
      <c r="F399" s="180"/>
      <c r="G399" s="180"/>
      <c r="H399" s="180"/>
      <c r="I399" s="180"/>
      <c r="J399" s="180"/>
      <c r="K399" s="180"/>
      <c r="L399" s="180"/>
      <c r="M399" s="181"/>
      <c r="N399" s="163" t="str">
        <f t="shared" si="29"/>
        <v/>
      </c>
      <c r="O399" s="126" t="str">
        <f t="shared" si="30"/>
        <v>-</v>
      </c>
      <c r="P399" s="164"/>
      <c r="Q399" s="164"/>
      <c r="R399" s="164"/>
      <c r="S399" s="164"/>
      <c r="T399" s="164"/>
      <c r="U399" s="164"/>
      <c r="V399" s="165"/>
    </row>
    <row r="400" spans="1:22" ht="27" customHeight="1">
      <c r="A400" s="192" t="str">
        <f>IF(ISBLANK(C400)," ",395-COUNTBLANK($C$6:C400))</f>
        <v xml:space="preserve"> </v>
      </c>
      <c r="B400" s="178"/>
      <c r="C400" s="178"/>
      <c r="D400" s="193"/>
      <c r="E400" s="193"/>
      <c r="F400" s="180"/>
      <c r="G400" s="180"/>
      <c r="H400" s="180"/>
      <c r="I400" s="180"/>
      <c r="J400" s="180"/>
      <c r="K400" s="180"/>
      <c r="L400" s="180"/>
      <c r="M400" s="181"/>
      <c r="N400" s="163" t="str">
        <f t="shared" si="29"/>
        <v/>
      </c>
      <c r="O400" s="126" t="str">
        <f t="shared" si="30"/>
        <v>-</v>
      </c>
      <c r="P400" s="164"/>
      <c r="Q400" s="164"/>
      <c r="R400" s="164"/>
      <c r="S400" s="164"/>
      <c r="T400" s="164"/>
      <c r="U400" s="164"/>
      <c r="V400" s="165"/>
    </row>
    <row r="401" spans="1:25" ht="27" customHeight="1">
      <c r="A401" s="192" t="str">
        <f>IF(ISBLANK(C401)," ",396-COUNTBLANK($C$6:C401))</f>
        <v xml:space="preserve"> </v>
      </c>
      <c r="B401" s="178"/>
      <c r="C401" s="178"/>
      <c r="D401" s="193"/>
      <c r="E401" s="193"/>
      <c r="F401" s="180"/>
      <c r="G401" s="180"/>
      <c r="H401" s="180"/>
      <c r="I401" s="180"/>
      <c r="J401" s="180"/>
      <c r="K401" s="180"/>
      <c r="L401" s="180"/>
      <c r="M401" s="181"/>
      <c r="N401" s="163" t="str">
        <f t="shared" si="29"/>
        <v/>
      </c>
      <c r="O401" s="126" t="str">
        <f t="shared" si="30"/>
        <v>-</v>
      </c>
      <c r="P401" s="164"/>
      <c r="Q401" s="164"/>
      <c r="R401" s="164"/>
      <c r="S401" s="164"/>
      <c r="T401" s="164"/>
      <c r="U401" s="164"/>
      <c r="V401" s="165"/>
    </row>
    <row r="402" spans="1:25" ht="27" customHeight="1">
      <c r="A402" s="192" t="str">
        <f>IF(ISBLANK(C402)," ",397-COUNTBLANK($C$6:C402))</f>
        <v xml:space="preserve"> </v>
      </c>
      <c r="B402" s="178"/>
      <c r="C402" s="178"/>
      <c r="D402" s="193"/>
      <c r="E402" s="193"/>
      <c r="F402" s="180"/>
      <c r="G402" s="180"/>
      <c r="H402" s="180"/>
      <c r="I402" s="180"/>
      <c r="J402" s="180"/>
      <c r="K402" s="180"/>
      <c r="L402" s="180"/>
      <c r="M402" s="181"/>
      <c r="N402" s="163" t="str">
        <f t="shared" si="29"/>
        <v/>
      </c>
      <c r="O402" s="126" t="str">
        <f t="shared" si="30"/>
        <v>-</v>
      </c>
      <c r="P402" s="164"/>
      <c r="Q402" s="164"/>
      <c r="R402" s="164"/>
      <c r="S402" s="164"/>
      <c r="T402" s="164"/>
      <c r="U402" s="164"/>
      <c r="V402" s="165"/>
    </row>
    <row r="403" spans="1:25" ht="27" customHeight="1">
      <c r="A403" s="192" t="str">
        <f>IF(ISBLANK(C403)," ",398-COUNTBLANK($C$6:C403))</f>
        <v xml:space="preserve"> </v>
      </c>
      <c r="B403" s="178"/>
      <c r="C403" s="178"/>
      <c r="D403" s="193"/>
      <c r="E403" s="193"/>
      <c r="F403" s="180"/>
      <c r="G403" s="180"/>
      <c r="H403" s="180"/>
      <c r="I403" s="180"/>
      <c r="J403" s="180"/>
      <c r="K403" s="180"/>
      <c r="L403" s="180"/>
      <c r="M403" s="181"/>
      <c r="N403" s="163" t="str">
        <f t="shared" si="29"/>
        <v/>
      </c>
      <c r="O403" s="126" t="str">
        <f t="shared" si="30"/>
        <v>-</v>
      </c>
      <c r="P403" s="164"/>
      <c r="Q403" s="164"/>
      <c r="R403" s="164"/>
      <c r="S403" s="164"/>
      <c r="T403" s="164"/>
      <c r="U403" s="164"/>
      <c r="V403" s="166"/>
      <c r="W403" s="164"/>
      <c r="X403" s="164"/>
      <c r="Y403" s="164"/>
    </row>
    <row r="404" spans="1:25" ht="27" customHeight="1">
      <c r="A404" s="172" t="s">
        <v>44</v>
      </c>
      <c r="B404" s="173"/>
      <c r="C404" s="174"/>
      <c r="D404" s="194"/>
      <c r="E404" s="194">
        <f>SUM(E384:E403)</f>
        <v>0</v>
      </c>
      <c r="F404" s="176"/>
      <c r="G404" s="176"/>
      <c r="H404" s="176"/>
      <c r="I404" s="176"/>
      <c r="J404" s="176"/>
      <c r="K404" s="176"/>
      <c r="L404" s="176"/>
      <c r="M404" s="177"/>
      <c r="N404" s="163" t="str">
        <f t="shared" si="29"/>
        <v/>
      </c>
      <c r="O404" s="126"/>
      <c r="P404" s="164"/>
      <c r="Q404" s="164"/>
      <c r="R404" s="164"/>
      <c r="S404" s="164"/>
      <c r="T404" s="164"/>
      <c r="U404" s="164"/>
      <c r="V404" s="166"/>
      <c r="W404" s="164"/>
      <c r="X404" s="164"/>
      <c r="Y404" s="164"/>
    </row>
    <row r="405" spans="1:25" ht="27" customHeight="1">
      <c r="A405" s="187" t="str">
        <f>IF(ISBLANK(C405)," ",400-COUNTBLANK($C$6:C405))</f>
        <v xml:space="preserve"> </v>
      </c>
      <c r="B405" s="188"/>
      <c r="C405" s="188"/>
      <c r="D405" s="189"/>
      <c r="E405" s="189"/>
      <c r="F405" s="190"/>
      <c r="G405" s="190"/>
      <c r="H405" s="190"/>
      <c r="I405" s="190"/>
      <c r="J405" s="190"/>
      <c r="K405" s="190"/>
      <c r="L405" s="190"/>
      <c r="M405" s="191"/>
      <c r="N405" s="163" t="str">
        <f>CONCATENATE(C405,H405)</f>
        <v/>
      </c>
      <c r="O405" s="126" t="str">
        <f>IF(D405&gt;=E405,"-","ERR")</f>
        <v>-</v>
      </c>
      <c r="P405" s="164"/>
      <c r="Q405" s="164"/>
      <c r="R405" s="164"/>
      <c r="S405" s="164"/>
      <c r="T405" s="164"/>
      <c r="U405" s="164"/>
      <c r="V405" s="164"/>
    </row>
    <row r="406" spans="1:25" ht="27" customHeight="1">
      <c r="A406" s="192" t="str">
        <f>IF(ISBLANK(C406)," ",401-COUNTBLANK($C$6:C406))</f>
        <v xml:space="preserve"> </v>
      </c>
      <c r="B406" s="178"/>
      <c r="C406" s="178"/>
      <c r="D406" s="193"/>
      <c r="E406" s="193"/>
      <c r="F406" s="180"/>
      <c r="G406" s="180"/>
      <c r="H406" s="180"/>
      <c r="I406" s="180"/>
      <c r="J406" s="180"/>
      <c r="K406" s="180"/>
      <c r="L406" s="180"/>
      <c r="M406" s="181"/>
      <c r="N406" s="163" t="str">
        <f t="shared" ref="N406:N425" si="31">CONCATENATE(C406,H406)</f>
        <v/>
      </c>
      <c r="O406" s="126" t="str">
        <f t="shared" ref="O406:O424" si="32">IF(D406&gt;=E406,"-","ERR")</f>
        <v>-</v>
      </c>
      <c r="P406" s="164"/>
      <c r="Q406" s="164"/>
      <c r="R406" s="164"/>
      <c r="S406" s="164"/>
      <c r="T406" s="164"/>
      <c r="U406" s="164"/>
      <c r="V406" s="164"/>
    </row>
    <row r="407" spans="1:25" ht="27" customHeight="1">
      <c r="A407" s="192" t="str">
        <f>IF(ISBLANK(C407)," ",402-COUNTBLANK($C$6:C407))</f>
        <v xml:space="preserve"> </v>
      </c>
      <c r="B407" s="178"/>
      <c r="C407" s="178"/>
      <c r="D407" s="193"/>
      <c r="E407" s="193"/>
      <c r="F407" s="180"/>
      <c r="G407" s="180"/>
      <c r="H407" s="180"/>
      <c r="I407" s="180"/>
      <c r="J407" s="180"/>
      <c r="K407" s="180"/>
      <c r="L407" s="180"/>
      <c r="M407" s="181"/>
      <c r="N407" s="163" t="str">
        <f t="shared" si="31"/>
        <v/>
      </c>
      <c r="O407" s="126" t="str">
        <f t="shared" si="32"/>
        <v>-</v>
      </c>
      <c r="P407" s="164"/>
      <c r="Q407" s="164"/>
      <c r="R407" s="164"/>
      <c r="S407" s="164"/>
      <c r="T407" s="164"/>
      <c r="U407" s="164"/>
      <c r="V407" s="164"/>
    </row>
    <row r="408" spans="1:25" ht="27" customHeight="1">
      <c r="A408" s="192" t="str">
        <f>IF(ISBLANK(C408)," ",403-COUNTBLANK($C$6:C408))</f>
        <v xml:space="preserve"> </v>
      </c>
      <c r="B408" s="178"/>
      <c r="C408" s="178"/>
      <c r="D408" s="193"/>
      <c r="E408" s="193"/>
      <c r="F408" s="180"/>
      <c r="G408" s="180"/>
      <c r="H408" s="180"/>
      <c r="I408" s="180"/>
      <c r="J408" s="180"/>
      <c r="K408" s="180"/>
      <c r="L408" s="180"/>
      <c r="M408" s="181"/>
      <c r="N408" s="163" t="str">
        <f t="shared" si="31"/>
        <v/>
      </c>
      <c r="O408" s="126" t="str">
        <f t="shared" si="32"/>
        <v>-</v>
      </c>
      <c r="P408" s="164"/>
      <c r="Q408" s="164"/>
      <c r="R408" s="164"/>
      <c r="S408" s="164"/>
      <c r="T408" s="164"/>
      <c r="U408" s="164"/>
      <c r="V408" s="164"/>
    </row>
    <row r="409" spans="1:25" ht="27" customHeight="1">
      <c r="A409" s="192" t="str">
        <f>IF(ISBLANK(C409)," ",404-COUNTBLANK($C$6:C409))</f>
        <v xml:space="preserve"> </v>
      </c>
      <c r="B409" s="178"/>
      <c r="C409" s="178"/>
      <c r="D409" s="193"/>
      <c r="E409" s="193"/>
      <c r="F409" s="180"/>
      <c r="G409" s="180"/>
      <c r="H409" s="180"/>
      <c r="I409" s="180"/>
      <c r="J409" s="180"/>
      <c r="K409" s="180"/>
      <c r="L409" s="180"/>
      <c r="M409" s="181"/>
      <c r="N409" s="163" t="str">
        <f t="shared" si="31"/>
        <v/>
      </c>
      <c r="O409" s="126" t="str">
        <f t="shared" si="32"/>
        <v>-</v>
      </c>
      <c r="P409" s="164"/>
      <c r="Q409" s="164"/>
      <c r="R409" s="164"/>
      <c r="S409" s="164"/>
      <c r="T409" s="164"/>
      <c r="U409" s="164"/>
      <c r="V409" s="164"/>
    </row>
    <row r="410" spans="1:25" ht="27" customHeight="1">
      <c r="A410" s="192" t="str">
        <f>IF(ISBLANK(C410)," ",405-COUNTBLANK($C$6:C410))</f>
        <v xml:space="preserve"> </v>
      </c>
      <c r="B410" s="178"/>
      <c r="C410" s="178"/>
      <c r="D410" s="193"/>
      <c r="E410" s="193"/>
      <c r="F410" s="180"/>
      <c r="G410" s="180"/>
      <c r="H410" s="180"/>
      <c r="I410" s="180"/>
      <c r="J410" s="180"/>
      <c r="K410" s="180"/>
      <c r="L410" s="180"/>
      <c r="M410" s="181"/>
      <c r="N410" s="163" t="str">
        <f t="shared" si="31"/>
        <v/>
      </c>
      <c r="O410" s="126" t="str">
        <f t="shared" si="32"/>
        <v>-</v>
      </c>
      <c r="P410" s="164"/>
      <c r="Q410" s="164"/>
      <c r="R410" s="164"/>
      <c r="S410" s="164"/>
      <c r="T410" s="164"/>
      <c r="U410" s="164"/>
      <c r="V410" s="164"/>
    </row>
    <row r="411" spans="1:25" ht="27" customHeight="1">
      <c r="A411" s="192" t="str">
        <f>IF(ISBLANK(C411)," ",406-COUNTBLANK($C$6:C411))</f>
        <v xml:space="preserve"> </v>
      </c>
      <c r="B411" s="178"/>
      <c r="C411" s="178"/>
      <c r="D411" s="193"/>
      <c r="E411" s="193"/>
      <c r="F411" s="180"/>
      <c r="G411" s="180"/>
      <c r="H411" s="180"/>
      <c r="I411" s="180"/>
      <c r="J411" s="180"/>
      <c r="K411" s="180"/>
      <c r="L411" s="180"/>
      <c r="M411" s="181"/>
      <c r="N411" s="163" t="str">
        <f t="shared" si="31"/>
        <v/>
      </c>
      <c r="O411" s="126" t="str">
        <f t="shared" si="32"/>
        <v>-</v>
      </c>
      <c r="P411" s="164"/>
      <c r="Q411" s="164"/>
      <c r="R411" s="164"/>
      <c r="S411" s="164"/>
      <c r="T411" s="164"/>
      <c r="U411" s="164"/>
      <c r="V411" s="164"/>
    </row>
    <row r="412" spans="1:25" ht="27" customHeight="1">
      <c r="A412" s="192" t="str">
        <f>IF(ISBLANK(C412)," ",407-COUNTBLANK($C$6:C412))</f>
        <v xml:space="preserve"> </v>
      </c>
      <c r="B412" s="178"/>
      <c r="C412" s="178"/>
      <c r="D412" s="193"/>
      <c r="E412" s="193"/>
      <c r="F412" s="180"/>
      <c r="G412" s="180"/>
      <c r="H412" s="180"/>
      <c r="I412" s="180"/>
      <c r="J412" s="180"/>
      <c r="K412" s="180"/>
      <c r="L412" s="180"/>
      <c r="M412" s="181"/>
      <c r="N412" s="163" t="str">
        <f t="shared" si="31"/>
        <v/>
      </c>
      <c r="O412" s="126" t="str">
        <f t="shared" si="32"/>
        <v>-</v>
      </c>
      <c r="P412" s="164"/>
      <c r="Q412" s="164"/>
      <c r="R412" s="164"/>
      <c r="S412" s="164"/>
      <c r="T412" s="164"/>
      <c r="U412" s="164"/>
      <c r="V412" s="164"/>
    </row>
    <row r="413" spans="1:25" ht="27" customHeight="1">
      <c r="A413" s="192" t="str">
        <f>IF(ISBLANK(C413)," ",408-COUNTBLANK($C$6:C413))</f>
        <v xml:space="preserve"> </v>
      </c>
      <c r="B413" s="178"/>
      <c r="C413" s="178"/>
      <c r="D413" s="193"/>
      <c r="E413" s="193"/>
      <c r="F413" s="180"/>
      <c r="G413" s="180"/>
      <c r="H413" s="180"/>
      <c r="I413" s="180"/>
      <c r="J413" s="180"/>
      <c r="K413" s="180"/>
      <c r="L413" s="180"/>
      <c r="M413" s="181"/>
      <c r="N413" s="163" t="str">
        <f t="shared" si="31"/>
        <v/>
      </c>
      <c r="O413" s="126" t="str">
        <f t="shared" si="32"/>
        <v>-</v>
      </c>
      <c r="P413" s="164"/>
      <c r="Q413" s="164"/>
      <c r="R413" s="164"/>
      <c r="S413" s="164"/>
      <c r="T413" s="164"/>
      <c r="U413" s="164"/>
      <c r="V413" s="164"/>
    </row>
    <row r="414" spans="1:25" ht="27" customHeight="1">
      <c r="A414" s="192" t="str">
        <f>IF(ISBLANK(C414)," ",409-COUNTBLANK($C$6:C414))</f>
        <v xml:space="preserve"> </v>
      </c>
      <c r="B414" s="178"/>
      <c r="C414" s="178"/>
      <c r="D414" s="193"/>
      <c r="E414" s="193"/>
      <c r="F414" s="180"/>
      <c r="G414" s="180"/>
      <c r="H414" s="180"/>
      <c r="I414" s="180"/>
      <c r="J414" s="180"/>
      <c r="K414" s="180"/>
      <c r="L414" s="180"/>
      <c r="M414" s="181"/>
      <c r="N414" s="163" t="str">
        <f t="shared" si="31"/>
        <v/>
      </c>
      <c r="O414" s="126" t="str">
        <f t="shared" si="32"/>
        <v>-</v>
      </c>
      <c r="P414" s="164"/>
      <c r="Q414" s="164"/>
      <c r="R414" s="164"/>
      <c r="S414" s="164"/>
      <c r="T414" s="164"/>
      <c r="U414" s="164"/>
      <c r="V414" s="164"/>
    </row>
    <row r="415" spans="1:25" ht="27" customHeight="1">
      <c r="A415" s="192" t="str">
        <f>IF(ISBLANK(C415)," ",410-COUNTBLANK($C$6:C415))</f>
        <v xml:space="preserve"> </v>
      </c>
      <c r="B415" s="178"/>
      <c r="C415" s="178"/>
      <c r="D415" s="193"/>
      <c r="E415" s="193"/>
      <c r="F415" s="180"/>
      <c r="G415" s="180"/>
      <c r="H415" s="180"/>
      <c r="I415" s="180"/>
      <c r="J415" s="180"/>
      <c r="K415" s="180"/>
      <c r="L415" s="180"/>
      <c r="M415" s="181"/>
      <c r="N415" s="163" t="str">
        <f t="shared" si="31"/>
        <v/>
      </c>
      <c r="O415" s="126" t="str">
        <f t="shared" si="32"/>
        <v>-</v>
      </c>
      <c r="P415" s="164"/>
      <c r="Q415" s="164"/>
      <c r="R415" s="164"/>
      <c r="S415" s="164"/>
      <c r="T415" s="164"/>
      <c r="U415" s="164"/>
      <c r="V415" s="164"/>
    </row>
    <row r="416" spans="1:25" ht="27" customHeight="1">
      <c r="A416" s="192" t="str">
        <f>IF(ISBLANK(C416)," ",411-COUNTBLANK($C$6:C416))</f>
        <v xml:space="preserve"> </v>
      </c>
      <c r="B416" s="178"/>
      <c r="C416" s="178"/>
      <c r="D416" s="193"/>
      <c r="E416" s="193"/>
      <c r="F416" s="180"/>
      <c r="G416" s="180"/>
      <c r="H416" s="180"/>
      <c r="I416" s="180"/>
      <c r="J416" s="180"/>
      <c r="K416" s="180"/>
      <c r="L416" s="180"/>
      <c r="M416" s="181"/>
      <c r="N416" s="163" t="str">
        <f t="shared" si="31"/>
        <v/>
      </c>
      <c r="O416" s="126" t="str">
        <f t="shared" si="32"/>
        <v>-</v>
      </c>
      <c r="P416" s="164"/>
      <c r="Q416" s="164"/>
      <c r="R416" s="164"/>
      <c r="S416" s="164"/>
      <c r="T416" s="164"/>
      <c r="U416" s="164"/>
      <c r="V416" s="164"/>
    </row>
    <row r="417" spans="1:25" ht="27" customHeight="1">
      <c r="A417" s="192" t="str">
        <f>IF(ISBLANK(C417)," ",412-COUNTBLANK($C$6:C417))</f>
        <v xml:space="preserve"> </v>
      </c>
      <c r="B417" s="178"/>
      <c r="C417" s="178"/>
      <c r="D417" s="193"/>
      <c r="E417" s="193"/>
      <c r="F417" s="180"/>
      <c r="G417" s="180"/>
      <c r="H417" s="180"/>
      <c r="I417" s="180"/>
      <c r="J417" s="180"/>
      <c r="K417" s="180"/>
      <c r="L417" s="180"/>
      <c r="M417" s="181"/>
      <c r="N417" s="163" t="str">
        <f t="shared" si="31"/>
        <v/>
      </c>
      <c r="O417" s="126" t="str">
        <f t="shared" si="32"/>
        <v>-</v>
      </c>
      <c r="P417" s="164"/>
      <c r="Q417" s="164"/>
      <c r="R417" s="164"/>
      <c r="S417" s="164"/>
      <c r="T417" s="164"/>
      <c r="U417" s="164"/>
      <c r="V417" s="164"/>
    </row>
    <row r="418" spans="1:25" ht="27" customHeight="1">
      <c r="A418" s="192" t="str">
        <f>IF(ISBLANK(C418)," ",413-COUNTBLANK($C$6:C418))</f>
        <v xml:space="preserve"> </v>
      </c>
      <c r="B418" s="178"/>
      <c r="C418" s="178"/>
      <c r="D418" s="193"/>
      <c r="E418" s="193"/>
      <c r="F418" s="180"/>
      <c r="G418" s="180"/>
      <c r="H418" s="180"/>
      <c r="I418" s="180"/>
      <c r="J418" s="180"/>
      <c r="K418" s="180"/>
      <c r="L418" s="180"/>
      <c r="M418" s="181"/>
      <c r="N418" s="163" t="str">
        <f t="shared" si="31"/>
        <v/>
      </c>
      <c r="O418" s="126" t="str">
        <f t="shared" si="32"/>
        <v>-</v>
      </c>
      <c r="P418" s="164"/>
      <c r="Q418" s="164"/>
      <c r="R418" s="164"/>
      <c r="S418" s="164"/>
      <c r="T418" s="164"/>
      <c r="U418" s="164"/>
      <c r="V418" s="164"/>
    </row>
    <row r="419" spans="1:25" ht="27" customHeight="1">
      <c r="A419" s="192" t="str">
        <f>IF(ISBLANK(C419)," ",414-COUNTBLANK($C$6:C419))</f>
        <v xml:space="preserve"> </v>
      </c>
      <c r="B419" s="178"/>
      <c r="C419" s="178"/>
      <c r="D419" s="193"/>
      <c r="E419" s="193"/>
      <c r="F419" s="180"/>
      <c r="G419" s="180"/>
      <c r="H419" s="180"/>
      <c r="I419" s="180"/>
      <c r="J419" s="180"/>
      <c r="K419" s="180"/>
      <c r="L419" s="180"/>
      <c r="M419" s="181"/>
      <c r="N419" s="163" t="str">
        <f t="shared" si="31"/>
        <v/>
      </c>
      <c r="O419" s="126" t="str">
        <f t="shared" si="32"/>
        <v>-</v>
      </c>
      <c r="P419" s="164"/>
      <c r="Q419" s="164"/>
      <c r="R419" s="164"/>
      <c r="S419" s="164"/>
      <c r="T419" s="164"/>
      <c r="U419" s="164"/>
      <c r="V419" s="164"/>
    </row>
    <row r="420" spans="1:25" ht="27" customHeight="1">
      <c r="A420" s="192" t="str">
        <f>IF(ISBLANK(C420)," ",415-COUNTBLANK($C$6:C420))</f>
        <v xml:space="preserve"> </v>
      </c>
      <c r="B420" s="178"/>
      <c r="C420" s="178"/>
      <c r="D420" s="193"/>
      <c r="E420" s="193"/>
      <c r="F420" s="180"/>
      <c r="G420" s="180"/>
      <c r="H420" s="180"/>
      <c r="I420" s="180"/>
      <c r="J420" s="180"/>
      <c r="K420" s="180"/>
      <c r="L420" s="180"/>
      <c r="M420" s="181"/>
      <c r="N420" s="163" t="str">
        <f t="shared" si="31"/>
        <v/>
      </c>
      <c r="O420" s="126" t="str">
        <f t="shared" si="32"/>
        <v>-</v>
      </c>
      <c r="P420" s="164"/>
      <c r="Q420" s="164"/>
      <c r="R420" s="164"/>
      <c r="S420" s="164"/>
      <c r="T420" s="164"/>
      <c r="U420" s="164"/>
      <c r="V420" s="165"/>
    </row>
    <row r="421" spans="1:25" ht="27" customHeight="1">
      <c r="A421" s="192" t="str">
        <f>IF(ISBLANK(C421)," ",416-COUNTBLANK($C$6:C421))</f>
        <v xml:space="preserve"> </v>
      </c>
      <c r="B421" s="178"/>
      <c r="C421" s="178"/>
      <c r="D421" s="193"/>
      <c r="E421" s="193"/>
      <c r="F421" s="180"/>
      <c r="G421" s="180"/>
      <c r="H421" s="180"/>
      <c r="I421" s="180"/>
      <c r="J421" s="180"/>
      <c r="K421" s="180"/>
      <c r="L421" s="180"/>
      <c r="M421" s="181"/>
      <c r="N421" s="163" t="str">
        <f t="shared" si="31"/>
        <v/>
      </c>
      <c r="O421" s="126" t="str">
        <f t="shared" si="32"/>
        <v>-</v>
      </c>
      <c r="P421" s="164"/>
      <c r="Q421" s="164"/>
      <c r="R421" s="164"/>
      <c r="S421" s="164"/>
      <c r="T421" s="164"/>
      <c r="U421" s="164"/>
      <c r="V421" s="165"/>
    </row>
    <row r="422" spans="1:25" ht="27" customHeight="1">
      <c r="A422" s="192" t="str">
        <f>IF(ISBLANK(C422)," ",417-COUNTBLANK($C$6:C422))</f>
        <v xml:space="preserve"> </v>
      </c>
      <c r="B422" s="178"/>
      <c r="C422" s="178"/>
      <c r="D422" s="193"/>
      <c r="E422" s="193"/>
      <c r="F422" s="180"/>
      <c r="G422" s="180"/>
      <c r="H422" s="180"/>
      <c r="I422" s="180"/>
      <c r="J422" s="180"/>
      <c r="K422" s="180"/>
      <c r="L422" s="180"/>
      <c r="M422" s="181"/>
      <c r="N422" s="163" t="str">
        <f t="shared" si="31"/>
        <v/>
      </c>
      <c r="O422" s="126" t="str">
        <f t="shared" si="32"/>
        <v>-</v>
      </c>
      <c r="P422" s="164"/>
      <c r="Q422" s="164"/>
      <c r="R422" s="164"/>
      <c r="S422" s="164"/>
      <c r="T422" s="164"/>
      <c r="U422" s="164"/>
      <c r="V422" s="165"/>
    </row>
    <row r="423" spans="1:25" ht="27" customHeight="1">
      <c r="A423" s="192" t="str">
        <f>IF(ISBLANK(C423)," ",418-COUNTBLANK($C$6:C423))</f>
        <v xml:space="preserve"> </v>
      </c>
      <c r="B423" s="178"/>
      <c r="C423" s="178"/>
      <c r="D423" s="193"/>
      <c r="E423" s="193"/>
      <c r="F423" s="180"/>
      <c r="G423" s="180"/>
      <c r="H423" s="180"/>
      <c r="I423" s="180"/>
      <c r="J423" s="180"/>
      <c r="K423" s="180"/>
      <c r="L423" s="180"/>
      <c r="M423" s="181"/>
      <c r="N423" s="163" t="str">
        <f t="shared" si="31"/>
        <v/>
      </c>
      <c r="O423" s="126" t="str">
        <f t="shared" si="32"/>
        <v>-</v>
      </c>
      <c r="P423" s="164"/>
      <c r="Q423" s="164"/>
      <c r="R423" s="164"/>
      <c r="S423" s="164"/>
      <c r="T423" s="164"/>
      <c r="U423" s="164"/>
      <c r="V423" s="165"/>
    </row>
    <row r="424" spans="1:25" ht="27" customHeight="1">
      <c r="A424" s="192" t="str">
        <f>IF(ISBLANK(C424)," ",419-COUNTBLANK($C$6:C424))</f>
        <v xml:space="preserve"> </v>
      </c>
      <c r="B424" s="178"/>
      <c r="C424" s="178"/>
      <c r="D424" s="193"/>
      <c r="E424" s="193"/>
      <c r="F424" s="180"/>
      <c r="G424" s="180"/>
      <c r="H424" s="180"/>
      <c r="I424" s="180"/>
      <c r="J424" s="180"/>
      <c r="K424" s="180"/>
      <c r="L424" s="180"/>
      <c r="M424" s="181"/>
      <c r="N424" s="163" t="str">
        <f t="shared" si="31"/>
        <v/>
      </c>
      <c r="O424" s="126" t="str">
        <f t="shared" si="32"/>
        <v>-</v>
      </c>
      <c r="P424" s="164"/>
      <c r="Q424" s="164"/>
      <c r="R424" s="164"/>
      <c r="S424" s="164"/>
      <c r="T424" s="164"/>
      <c r="U424" s="164"/>
      <c r="V424" s="166"/>
      <c r="W424" s="164"/>
      <c r="X424" s="164"/>
      <c r="Y424" s="164"/>
    </row>
    <row r="425" spans="1:25" ht="27" customHeight="1">
      <c r="A425" s="172" t="s">
        <v>44</v>
      </c>
      <c r="B425" s="173"/>
      <c r="C425" s="174"/>
      <c r="D425" s="194"/>
      <c r="E425" s="194">
        <f>SUM(E405:E424)</f>
        <v>0</v>
      </c>
      <c r="F425" s="176"/>
      <c r="G425" s="176"/>
      <c r="H425" s="176"/>
      <c r="I425" s="176"/>
      <c r="J425" s="176"/>
      <c r="K425" s="176"/>
      <c r="L425" s="176"/>
      <c r="M425" s="177"/>
      <c r="N425" s="163" t="str">
        <f t="shared" si="31"/>
        <v/>
      </c>
      <c r="O425" s="126"/>
      <c r="P425" s="164"/>
      <c r="Q425" s="164"/>
      <c r="R425" s="164"/>
      <c r="S425" s="164"/>
      <c r="T425" s="164"/>
      <c r="U425" s="164"/>
      <c r="V425" s="166"/>
      <c r="W425" s="164"/>
      <c r="X425" s="164"/>
      <c r="Y425" s="164"/>
    </row>
    <row r="426" spans="1:25" ht="27" customHeight="1">
      <c r="A426" s="187" t="str">
        <f>IF(ISBLANK(C426)," ",421-COUNTBLANK($C$6:C426))</f>
        <v xml:space="preserve"> </v>
      </c>
      <c r="B426" s="188"/>
      <c r="C426" s="188"/>
      <c r="D426" s="189"/>
      <c r="E426" s="189"/>
      <c r="F426" s="190"/>
      <c r="G426" s="190"/>
      <c r="H426" s="190"/>
      <c r="I426" s="190"/>
      <c r="J426" s="190"/>
      <c r="K426" s="190"/>
      <c r="L426" s="190"/>
      <c r="M426" s="191"/>
      <c r="N426" s="163" t="str">
        <f>CONCATENATE(C426,H426)</f>
        <v/>
      </c>
      <c r="O426" s="126" t="str">
        <f>IF(D426&gt;=E426,"-","ERR")</f>
        <v>-</v>
      </c>
      <c r="P426" s="164"/>
      <c r="Q426" s="164"/>
      <c r="R426" s="164"/>
      <c r="S426" s="164"/>
      <c r="T426" s="164"/>
      <c r="U426" s="164"/>
      <c r="V426" s="164"/>
    </row>
    <row r="427" spans="1:25" ht="27" customHeight="1">
      <c r="A427" s="192" t="str">
        <f>IF(ISBLANK(C427)," ",422-COUNTBLANK($C$6:C427))</f>
        <v xml:space="preserve"> </v>
      </c>
      <c r="B427" s="178"/>
      <c r="C427" s="178"/>
      <c r="D427" s="193"/>
      <c r="E427" s="193"/>
      <c r="F427" s="180"/>
      <c r="G427" s="180"/>
      <c r="H427" s="180"/>
      <c r="I427" s="180"/>
      <c r="J427" s="180"/>
      <c r="K427" s="180"/>
      <c r="L427" s="180"/>
      <c r="M427" s="181"/>
      <c r="N427" s="163" t="str">
        <f t="shared" ref="N427:N446" si="33">CONCATENATE(C427,H427)</f>
        <v/>
      </c>
      <c r="O427" s="126" t="str">
        <f t="shared" ref="O427:O445" si="34">IF(D427&gt;=E427,"-","ERR")</f>
        <v>-</v>
      </c>
      <c r="P427" s="164"/>
      <c r="Q427" s="164"/>
      <c r="R427" s="164"/>
      <c r="S427" s="164"/>
      <c r="T427" s="164"/>
      <c r="U427" s="164"/>
      <c r="V427" s="164"/>
    </row>
    <row r="428" spans="1:25" ht="27" customHeight="1">
      <c r="A428" s="192" t="str">
        <f>IF(ISBLANK(C428)," ",423-COUNTBLANK($C$6:C428))</f>
        <v xml:space="preserve"> </v>
      </c>
      <c r="B428" s="178"/>
      <c r="C428" s="178"/>
      <c r="D428" s="193"/>
      <c r="E428" s="193"/>
      <c r="F428" s="180"/>
      <c r="G428" s="180"/>
      <c r="H428" s="180"/>
      <c r="I428" s="180"/>
      <c r="J428" s="180"/>
      <c r="K428" s="180"/>
      <c r="L428" s="180"/>
      <c r="M428" s="181"/>
      <c r="N428" s="163" t="str">
        <f t="shared" si="33"/>
        <v/>
      </c>
      <c r="O428" s="126" t="str">
        <f t="shared" si="34"/>
        <v>-</v>
      </c>
      <c r="P428" s="164"/>
      <c r="Q428" s="164"/>
      <c r="R428" s="164"/>
      <c r="S428" s="164"/>
      <c r="T428" s="164"/>
      <c r="U428" s="164"/>
      <c r="V428" s="164"/>
    </row>
    <row r="429" spans="1:25" ht="27" customHeight="1">
      <c r="A429" s="192" t="str">
        <f>IF(ISBLANK(C429)," ",424-COUNTBLANK($C$6:C429))</f>
        <v xml:space="preserve"> </v>
      </c>
      <c r="B429" s="178"/>
      <c r="C429" s="178"/>
      <c r="D429" s="193"/>
      <c r="E429" s="193"/>
      <c r="F429" s="180"/>
      <c r="G429" s="180"/>
      <c r="H429" s="180"/>
      <c r="I429" s="180"/>
      <c r="J429" s="180"/>
      <c r="K429" s="180"/>
      <c r="L429" s="180"/>
      <c r="M429" s="181"/>
      <c r="N429" s="163" t="str">
        <f t="shared" si="33"/>
        <v/>
      </c>
      <c r="O429" s="126" t="str">
        <f t="shared" si="34"/>
        <v>-</v>
      </c>
      <c r="P429" s="164"/>
      <c r="Q429" s="164"/>
      <c r="R429" s="164"/>
      <c r="S429" s="164"/>
      <c r="T429" s="164"/>
      <c r="U429" s="164"/>
      <c r="V429" s="164"/>
    </row>
    <row r="430" spans="1:25" ht="27" customHeight="1">
      <c r="A430" s="192" t="str">
        <f>IF(ISBLANK(C430)," ",425-COUNTBLANK($C$6:C430))</f>
        <v xml:space="preserve"> </v>
      </c>
      <c r="B430" s="178"/>
      <c r="C430" s="178"/>
      <c r="D430" s="193"/>
      <c r="E430" s="193"/>
      <c r="F430" s="180"/>
      <c r="G430" s="180"/>
      <c r="H430" s="180"/>
      <c r="I430" s="180"/>
      <c r="J430" s="180"/>
      <c r="K430" s="180"/>
      <c r="L430" s="180"/>
      <c r="M430" s="181"/>
      <c r="N430" s="163" t="str">
        <f t="shared" si="33"/>
        <v/>
      </c>
      <c r="O430" s="126" t="str">
        <f t="shared" si="34"/>
        <v>-</v>
      </c>
      <c r="P430" s="164"/>
      <c r="Q430" s="164"/>
      <c r="R430" s="164"/>
      <c r="S430" s="164"/>
      <c r="T430" s="164"/>
      <c r="U430" s="164"/>
      <c r="V430" s="164"/>
    </row>
    <row r="431" spans="1:25" ht="27" customHeight="1">
      <c r="A431" s="192" t="str">
        <f>IF(ISBLANK(C431)," ",426-COUNTBLANK($C$6:C431))</f>
        <v xml:space="preserve"> </v>
      </c>
      <c r="B431" s="178"/>
      <c r="C431" s="178"/>
      <c r="D431" s="193"/>
      <c r="E431" s="193"/>
      <c r="F431" s="180"/>
      <c r="G431" s="180"/>
      <c r="H431" s="180"/>
      <c r="I431" s="180"/>
      <c r="J431" s="180"/>
      <c r="K431" s="180"/>
      <c r="L431" s="180"/>
      <c r="M431" s="181"/>
      <c r="N431" s="163" t="str">
        <f t="shared" si="33"/>
        <v/>
      </c>
      <c r="O431" s="126" t="str">
        <f t="shared" si="34"/>
        <v>-</v>
      </c>
      <c r="P431" s="164"/>
      <c r="Q431" s="164"/>
      <c r="R431" s="164"/>
      <c r="S431" s="164"/>
      <c r="T431" s="164"/>
      <c r="U431" s="164"/>
      <c r="V431" s="164"/>
    </row>
    <row r="432" spans="1:25" ht="27" customHeight="1">
      <c r="A432" s="192" t="str">
        <f>IF(ISBLANK(C432)," ",427-COUNTBLANK($C$6:C432))</f>
        <v xml:space="preserve"> </v>
      </c>
      <c r="B432" s="178"/>
      <c r="C432" s="178"/>
      <c r="D432" s="193"/>
      <c r="E432" s="193"/>
      <c r="F432" s="180"/>
      <c r="G432" s="180"/>
      <c r="H432" s="180"/>
      <c r="I432" s="180"/>
      <c r="J432" s="180"/>
      <c r="K432" s="180"/>
      <c r="L432" s="180"/>
      <c r="M432" s="181"/>
      <c r="N432" s="163" t="str">
        <f t="shared" si="33"/>
        <v/>
      </c>
      <c r="O432" s="126" t="str">
        <f t="shared" si="34"/>
        <v>-</v>
      </c>
      <c r="P432" s="164"/>
      <c r="Q432" s="164"/>
      <c r="R432" s="164"/>
      <c r="S432" s="164"/>
      <c r="T432" s="164"/>
      <c r="U432" s="164"/>
      <c r="V432" s="164"/>
    </row>
    <row r="433" spans="1:25" ht="27" customHeight="1">
      <c r="A433" s="192" t="str">
        <f>IF(ISBLANK(C433)," ",428-COUNTBLANK($C$6:C433))</f>
        <v xml:space="preserve"> </v>
      </c>
      <c r="B433" s="178"/>
      <c r="C433" s="178"/>
      <c r="D433" s="193"/>
      <c r="E433" s="193"/>
      <c r="F433" s="180"/>
      <c r="G433" s="180"/>
      <c r="H433" s="180"/>
      <c r="I433" s="180"/>
      <c r="J433" s="180"/>
      <c r="K433" s="180"/>
      <c r="L433" s="180"/>
      <c r="M433" s="181"/>
      <c r="N433" s="163" t="str">
        <f t="shared" si="33"/>
        <v/>
      </c>
      <c r="O433" s="126" t="str">
        <f t="shared" si="34"/>
        <v>-</v>
      </c>
      <c r="P433" s="164"/>
      <c r="Q433" s="164"/>
      <c r="R433" s="164"/>
      <c r="S433" s="164"/>
      <c r="T433" s="164"/>
      <c r="U433" s="164"/>
      <c r="V433" s="164"/>
    </row>
    <row r="434" spans="1:25" ht="27" customHeight="1">
      <c r="A434" s="192" t="str">
        <f>IF(ISBLANK(C434)," ",429-COUNTBLANK($C$6:C434))</f>
        <v xml:space="preserve"> </v>
      </c>
      <c r="B434" s="178"/>
      <c r="C434" s="178"/>
      <c r="D434" s="193"/>
      <c r="E434" s="193"/>
      <c r="F434" s="180"/>
      <c r="G434" s="180"/>
      <c r="H434" s="180"/>
      <c r="I434" s="180"/>
      <c r="J434" s="180"/>
      <c r="K434" s="180"/>
      <c r="L434" s="180"/>
      <c r="M434" s="181"/>
      <c r="N434" s="163" t="str">
        <f t="shared" si="33"/>
        <v/>
      </c>
      <c r="O434" s="126" t="str">
        <f t="shared" si="34"/>
        <v>-</v>
      </c>
      <c r="P434" s="164"/>
      <c r="Q434" s="164"/>
      <c r="R434" s="164"/>
      <c r="S434" s="164"/>
      <c r="T434" s="164"/>
      <c r="U434" s="164"/>
      <c r="V434" s="164"/>
    </row>
    <row r="435" spans="1:25" ht="27" customHeight="1">
      <c r="A435" s="192" t="str">
        <f>IF(ISBLANK(C435)," ",430-COUNTBLANK($C$6:C435))</f>
        <v xml:space="preserve"> </v>
      </c>
      <c r="B435" s="178"/>
      <c r="C435" s="178"/>
      <c r="D435" s="193"/>
      <c r="E435" s="193"/>
      <c r="F435" s="180"/>
      <c r="G435" s="180"/>
      <c r="H435" s="180"/>
      <c r="I435" s="180"/>
      <c r="J435" s="180"/>
      <c r="K435" s="180"/>
      <c r="L435" s="180"/>
      <c r="M435" s="181"/>
      <c r="N435" s="163" t="str">
        <f t="shared" si="33"/>
        <v/>
      </c>
      <c r="O435" s="126" t="str">
        <f t="shared" si="34"/>
        <v>-</v>
      </c>
      <c r="P435" s="164"/>
      <c r="Q435" s="164"/>
      <c r="R435" s="164"/>
      <c r="S435" s="164"/>
      <c r="T435" s="164"/>
      <c r="U435" s="164"/>
      <c r="V435" s="164"/>
    </row>
    <row r="436" spans="1:25" ht="27" customHeight="1">
      <c r="A436" s="192" t="str">
        <f>IF(ISBLANK(C436)," ",431-COUNTBLANK($C$6:C436))</f>
        <v xml:space="preserve"> </v>
      </c>
      <c r="B436" s="178"/>
      <c r="C436" s="178"/>
      <c r="D436" s="193"/>
      <c r="E436" s="193"/>
      <c r="F436" s="180"/>
      <c r="G436" s="180"/>
      <c r="H436" s="180"/>
      <c r="I436" s="180"/>
      <c r="J436" s="180"/>
      <c r="K436" s="180"/>
      <c r="L436" s="180"/>
      <c r="M436" s="181"/>
      <c r="N436" s="163" t="str">
        <f t="shared" si="33"/>
        <v/>
      </c>
      <c r="O436" s="126" t="str">
        <f t="shared" si="34"/>
        <v>-</v>
      </c>
      <c r="P436" s="164"/>
      <c r="Q436" s="164"/>
      <c r="R436" s="164"/>
      <c r="S436" s="164"/>
      <c r="T436" s="164"/>
      <c r="U436" s="164"/>
      <c r="V436" s="164"/>
    </row>
    <row r="437" spans="1:25" ht="27" customHeight="1">
      <c r="A437" s="192" t="str">
        <f>IF(ISBLANK(C437)," ",432-COUNTBLANK($C$6:C437))</f>
        <v xml:space="preserve"> </v>
      </c>
      <c r="B437" s="178"/>
      <c r="C437" s="178"/>
      <c r="D437" s="193"/>
      <c r="E437" s="193"/>
      <c r="F437" s="180"/>
      <c r="G437" s="180"/>
      <c r="H437" s="180"/>
      <c r="I437" s="180"/>
      <c r="J437" s="180"/>
      <c r="K437" s="180"/>
      <c r="L437" s="180"/>
      <c r="M437" s="181"/>
      <c r="N437" s="163" t="str">
        <f t="shared" si="33"/>
        <v/>
      </c>
      <c r="O437" s="126" t="str">
        <f t="shared" si="34"/>
        <v>-</v>
      </c>
      <c r="P437" s="164"/>
      <c r="Q437" s="164"/>
      <c r="R437" s="164"/>
      <c r="S437" s="164"/>
      <c r="T437" s="164"/>
      <c r="U437" s="164"/>
      <c r="V437" s="164"/>
    </row>
    <row r="438" spans="1:25" ht="27" customHeight="1">
      <c r="A438" s="192" t="str">
        <f>IF(ISBLANK(C438)," ",433-COUNTBLANK($C$6:C438))</f>
        <v xml:space="preserve"> </v>
      </c>
      <c r="B438" s="178"/>
      <c r="C438" s="178"/>
      <c r="D438" s="193"/>
      <c r="E438" s="193"/>
      <c r="F438" s="180"/>
      <c r="G438" s="180"/>
      <c r="H438" s="180"/>
      <c r="I438" s="180"/>
      <c r="J438" s="180"/>
      <c r="K438" s="180"/>
      <c r="L438" s="180"/>
      <c r="M438" s="181"/>
      <c r="N438" s="163" t="str">
        <f t="shared" si="33"/>
        <v/>
      </c>
      <c r="O438" s="126" t="str">
        <f t="shared" si="34"/>
        <v>-</v>
      </c>
      <c r="P438" s="164"/>
      <c r="Q438" s="164"/>
      <c r="R438" s="164"/>
      <c r="S438" s="164"/>
      <c r="T438" s="164"/>
      <c r="U438" s="164"/>
      <c r="V438" s="164"/>
    </row>
    <row r="439" spans="1:25" ht="27" customHeight="1">
      <c r="A439" s="192" t="str">
        <f>IF(ISBLANK(C439)," ",434-COUNTBLANK($C$6:C439))</f>
        <v xml:space="preserve"> </v>
      </c>
      <c r="B439" s="178"/>
      <c r="C439" s="178"/>
      <c r="D439" s="193"/>
      <c r="E439" s="193"/>
      <c r="F439" s="180"/>
      <c r="G439" s="180"/>
      <c r="H439" s="180"/>
      <c r="I439" s="180"/>
      <c r="J439" s="180"/>
      <c r="K439" s="180"/>
      <c r="L439" s="180"/>
      <c r="M439" s="181"/>
      <c r="N439" s="163" t="str">
        <f t="shared" si="33"/>
        <v/>
      </c>
      <c r="O439" s="126" t="str">
        <f t="shared" si="34"/>
        <v>-</v>
      </c>
      <c r="P439" s="164"/>
      <c r="Q439" s="164"/>
      <c r="R439" s="164"/>
      <c r="S439" s="164"/>
      <c r="T439" s="164"/>
      <c r="U439" s="164"/>
      <c r="V439" s="164"/>
    </row>
    <row r="440" spans="1:25" ht="27" customHeight="1">
      <c r="A440" s="192" t="str">
        <f>IF(ISBLANK(C440)," ",435-COUNTBLANK($C$6:C440))</f>
        <v xml:space="preserve"> </v>
      </c>
      <c r="B440" s="178"/>
      <c r="C440" s="178"/>
      <c r="D440" s="193"/>
      <c r="E440" s="193"/>
      <c r="F440" s="180"/>
      <c r="G440" s="180"/>
      <c r="H440" s="180"/>
      <c r="I440" s="180"/>
      <c r="J440" s="180"/>
      <c r="K440" s="180"/>
      <c r="L440" s="180"/>
      <c r="M440" s="181"/>
      <c r="N440" s="163" t="str">
        <f t="shared" si="33"/>
        <v/>
      </c>
      <c r="O440" s="126" t="str">
        <f t="shared" si="34"/>
        <v>-</v>
      </c>
      <c r="P440" s="164"/>
      <c r="Q440" s="164"/>
      <c r="R440" s="164"/>
      <c r="S440" s="164"/>
      <c r="T440" s="164"/>
      <c r="U440" s="164"/>
      <c r="V440" s="164"/>
    </row>
    <row r="441" spans="1:25" ht="27" customHeight="1">
      <c r="A441" s="192" t="str">
        <f>IF(ISBLANK(C441)," ",436-COUNTBLANK($C$6:C441))</f>
        <v xml:space="preserve"> </v>
      </c>
      <c r="B441" s="178"/>
      <c r="C441" s="178"/>
      <c r="D441" s="193"/>
      <c r="E441" s="193"/>
      <c r="F441" s="180"/>
      <c r="G441" s="180"/>
      <c r="H441" s="180"/>
      <c r="I441" s="180"/>
      <c r="J441" s="180"/>
      <c r="K441" s="180"/>
      <c r="L441" s="180"/>
      <c r="M441" s="181"/>
      <c r="N441" s="163" t="str">
        <f t="shared" si="33"/>
        <v/>
      </c>
      <c r="O441" s="126" t="str">
        <f t="shared" si="34"/>
        <v>-</v>
      </c>
      <c r="P441" s="164"/>
      <c r="Q441" s="164"/>
      <c r="R441" s="164"/>
      <c r="S441" s="164"/>
      <c r="T441" s="164"/>
      <c r="U441" s="164"/>
      <c r="V441" s="165"/>
    </row>
    <row r="442" spans="1:25" ht="27" customHeight="1">
      <c r="A442" s="192" t="str">
        <f>IF(ISBLANK(C442)," ",437-COUNTBLANK($C$6:C442))</f>
        <v xml:space="preserve"> </v>
      </c>
      <c r="B442" s="178"/>
      <c r="C442" s="178"/>
      <c r="D442" s="193"/>
      <c r="E442" s="193"/>
      <c r="F442" s="180"/>
      <c r="G442" s="180"/>
      <c r="H442" s="180"/>
      <c r="I442" s="180"/>
      <c r="J442" s="180"/>
      <c r="K442" s="180"/>
      <c r="L442" s="180"/>
      <c r="M442" s="181"/>
      <c r="N442" s="163" t="str">
        <f t="shared" si="33"/>
        <v/>
      </c>
      <c r="O442" s="126" t="str">
        <f t="shared" si="34"/>
        <v>-</v>
      </c>
      <c r="P442" s="164"/>
      <c r="Q442" s="164"/>
      <c r="R442" s="164"/>
      <c r="S442" s="164"/>
      <c r="T442" s="164"/>
      <c r="U442" s="164"/>
      <c r="V442" s="165"/>
    </row>
    <row r="443" spans="1:25" ht="27" customHeight="1">
      <c r="A443" s="192" t="str">
        <f>IF(ISBLANK(C443)," ",438-COUNTBLANK($C$6:C443))</f>
        <v xml:space="preserve"> </v>
      </c>
      <c r="B443" s="178"/>
      <c r="C443" s="178"/>
      <c r="D443" s="193"/>
      <c r="E443" s="193"/>
      <c r="F443" s="180"/>
      <c r="G443" s="180"/>
      <c r="H443" s="180"/>
      <c r="I443" s="180"/>
      <c r="J443" s="180"/>
      <c r="K443" s="180"/>
      <c r="L443" s="180"/>
      <c r="M443" s="181"/>
      <c r="N443" s="163" t="str">
        <f t="shared" si="33"/>
        <v/>
      </c>
      <c r="O443" s="126" t="str">
        <f t="shared" si="34"/>
        <v>-</v>
      </c>
      <c r="P443" s="164"/>
      <c r="Q443" s="164"/>
      <c r="R443" s="164"/>
      <c r="S443" s="164"/>
      <c r="T443" s="164"/>
      <c r="U443" s="164"/>
      <c r="V443" s="165"/>
    </row>
    <row r="444" spans="1:25" ht="27" customHeight="1">
      <c r="A444" s="192" t="str">
        <f>IF(ISBLANK(C444)," ",439-COUNTBLANK($C$6:C444))</f>
        <v xml:space="preserve"> </v>
      </c>
      <c r="B444" s="178"/>
      <c r="C444" s="178"/>
      <c r="D444" s="193"/>
      <c r="E444" s="193"/>
      <c r="F444" s="180"/>
      <c r="G444" s="180"/>
      <c r="H444" s="180"/>
      <c r="I444" s="180"/>
      <c r="J444" s="180"/>
      <c r="K444" s="180"/>
      <c r="L444" s="180"/>
      <c r="M444" s="181"/>
      <c r="N444" s="163" t="str">
        <f t="shared" si="33"/>
        <v/>
      </c>
      <c r="O444" s="126" t="str">
        <f t="shared" si="34"/>
        <v>-</v>
      </c>
      <c r="P444" s="164"/>
      <c r="Q444" s="164"/>
      <c r="R444" s="164"/>
      <c r="S444" s="164"/>
      <c r="T444" s="164"/>
      <c r="U444" s="164"/>
      <c r="V444" s="165"/>
    </row>
    <row r="445" spans="1:25" ht="27" customHeight="1">
      <c r="A445" s="192" t="str">
        <f>IF(ISBLANK(C445)," ",440-COUNTBLANK($C$6:C445))</f>
        <v xml:space="preserve"> </v>
      </c>
      <c r="B445" s="178"/>
      <c r="C445" s="178"/>
      <c r="D445" s="193"/>
      <c r="E445" s="193"/>
      <c r="F445" s="180"/>
      <c r="G445" s="180"/>
      <c r="H445" s="180"/>
      <c r="I445" s="180"/>
      <c r="J445" s="180"/>
      <c r="K445" s="180"/>
      <c r="L445" s="180"/>
      <c r="M445" s="181"/>
      <c r="N445" s="163" t="str">
        <f t="shared" si="33"/>
        <v/>
      </c>
      <c r="O445" s="126" t="str">
        <f t="shared" si="34"/>
        <v>-</v>
      </c>
      <c r="P445" s="164"/>
      <c r="Q445" s="164"/>
      <c r="R445" s="164"/>
      <c r="S445" s="164"/>
      <c r="T445" s="164"/>
      <c r="U445" s="164"/>
      <c r="V445" s="166"/>
      <c r="W445" s="164"/>
      <c r="X445" s="164"/>
      <c r="Y445" s="164"/>
    </row>
    <row r="446" spans="1:25" ht="27" customHeight="1">
      <c r="A446" s="172" t="s">
        <v>44</v>
      </c>
      <c r="B446" s="173"/>
      <c r="C446" s="174"/>
      <c r="D446" s="194"/>
      <c r="E446" s="194">
        <f>SUM(E426:E445)</f>
        <v>0</v>
      </c>
      <c r="F446" s="176"/>
      <c r="G446" s="176"/>
      <c r="H446" s="176"/>
      <c r="I446" s="176"/>
      <c r="J446" s="176"/>
      <c r="K446" s="176"/>
      <c r="L446" s="176"/>
      <c r="M446" s="177"/>
      <c r="N446" s="163" t="str">
        <f t="shared" si="33"/>
        <v/>
      </c>
      <c r="O446" s="126"/>
      <c r="P446" s="164"/>
      <c r="Q446" s="164"/>
      <c r="R446" s="164"/>
      <c r="S446" s="164"/>
      <c r="T446" s="164"/>
      <c r="U446" s="164"/>
      <c r="V446" s="166"/>
      <c r="W446" s="164"/>
      <c r="X446" s="164"/>
      <c r="Y446" s="164"/>
    </row>
    <row r="447" spans="1:25" ht="27" customHeight="1">
      <c r="A447" s="187" t="str">
        <f>IF(ISBLANK(C447)," ",442-COUNTBLANK($C$6:C447))</f>
        <v xml:space="preserve"> </v>
      </c>
      <c r="B447" s="188"/>
      <c r="C447" s="188"/>
      <c r="D447" s="189"/>
      <c r="E447" s="189"/>
      <c r="F447" s="190"/>
      <c r="G447" s="190"/>
      <c r="H447" s="190"/>
      <c r="I447" s="190"/>
      <c r="J447" s="190"/>
      <c r="K447" s="190"/>
      <c r="L447" s="190"/>
      <c r="M447" s="191"/>
      <c r="N447" s="163" t="str">
        <f>CONCATENATE(C447,H447)</f>
        <v/>
      </c>
      <c r="O447" s="126" t="str">
        <f>IF(D447&gt;=E447,"-","ERR")</f>
        <v>-</v>
      </c>
      <c r="P447" s="164"/>
      <c r="Q447" s="164"/>
      <c r="R447" s="164"/>
      <c r="S447" s="164"/>
      <c r="T447" s="164"/>
      <c r="U447" s="164"/>
      <c r="V447" s="164"/>
    </row>
    <row r="448" spans="1:25" ht="27" customHeight="1">
      <c r="A448" s="192" t="str">
        <f>IF(ISBLANK(C448)," ",443-COUNTBLANK($C$6:C448))</f>
        <v xml:space="preserve"> </v>
      </c>
      <c r="B448" s="178"/>
      <c r="C448" s="178"/>
      <c r="D448" s="193"/>
      <c r="E448" s="193"/>
      <c r="F448" s="180"/>
      <c r="G448" s="180"/>
      <c r="H448" s="180"/>
      <c r="I448" s="180"/>
      <c r="J448" s="180"/>
      <c r="K448" s="180"/>
      <c r="L448" s="180"/>
      <c r="M448" s="181"/>
      <c r="N448" s="163" t="str">
        <f t="shared" ref="N448:N467" si="35">CONCATENATE(C448,H448)</f>
        <v/>
      </c>
      <c r="O448" s="126" t="str">
        <f t="shared" ref="O448:O466" si="36">IF(D448&gt;=E448,"-","ERR")</f>
        <v>-</v>
      </c>
      <c r="P448" s="164"/>
      <c r="Q448" s="164"/>
      <c r="R448" s="164"/>
      <c r="S448" s="164"/>
      <c r="T448" s="164"/>
      <c r="U448" s="164"/>
      <c r="V448" s="164"/>
    </row>
    <row r="449" spans="1:22" ht="27" customHeight="1">
      <c r="A449" s="192" t="str">
        <f>IF(ISBLANK(C449)," ",444-COUNTBLANK($C$6:C449))</f>
        <v xml:space="preserve"> </v>
      </c>
      <c r="B449" s="178"/>
      <c r="C449" s="178"/>
      <c r="D449" s="193"/>
      <c r="E449" s="193"/>
      <c r="F449" s="180"/>
      <c r="G449" s="180"/>
      <c r="H449" s="180"/>
      <c r="I449" s="180"/>
      <c r="J449" s="180"/>
      <c r="K449" s="180"/>
      <c r="L449" s="180"/>
      <c r="M449" s="181"/>
      <c r="N449" s="163" t="str">
        <f t="shared" si="35"/>
        <v/>
      </c>
      <c r="O449" s="126" t="str">
        <f t="shared" si="36"/>
        <v>-</v>
      </c>
      <c r="P449" s="164"/>
      <c r="Q449" s="164"/>
      <c r="R449" s="164"/>
      <c r="S449" s="164"/>
      <c r="T449" s="164"/>
      <c r="U449" s="164"/>
      <c r="V449" s="164"/>
    </row>
    <row r="450" spans="1:22" ht="27" customHeight="1">
      <c r="A450" s="192" t="str">
        <f>IF(ISBLANK(C450)," ",445-COUNTBLANK($C$6:C450))</f>
        <v xml:space="preserve"> </v>
      </c>
      <c r="B450" s="178"/>
      <c r="C450" s="178"/>
      <c r="D450" s="193"/>
      <c r="E450" s="193"/>
      <c r="F450" s="180"/>
      <c r="G450" s="180"/>
      <c r="H450" s="180"/>
      <c r="I450" s="180"/>
      <c r="J450" s="180"/>
      <c r="K450" s="180"/>
      <c r="L450" s="180"/>
      <c r="M450" s="181"/>
      <c r="N450" s="163" t="str">
        <f t="shared" si="35"/>
        <v/>
      </c>
      <c r="O450" s="126" t="str">
        <f t="shared" si="36"/>
        <v>-</v>
      </c>
      <c r="P450" s="164"/>
      <c r="Q450" s="164"/>
      <c r="R450" s="164"/>
      <c r="S450" s="164"/>
      <c r="T450" s="164"/>
      <c r="U450" s="164"/>
      <c r="V450" s="164"/>
    </row>
    <row r="451" spans="1:22" ht="27" customHeight="1">
      <c r="A451" s="192" t="str">
        <f>IF(ISBLANK(C451)," ",446-COUNTBLANK($C$6:C451))</f>
        <v xml:space="preserve"> </v>
      </c>
      <c r="B451" s="178"/>
      <c r="C451" s="178"/>
      <c r="D451" s="193"/>
      <c r="E451" s="193"/>
      <c r="F451" s="180"/>
      <c r="G451" s="180"/>
      <c r="H451" s="180"/>
      <c r="I451" s="180"/>
      <c r="J451" s="180"/>
      <c r="K451" s="180"/>
      <c r="L451" s="180"/>
      <c r="M451" s="181"/>
      <c r="N451" s="163" t="str">
        <f t="shared" si="35"/>
        <v/>
      </c>
      <c r="O451" s="126" t="str">
        <f t="shared" si="36"/>
        <v>-</v>
      </c>
      <c r="P451" s="164"/>
      <c r="Q451" s="164"/>
      <c r="R451" s="164"/>
      <c r="S451" s="164"/>
      <c r="T451" s="164"/>
      <c r="U451" s="164"/>
      <c r="V451" s="164"/>
    </row>
    <row r="452" spans="1:22" ht="27" customHeight="1">
      <c r="A452" s="192" t="str">
        <f>IF(ISBLANK(C452)," ",447-COUNTBLANK($C$6:C452))</f>
        <v xml:space="preserve"> </v>
      </c>
      <c r="B452" s="178"/>
      <c r="C452" s="178"/>
      <c r="D452" s="193"/>
      <c r="E452" s="193"/>
      <c r="F452" s="180"/>
      <c r="G452" s="180"/>
      <c r="H452" s="180"/>
      <c r="I452" s="180"/>
      <c r="J452" s="180"/>
      <c r="K452" s="180"/>
      <c r="L452" s="180"/>
      <c r="M452" s="181"/>
      <c r="N452" s="163" t="str">
        <f t="shared" si="35"/>
        <v/>
      </c>
      <c r="O452" s="126" t="str">
        <f t="shared" si="36"/>
        <v>-</v>
      </c>
      <c r="P452" s="164"/>
      <c r="Q452" s="164"/>
      <c r="R452" s="164"/>
      <c r="S452" s="164"/>
      <c r="T452" s="164"/>
      <c r="U452" s="164"/>
      <c r="V452" s="164"/>
    </row>
    <row r="453" spans="1:22" ht="27" customHeight="1">
      <c r="A453" s="192" t="str">
        <f>IF(ISBLANK(C453)," ",448-COUNTBLANK($C$6:C453))</f>
        <v xml:space="preserve"> </v>
      </c>
      <c r="B453" s="178"/>
      <c r="C453" s="178"/>
      <c r="D453" s="193"/>
      <c r="E453" s="193"/>
      <c r="F453" s="180"/>
      <c r="G453" s="180"/>
      <c r="H453" s="180"/>
      <c r="I453" s="180"/>
      <c r="J453" s="180"/>
      <c r="K453" s="180"/>
      <c r="L453" s="180"/>
      <c r="M453" s="181"/>
      <c r="N453" s="163" t="str">
        <f t="shared" si="35"/>
        <v/>
      </c>
      <c r="O453" s="126" t="str">
        <f t="shared" si="36"/>
        <v>-</v>
      </c>
      <c r="P453" s="164"/>
      <c r="Q453" s="164"/>
      <c r="R453" s="164"/>
      <c r="S453" s="164"/>
      <c r="T453" s="164"/>
      <c r="U453" s="164"/>
      <c r="V453" s="164"/>
    </row>
    <row r="454" spans="1:22" ht="27" customHeight="1">
      <c r="A454" s="192" t="str">
        <f>IF(ISBLANK(C454)," ",449-COUNTBLANK($C$6:C454))</f>
        <v xml:space="preserve"> </v>
      </c>
      <c r="B454" s="178"/>
      <c r="C454" s="178"/>
      <c r="D454" s="193"/>
      <c r="E454" s="193"/>
      <c r="F454" s="180"/>
      <c r="G454" s="180"/>
      <c r="H454" s="180"/>
      <c r="I454" s="180"/>
      <c r="J454" s="180"/>
      <c r="K454" s="180"/>
      <c r="L454" s="180"/>
      <c r="M454" s="181"/>
      <c r="N454" s="163" t="str">
        <f t="shared" si="35"/>
        <v/>
      </c>
      <c r="O454" s="126" t="str">
        <f t="shared" si="36"/>
        <v>-</v>
      </c>
      <c r="P454" s="164"/>
      <c r="Q454" s="164"/>
      <c r="R454" s="164"/>
      <c r="S454" s="164"/>
      <c r="T454" s="164"/>
      <c r="U454" s="164"/>
      <c r="V454" s="164"/>
    </row>
    <row r="455" spans="1:22" ht="27" customHeight="1">
      <c r="A455" s="192" t="str">
        <f>IF(ISBLANK(C455)," ",450-COUNTBLANK($C$6:C455))</f>
        <v xml:space="preserve"> </v>
      </c>
      <c r="B455" s="178"/>
      <c r="C455" s="178"/>
      <c r="D455" s="193"/>
      <c r="E455" s="193"/>
      <c r="F455" s="180"/>
      <c r="G455" s="180"/>
      <c r="H455" s="180"/>
      <c r="I455" s="180"/>
      <c r="J455" s="180"/>
      <c r="K455" s="180"/>
      <c r="L455" s="180"/>
      <c r="M455" s="181"/>
      <c r="N455" s="163" t="str">
        <f t="shared" si="35"/>
        <v/>
      </c>
      <c r="O455" s="126" t="str">
        <f t="shared" si="36"/>
        <v>-</v>
      </c>
      <c r="P455" s="164"/>
      <c r="Q455" s="164"/>
      <c r="R455" s="164"/>
      <c r="S455" s="164"/>
      <c r="T455" s="164"/>
      <c r="U455" s="164"/>
      <c r="V455" s="164"/>
    </row>
    <row r="456" spans="1:22" ht="27" customHeight="1">
      <c r="A456" s="192" t="str">
        <f>IF(ISBLANK(C456)," ",451-COUNTBLANK($C$6:C456))</f>
        <v xml:space="preserve"> </v>
      </c>
      <c r="B456" s="178"/>
      <c r="C456" s="178"/>
      <c r="D456" s="193"/>
      <c r="E456" s="193"/>
      <c r="F456" s="180"/>
      <c r="G456" s="180"/>
      <c r="H456" s="180"/>
      <c r="I456" s="180"/>
      <c r="J456" s="180"/>
      <c r="K456" s="180"/>
      <c r="L456" s="180"/>
      <c r="M456" s="181"/>
      <c r="N456" s="163" t="str">
        <f t="shared" si="35"/>
        <v/>
      </c>
      <c r="O456" s="126" t="str">
        <f t="shared" si="36"/>
        <v>-</v>
      </c>
      <c r="P456" s="164"/>
      <c r="Q456" s="164"/>
      <c r="R456" s="164"/>
      <c r="S456" s="164"/>
      <c r="T456" s="164"/>
      <c r="U456" s="164"/>
      <c r="V456" s="164"/>
    </row>
    <row r="457" spans="1:22" ht="27" customHeight="1">
      <c r="A457" s="192" t="str">
        <f>IF(ISBLANK(C457)," ",452-COUNTBLANK($C$6:C457))</f>
        <v xml:space="preserve"> </v>
      </c>
      <c r="B457" s="178"/>
      <c r="C457" s="178"/>
      <c r="D457" s="193"/>
      <c r="E457" s="193"/>
      <c r="F457" s="180"/>
      <c r="G457" s="180"/>
      <c r="H457" s="180"/>
      <c r="I457" s="180"/>
      <c r="J457" s="180"/>
      <c r="K457" s="180"/>
      <c r="L457" s="180"/>
      <c r="M457" s="181"/>
      <c r="N457" s="163" t="str">
        <f t="shared" si="35"/>
        <v/>
      </c>
      <c r="O457" s="126" t="str">
        <f t="shared" si="36"/>
        <v>-</v>
      </c>
      <c r="P457" s="164"/>
      <c r="Q457" s="164"/>
      <c r="R457" s="164"/>
      <c r="S457" s="164"/>
      <c r="T457" s="164"/>
      <c r="U457" s="164"/>
      <c r="V457" s="164"/>
    </row>
    <row r="458" spans="1:22" ht="27" customHeight="1">
      <c r="A458" s="192" t="str">
        <f>IF(ISBLANK(C458)," ",453-COUNTBLANK($C$6:C458))</f>
        <v xml:space="preserve"> </v>
      </c>
      <c r="B458" s="178"/>
      <c r="C458" s="178"/>
      <c r="D458" s="193"/>
      <c r="E458" s="193"/>
      <c r="F458" s="180"/>
      <c r="G458" s="180"/>
      <c r="H458" s="180"/>
      <c r="I458" s="180"/>
      <c r="J458" s="180"/>
      <c r="K458" s="180"/>
      <c r="L458" s="180"/>
      <c r="M458" s="181"/>
      <c r="N458" s="163" t="str">
        <f t="shared" si="35"/>
        <v/>
      </c>
      <c r="O458" s="126" t="str">
        <f t="shared" si="36"/>
        <v>-</v>
      </c>
      <c r="P458" s="164"/>
      <c r="Q458" s="164"/>
      <c r="R458" s="164"/>
      <c r="S458" s="164"/>
      <c r="T458" s="164"/>
      <c r="U458" s="164"/>
      <c r="V458" s="164"/>
    </row>
    <row r="459" spans="1:22" ht="27" customHeight="1">
      <c r="A459" s="192" t="str">
        <f>IF(ISBLANK(C459)," ",454-COUNTBLANK($C$6:C459))</f>
        <v xml:space="preserve"> </v>
      </c>
      <c r="B459" s="178"/>
      <c r="C459" s="178"/>
      <c r="D459" s="193"/>
      <c r="E459" s="193"/>
      <c r="F459" s="180"/>
      <c r="G459" s="180"/>
      <c r="H459" s="180"/>
      <c r="I459" s="180"/>
      <c r="J459" s="180"/>
      <c r="K459" s="180"/>
      <c r="L459" s="180"/>
      <c r="M459" s="181"/>
      <c r="N459" s="163" t="str">
        <f t="shared" si="35"/>
        <v/>
      </c>
      <c r="O459" s="126" t="str">
        <f t="shared" si="36"/>
        <v>-</v>
      </c>
      <c r="P459" s="164"/>
      <c r="Q459" s="164"/>
      <c r="R459" s="164"/>
      <c r="S459" s="164"/>
      <c r="T459" s="164"/>
      <c r="U459" s="164"/>
      <c r="V459" s="164"/>
    </row>
    <row r="460" spans="1:22" ht="27" customHeight="1">
      <c r="A460" s="192" t="str">
        <f>IF(ISBLANK(C460)," ",455-COUNTBLANK($C$6:C460))</f>
        <v xml:space="preserve"> </v>
      </c>
      <c r="B460" s="178"/>
      <c r="C460" s="178"/>
      <c r="D460" s="193"/>
      <c r="E460" s="193"/>
      <c r="F460" s="180"/>
      <c r="G460" s="180"/>
      <c r="H460" s="180"/>
      <c r="I460" s="180"/>
      <c r="J460" s="180"/>
      <c r="K460" s="180"/>
      <c r="L460" s="180"/>
      <c r="M460" s="181"/>
      <c r="N460" s="163" t="str">
        <f t="shared" si="35"/>
        <v/>
      </c>
      <c r="O460" s="126" t="str">
        <f t="shared" si="36"/>
        <v>-</v>
      </c>
      <c r="P460" s="164"/>
      <c r="Q460" s="164"/>
      <c r="R460" s="164"/>
      <c r="S460" s="164"/>
      <c r="T460" s="164"/>
      <c r="U460" s="164"/>
      <c r="V460" s="164"/>
    </row>
    <row r="461" spans="1:22" ht="27" customHeight="1">
      <c r="A461" s="192" t="str">
        <f>IF(ISBLANK(C461)," ",456-COUNTBLANK($C$6:C461))</f>
        <v xml:space="preserve"> </v>
      </c>
      <c r="B461" s="178"/>
      <c r="C461" s="178"/>
      <c r="D461" s="193"/>
      <c r="E461" s="193"/>
      <c r="F461" s="180"/>
      <c r="G461" s="180"/>
      <c r="H461" s="180"/>
      <c r="I461" s="180"/>
      <c r="J461" s="180"/>
      <c r="K461" s="180"/>
      <c r="L461" s="180"/>
      <c r="M461" s="181"/>
      <c r="N461" s="163" t="str">
        <f t="shared" si="35"/>
        <v/>
      </c>
      <c r="O461" s="126" t="str">
        <f t="shared" si="36"/>
        <v>-</v>
      </c>
      <c r="P461" s="164"/>
      <c r="Q461" s="164"/>
      <c r="R461" s="164"/>
      <c r="S461" s="164"/>
      <c r="T461" s="164"/>
      <c r="U461" s="164"/>
      <c r="V461" s="164"/>
    </row>
    <row r="462" spans="1:22" ht="27" customHeight="1">
      <c r="A462" s="192" t="str">
        <f>IF(ISBLANK(C462)," ",457-COUNTBLANK($C$6:C462))</f>
        <v xml:space="preserve"> </v>
      </c>
      <c r="B462" s="178"/>
      <c r="C462" s="178"/>
      <c r="D462" s="193"/>
      <c r="E462" s="193"/>
      <c r="F462" s="180"/>
      <c r="G462" s="180"/>
      <c r="H462" s="180"/>
      <c r="I462" s="180"/>
      <c r="J462" s="180"/>
      <c r="K462" s="180"/>
      <c r="L462" s="180"/>
      <c r="M462" s="181"/>
      <c r="N462" s="163" t="str">
        <f t="shared" si="35"/>
        <v/>
      </c>
      <c r="O462" s="126" t="str">
        <f t="shared" si="36"/>
        <v>-</v>
      </c>
      <c r="P462" s="164"/>
      <c r="Q462" s="164"/>
      <c r="R462" s="164"/>
      <c r="S462" s="164"/>
      <c r="T462" s="164"/>
      <c r="U462" s="164"/>
      <c r="V462" s="165"/>
    </row>
    <row r="463" spans="1:22" ht="27" customHeight="1">
      <c r="A463" s="192" t="str">
        <f>IF(ISBLANK(C463)," ",458-COUNTBLANK($C$6:C463))</f>
        <v xml:space="preserve"> </v>
      </c>
      <c r="B463" s="178"/>
      <c r="C463" s="178"/>
      <c r="D463" s="193"/>
      <c r="E463" s="193"/>
      <c r="F463" s="180"/>
      <c r="G463" s="180"/>
      <c r="H463" s="180"/>
      <c r="I463" s="180"/>
      <c r="J463" s="180"/>
      <c r="K463" s="180"/>
      <c r="L463" s="180"/>
      <c r="M463" s="181"/>
      <c r="N463" s="163" t="str">
        <f t="shared" si="35"/>
        <v/>
      </c>
      <c r="O463" s="126" t="str">
        <f t="shared" si="36"/>
        <v>-</v>
      </c>
      <c r="P463" s="164"/>
      <c r="Q463" s="164"/>
      <c r="R463" s="164"/>
      <c r="S463" s="164"/>
      <c r="T463" s="164"/>
      <c r="U463" s="164"/>
      <c r="V463" s="165"/>
    </row>
    <row r="464" spans="1:22" ht="27" customHeight="1">
      <c r="A464" s="192" t="str">
        <f>IF(ISBLANK(C464)," ",459-COUNTBLANK($C$6:C464))</f>
        <v xml:space="preserve"> </v>
      </c>
      <c r="B464" s="178"/>
      <c r="C464" s="178"/>
      <c r="D464" s="193"/>
      <c r="E464" s="193"/>
      <c r="F464" s="180"/>
      <c r="G464" s="180"/>
      <c r="H464" s="180"/>
      <c r="I464" s="180"/>
      <c r="J464" s="180"/>
      <c r="K464" s="180"/>
      <c r="L464" s="180"/>
      <c r="M464" s="181"/>
      <c r="N464" s="163" t="str">
        <f t="shared" si="35"/>
        <v/>
      </c>
      <c r="O464" s="126" t="str">
        <f t="shared" si="36"/>
        <v>-</v>
      </c>
      <c r="P464" s="164"/>
      <c r="Q464" s="164"/>
      <c r="R464" s="164"/>
      <c r="S464" s="164"/>
      <c r="T464" s="164"/>
      <c r="U464" s="164"/>
      <c r="V464" s="165"/>
    </row>
    <row r="465" spans="1:25" ht="27" customHeight="1">
      <c r="A465" s="192" t="str">
        <f>IF(ISBLANK(C465)," ",460-COUNTBLANK($C$6:C465))</f>
        <v xml:space="preserve"> </v>
      </c>
      <c r="B465" s="178"/>
      <c r="C465" s="178"/>
      <c r="D465" s="193"/>
      <c r="E465" s="193"/>
      <c r="F465" s="180"/>
      <c r="G465" s="180"/>
      <c r="H465" s="180"/>
      <c r="I465" s="180"/>
      <c r="J465" s="180"/>
      <c r="K465" s="180"/>
      <c r="L465" s="180"/>
      <c r="M465" s="181"/>
      <c r="N465" s="163" t="str">
        <f t="shared" si="35"/>
        <v/>
      </c>
      <c r="O465" s="126" t="str">
        <f t="shared" si="36"/>
        <v>-</v>
      </c>
      <c r="P465" s="164"/>
      <c r="Q465" s="164"/>
      <c r="R465" s="164"/>
      <c r="S465" s="164"/>
      <c r="T465" s="164"/>
      <c r="U465" s="164"/>
      <c r="V465" s="165"/>
    </row>
    <row r="466" spans="1:25" ht="27" customHeight="1">
      <c r="A466" s="192" t="str">
        <f>IF(ISBLANK(C466)," ",461-COUNTBLANK($C$6:C466))</f>
        <v xml:space="preserve"> </v>
      </c>
      <c r="B466" s="178"/>
      <c r="C466" s="178"/>
      <c r="D466" s="193"/>
      <c r="E466" s="193"/>
      <c r="F466" s="180"/>
      <c r="G466" s="180"/>
      <c r="H466" s="180"/>
      <c r="I466" s="180"/>
      <c r="J466" s="180"/>
      <c r="K466" s="180"/>
      <c r="L466" s="180"/>
      <c r="M466" s="181"/>
      <c r="N466" s="163" t="str">
        <f t="shared" si="35"/>
        <v/>
      </c>
      <c r="O466" s="126" t="str">
        <f t="shared" si="36"/>
        <v>-</v>
      </c>
      <c r="P466" s="164"/>
      <c r="Q466" s="164"/>
      <c r="R466" s="164"/>
      <c r="S466" s="164"/>
      <c r="T466" s="164"/>
      <c r="U466" s="164"/>
      <c r="V466" s="166"/>
      <c r="W466" s="164"/>
      <c r="X466" s="164"/>
      <c r="Y466" s="164"/>
    </row>
    <row r="467" spans="1:25" ht="27" customHeight="1">
      <c r="A467" s="172" t="s">
        <v>44</v>
      </c>
      <c r="B467" s="173"/>
      <c r="C467" s="174"/>
      <c r="D467" s="194"/>
      <c r="E467" s="194">
        <f>SUM(E447:E466)</f>
        <v>0</v>
      </c>
      <c r="F467" s="176"/>
      <c r="G467" s="176"/>
      <c r="H467" s="176"/>
      <c r="I467" s="176"/>
      <c r="J467" s="176"/>
      <c r="K467" s="176"/>
      <c r="L467" s="176"/>
      <c r="M467" s="177"/>
      <c r="N467" s="163" t="str">
        <f t="shared" si="35"/>
        <v/>
      </c>
      <c r="O467" s="126"/>
      <c r="P467" s="164"/>
      <c r="Q467" s="164"/>
      <c r="R467" s="164"/>
      <c r="S467" s="164"/>
      <c r="T467" s="164"/>
      <c r="U467" s="164"/>
      <c r="V467" s="166"/>
      <c r="W467" s="164"/>
      <c r="X467" s="164"/>
      <c r="Y467" s="164"/>
    </row>
    <row r="468" spans="1:25" ht="27" customHeight="1">
      <c r="A468" s="187" t="str">
        <f>IF(ISBLANK(C468)," ",463-COUNTBLANK($C$6:C468))</f>
        <v xml:space="preserve"> </v>
      </c>
      <c r="B468" s="188"/>
      <c r="C468" s="188"/>
      <c r="D468" s="189"/>
      <c r="E468" s="189"/>
      <c r="F468" s="190"/>
      <c r="G468" s="190"/>
      <c r="H468" s="190"/>
      <c r="I468" s="190"/>
      <c r="J468" s="190"/>
      <c r="K468" s="190"/>
      <c r="L468" s="190"/>
      <c r="M468" s="191"/>
      <c r="N468" s="163" t="str">
        <f>CONCATENATE(C468,H468)</f>
        <v/>
      </c>
      <c r="O468" s="126" t="str">
        <f>IF(D468&gt;=E468,"-","ERR")</f>
        <v>-</v>
      </c>
      <c r="P468" s="164"/>
      <c r="Q468" s="164"/>
      <c r="R468" s="164"/>
      <c r="S468" s="164"/>
      <c r="T468" s="164"/>
      <c r="U468" s="164"/>
      <c r="V468" s="164"/>
    </row>
    <row r="469" spans="1:25" ht="27" customHeight="1">
      <c r="A469" s="192" t="str">
        <f>IF(ISBLANK(C469)," ",464-COUNTBLANK($C$6:C469))</f>
        <v xml:space="preserve"> </v>
      </c>
      <c r="B469" s="178"/>
      <c r="C469" s="178"/>
      <c r="D469" s="193"/>
      <c r="E469" s="193"/>
      <c r="F469" s="180"/>
      <c r="G469" s="180"/>
      <c r="H469" s="180"/>
      <c r="I469" s="180"/>
      <c r="J469" s="180"/>
      <c r="K469" s="180"/>
      <c r="L469" s="180"/>
      <c r="M469" s="181"/>
      <c r="N469" s="163" t="str">
        <f t="shared" ref="N469:N488" si="37">CONCATENATE(C469,H469)</f>
        <v/>
      </c>
      <c r="O469" s="126" t="str">
        <f t="shared" ref="O469:O487" si="38">IF(D469&gt;=E469,"-","ERR")</f>
        <v>-</v>
      </c>
      <c r="P469" s="164"/>
      <c r="Q469" s="164"/>
      <c r="R469" s="164"/>
      <c r="S469" s="164"/>
      <c r="T469" s="164"/>
      <c r="U469" s="164"/>
      <c r="V469" s="164"/>
    </row>
    <row r="470" spans="1:25" ht="27" customHeight="1">
      <c r="A470" s="192" t="str">
        <f>IF(ISBLANK(C470)," ",465-COUNTBLANK($C$6:C470))</f>
        <v xml:space="preserve"> </v>
      </c>
      <c r="B470" s="178"/>
      <c r="C470" s="178"/>
      <c r="D470" s="193"/>
      <c r="E470" s="193"/>
      <c r="F470" s="180"/>
      <c r="G470" s="180"/>
      <c r="H470" s="180"/>
      <c r="I470" s="180"/>
      <c r="J470" s="180"/>
      <c r="K470" s="180"/>
      <c r="L470" s="180"/>
      <c r="M470" s="181"/>
      <c r="N470" s="163" t="str">
        <f t="shared" si="37"/>
        <v/>
      </c>
      <c r="O470" s="126" t="str">
        <f t="shared" si="38"/>
        <v>-</v>
      </c>
      <c r="P470" s="164"/>
      <c r="Q470" s="164"/>
      <c r="R470" s="164"/>
      <c r="S470" s="164"/>
      <c r="T470" s="164"/>
      <c r="U470" s="164"/>
      <c r="V470" s="164"/>
    </row>
    <row r="471" spans="1:25" ht="27" customHeight="1">
      <c r="A471" s="192" t="str">
        <f>IF(ISBLANK(C471)," ",466-COUNTBLANK($C$6:C471))</f>
        <v xml:space="preserve"> </v>
      </c>
      <c r="B471" s="178"/>
      <c r="C471" s="178"/>
      <c r="D471" s="193"/>
      <c r="E471" s="193"/>
      <c r="F471" s="180"/>
      <c r="G471" s="180"/>
      <c r="H471" s="180"/>
      <c r="I471" s="180"/>
      <c r="J471" s="180"/>
      <c r="K471" s="180"/>
      <c r="L471" s="180"/>
      <c r="M471" s="181"/>
      <c r="N471" s="163" t="str">
        <f t="shared" si="37"/>
        <v/>
      </c>
      <c r="O471" s="126" t="str">
        <f t="shared" si="38"/>
        <v>-</v>
      </c>
      <c r="P471" s="164"/>
      <c r="Q471" s="164"/>
      <c r="R471" s="164"/>
      <c r="S471" s="164"/>
      <c r="T471" s="164"/>
      <c r="U471" s="164"/>
      <c r="V471" s="164"/>
    </row>
    <row r="472" spans="1:25" ht="27" customHeight="1">
      <c r="A472" s="192" t="str">
        <f>IF(ISBLANK(C472)," ",467-COUNTBLANK($C$6:C472))</f>
        <v xml:space="preserve"> </v>
      </c>
      <c r="B472" s="178"/>
      <c r="C472" s="178"/>
      <c r="D472" s="193"/>
      <c r="E472" s="193"/>
      <c r="F472" s="180"/>
      <c r="G472" s="180"/>
      <c r="H472" s="180"/>
      <c r="I472" s="180"/>
      <c r="J472" s="180"/>
      <c r="K472" s="180"/>
      <c r="L472" s="180"/>
      <c r="M472" s="181"/>
      <c r="N472" s="163" t="str">
        <f t="shared" si="37"/>
        <v/>
      </c>
      <c r="O472" s="126" t="str">
        <f t="shared" si="38"/>
        <v>-</v>
      </c>
      <c r="P472" s="164"/>
      <c r="Q472" s="164"/>
      <c r="R472" s="164"/>
      <c r="S472" s="164"/>
      <c r="T472" s="164"/>
      <c r="U472" s="164"/>
      <c r="V472" s="164"/>
    </row>
    <row r="473" spans="1:25" ht="27" customHeight="1">
      <c r="A473" s="192" t="str">
        <f>IF(ISBLANK(C473)," ",468-COUNTBLANK($C$6:C473))</f>
        <v xml:space="preserve"> </v>
      </c>
      <c r="B473" s="178"/>
      <c r="C473" s="178"/>
      <c r="D473" s="193"/>
      <c r="E473" s="193"/>
      <c r="F473" s="180"/>
      <c r="G473" s="180"/>
      <c r="H473" s="180"/>
      <c r="I473" s="180"/>
      <c r="J473" s="180"/>
      <c r="K473" s="180"/>
      <c r="L473" s="180"/>
      <c r="M473" s="181"/>
      <c r="N473" s="163" t="str">
        <f t="shared" si="37"/>
        <v/>
      </c>
      <c r="O473" s="126" t="str">
        <f t="shared" si="38"/>
        <v>-</v>
      </c>
      <c r="P473" s="164"/>
      <c r="Q473" s="164"/>
      <c r="R473" s="164"/>
      <c r="S473" s="164"/>
      <c r="T473" s="164"/>
      <c r="U473" s="164"/>
      <c r="V473" s="164"/>
    </row>
    <row r="474" spans="1:25" ht="27" customHeight="1">
      <c r="A474" s="192" t="str">
        <f>IF(ISBLANK(C474)," ",469-COUNTBLANK($C$6:C474))</f>
        <v xml:space="preserve"> </v>
      </c>
      <c r="B474" s="178"/>
      <c r="C474" s="178"/>
      <c r="D474" s="193"/>
      <c r="E474" s="193"/>
      <c r="F474" s="180"/>
      <c r="G474" s="180"/>
      <c r="H474" s="180"/>
      <c r="I474" s="180"/>
      <c r="J474" s="180"/>
      <c r="K474" s="180"/>
      <c r="L474" s="180"/>
      <c r="M474" s="181"/>
      <c r="N474" s="163" t="str">
        <f t="shared" si="37"/>
        <v/>
      </c>
      <c r="O474" s="126" t="str">
        <f t="shared" si="38"/>
        <v>-</v>
      </c>
      <c r="P474" s="164"/>
      <c r="Q474" s="164"/>
      <c r="R474" s="164"/>
      <c r="S474" s="164"/>
      <c r="T474" s="164"/>
      <c r="U474" s="164"/>
      <c r="V474" s="164"/>
    </row>
    <row r="475" spans="1:25" ht="27" customHeight="1">
      <c r="A475" s="192" t="str">
        <f>IF(ISBLANK(C475)," ",470-COUNTBLANK($C$6:C475))</f>
        <v xml:space="preserve"> </v>
      </c>
      <c r="B475" s="178"/>
      <c r="C475" s="178"/>
      <c r="D475" s="193"/>
      <c r="E475" s="193"/>
      <c r="F475" s="180"/>
      <c r="G475" s="180"/>
      <c r="H475" s="180"/>
      <c r="I475" s="180"/>
      <c r="J475" s="180"/>
      <c r="K475" s="180"/>
      <c r="L475" s="180"/>
      <c r="M475" s="181"/>
      <c r="N475" s="163" t="str">
        <f t="shared" si="37"/>
        <v/>
      </c>
      <c r="O475" s="126" t="str">
        <f t="shared" si="38"/>
        <v>-</v>
      </c>
      <c r="P475" s="164"/>
      <c r="Q475" s="164"/>
      <c r="R475" s="164"/>
      <c r="S475" s="164"/>
      <c r="T475" s="164"/>
      <c r="U475" s="164"/>
      <c r="V475" s="164"/>
    </row>
    <row r="476" spans="1:25" ht="27" customHeight="1">
      <c r="A476" s="192" t="str">
        <f>IF(ISBLANK(C476)," ",471-COUNTBLANK($C$6:C476))</f>
        <v xml:space="preserve"> </v>
      </c>
      <c r="B476" s="178"/>
      <c r="C476" s="178"/>
      <c r="D476" s="193"/>
      <c r="E476" s="193"/>
      <c r="F476" s="180"/>
      <c r="G476" s="180"/>
      <c r="H476" s="180"/>
      <c r="I476" s="180"/>
      <c r="J476" s="180"/>
      <c r="K476" s="180"/>
      <c r="L476" s="180"/>
      <c r="M476" s="181"/>
      <c r="N476" s="163" t="str">
        <f t="shared" si="37"/>
        <v/>
      </c>
      <c r="O476" s="126" t="str">
        <f t="shared" si="38"/>
        <v>-</v>
      </c>
      <c r="P476" s="164"/>
      <c r="Q476" s="164"/>
      <c r="R476" s="164"/>
      <c r="S476" s="164"/>
      <c r="T476" s="164"/>
      <c r="U476" s="164"/>
      <c r="V476" s="164"/>
    </row>
    <row r="477" spans="1:25" ht="27" customHeight="1">
      <c r="A477" s="192" t="str">
        <f>IF(ISBLANK(C477)," ",472-COUNTBLANK($C$6:C477))</f>
        <v xml:space="preserve"> </v>
      </c>
      <c r="B477" s="178"/>
      <c r="C477" s="178"/>
      <c r="D477" s="193"/>
      <c r="E477" s="193"/>
      <c r="F477" s="180"/>
      <c r="G477" s="180"/>
      <c r="H477" s="180"/>
      <c r="I477" s="180"/>
      <c r="J477" s="180"/>
      <c r="K477" s="180"/>
      <c r="L477" s="180"/>
      <c r="M477" s="181"/>
      <c r="N477" s="163" t="str">
        <f t="shared" si="37"/>
        <v/>
      </c>
      <c r="O477" s="126" t="str">
        <f t="shared" si="38"/>
        <v>-</v>
      </c>
      <c r="P477" s="164"/>
      <c r="Q477" s="164"/>
      <c r="R477" s="164"/>
      <c r="S477" s="164"/>
      <c r="T477" s="164"/>
      <c r="U477" s="164"/>
      <c r="V477" s="164"/>
    </row>
    <row r="478" spans="1:25" ht="27" customHeight="1">
      <c r="A478" s="192" t="str">
        <f>IF(ISBLANK(C478)," ",473-COUNTBLANK($C$6:C478))</f>
        <v xml:space="preserve"> </v>
      </c>
      <c r="B478" s="178"/>
      <c r="C478" s="178"/>
      <c r="D478" s="193"/>
      <c r="E478" s="193"/>
      <c r="F478" s="180"/>
      <c r="G478" s="180"/>
      <c r="H478" s="180"/>
      <c r="I478" s="180"/>
      <c r="J478" s="180"/>
      <c r="K478" s="180"/>
      <c r="L478" s="180"/>
      <c r="M478" s="181"/>
      <c r="N478" s="163" t="str">
        <f t="shared" si="37"/>
        <v/>
      </c>
      <c r="O478" s="126" t="str">
        <f t="shared" si="38"/>
        <v>-</v>
      </c>
      <c r="P478" s="164"/>
      <c r="Q478" s="164"/>
      <c r="R478" s="164"/>
      <c r="S478" s="164"/>
      <c r="T478" s="164"/>
      <c r="U478" s="164"/>
      <c r="V478" s="164"/>
    </row>
    <row r="479" spans="1:25" ht="27" customHeight="1">
      <c r="A479" s="192" t="str">
        <f>IF(ISBLANK(C479)," ",474-COUNTBLANK($C$6:C479))</f>
        <v xml:space="preserve"> </v>
      </c>
      <c r="B479" s="178"/>
      <c r="C479" s="178"/>
      <c r="D479" s="193"/>
      <c r="E479" s="193"/>
      <c r="F479" s="180"/>
      <c r="G479" s="180"/>
      <c r="H479" s="180"/>
      <c r="I479" s="180"/>
      <c r="J479" s="180"/>
      <c r="K479" s="180"/>
      <c r="L479" s="180"/>
      <c r="M479" s="181"/>
      <c r="N479" s="163" t="str">
        <f t="shared" si="37"/>
        <v/>
      </c>
      <c r="O479" s="126" t="str">
        <f t="shared" si="38"/>
        <v>-</v>
      </c>
      <c r="P479" s="164"/>
      <c r="Q479" s="164"/>
      <c r="R479" s="164"/>
      <c r="S479" s="164"/>
      <c r="T479" s="164"/>
      <c r="U479" s="164"/>
      <c r="V479" s="164"/>
    </row>
    <row r="480" spans="1:25" ht="27" customHeight="1">
      <c r="A480" s="192" t="str">
        <f>IF(ISBLANK(C480)," ",475-COUNTBLANK($C$6:C480))</f>
        <v xml:space="preserve"> </v>
      </c>
      <c r="B480" s="178"/>
      <c r="C480" s="178"/>
      <c r="D480" s="193"/>
      <c r="E480" s="193"/>
      <c r="F480" s="180"/>
      <c r="G480" s="180"/>
      <c r="H480" s="180"/>
      <c r="I480" s="180"/>
      <c r="J480" s="180"/>
      <c r="K480" s="180"/>
      <c r="L480" s="180"/>
      <c r="M480" s="181"/>
      <c r="N480" s="163" t="str">
        <f t="shared" si="37"/>
        <v/>
      </c>
      <c r="O480" s="126" t="str">
        <f t="shared" si="38"/>
        <v>-</v>
      </c>
      <c r="P480" s="164"/>
      <c r="Q480" s="164"/>
      <c r="R480" s="164"/>
      <c r="S480" s="164"/>
      <c r="T480" s="164"/>
      <c r="U480" s="164"/>
      <c r="V480" s="164"/>
    </row>
    <row r="481" spans="1:25" ht="27" customHeight="1">
      <c r="A481" s="192" t="str">
        <f>IF(ISBLANK(C481)," ",476-COUNTBLANK($C$6:C481))</f>
        <v xml:space="preserve"> </v>
      </c>
      <c r="B481" s="178"/>
      <c r="C481" s="178"/>
      <c r="D481" s="193"/>
      <c r="E481" s="193"/>
      <c r="F481" s="180"/>
      <c r="G481" s="180"/>
      <c r="H481" s="180"/>
      <c r="I481" s="180"/>
      <c r="J481" s="180"/>
      <c r="K481" s="180"/>
      <c r="L481" s="180"/>
      <c r="M481" s="181"/>
      <c r="N481" s="163" t="str">
        <f t="shared" si="37"/>
        <v/>
      </c>
      <c r="O481" s="126" t="str">
        <f t="shared" si="38"/>
        <v>-</v>
      </c>
      <c r="P481" s="164"/>
      <c r="Q481" s="164"/>
      <c r="R481" s="164"/>
      <c r="S481" s="164"/>
      <c r="T481" s="164"/>
      <c r="U481" s="164"/>
      <c r="V481" s="164"/>
    </row>
    <row r="482" spans="1:25" ht="27" customHeight="1">
      <c r="A482" s="192" t="str">
        <f>IF(ISBLANK(C482)," ",477-COUNTBLANK($C$6:C482))</f>
        <v xml:space="preserve"> </v>
      </c>
      <c r="B482" s="178"/>
      <c r="C482" s="178"/>
      <c r="D482" s="193"/>
      <c r="E482" s="193"/>
      <c r="F482" s="180"/>
      <c r="G482" s="180"/>
      <c r="H482" s="180"/>
      <c r="I482" s="180"/>
      <c r="J482" s="180"/>
      <c r="K482" s="180"/>
      <c r="L482" s="180"/>
      <c r="M482" s="181"/>
      <c r="N482" s="163" t="str">
        <f t="shared" si="37"/>
        <v/>
      </c>
      <c r="O482" s="126" t="str">
        <f t="shared" si="38"/>
        <v>-</v>
      </c>
      <c r="P482" s="164"/>
      <c r="Q482" s="164"/>
      <c r="R482" s="164"/>
      <c r="S482" s="164"/>
      <c r="T482" s="164"/>
      <c r="U482" s="164"/>
      <c r="V482" s="164"/>
    </row>
    <row r="483" spans="1:25" ht="27" customHeight="1">
      <c r="A483" s="192" t="str">
        <f>IF(ISBLANK(C483)," ",478-COUNTBLANK($C$6:C483))</f>
        <v xml:space="preserve"> </v>
      </c>
      <c r="B483" s="178"/>
      <c r="C483" s="178"/>
      <c r="D483" s="193"/>
      <c r="E483" s="193"/>
      <c r="F483" s="180"/>
      <c r="G483" s="180"/>
      <c r="H483" s="180"/>
      <c r="I483" s="180"/>
      <c r="J483" s="180"/>
      <c r="K483" s="180"/>
      <c r="L483" s="180"/>
      <c r="M483" s="181"/>
      <c r="N483" s="163" t="str">
        <f t="shared" si="37"/>
        <v/>
      </c>
      <c r="O483" s="126" t="str">
        <f t="shared" si="38"/>
        <v>-</v>
      </c>
      <c r="P483" s="164"/>
      <c r="Q483" s="164"/>
      <c r="R483" s="164"/>
      <c r="S483" s="164"/>
      <c r="T483" s="164"/>
      <c r="U483" s="164"/>
      <c r="V483" s="165"/>
    </row>
    <row r="484" spans="1:25" ht="27" customHeight="1">
      <c r="A484" s="192" t="str">
        <f>IF(ISBLANK(C484)," ",479-COUNTBLANK($C$6:C484))</f>
        <v xml:space="preserve"> </v>
      </c>
      <c r="B484" s="178"/>
      <c r="C484" s="178"/>
      <c r="D484" s="193"/>
      <c r="E484" s="193"/>
      <c r="F484" s="180"/>
      <c r="G484" s="180"/>
      <c r="H484" s="180"/>
      <c r="I484" s="180"/>
      <c r="J484" s="180"/>
      <c r="K484" s="180"/>
      <c r="L484" s="180"/>
      <c r="M484" s="181"/>
      <c r="N484" s="163" t="str">
        <f t="shared" si="37"/>
        <v/>
      </c>
      <c r="O484" s="126" t="str">
        <f t="shared" si="38"/>
        <v>-</v>
      </c>
      <c r="P484" s="164"/>
      <c r="Q484" s="164"/>
      <c r="R484" s="164"/>
      <c r="S484" s="164"/>
      <c r="T484" s="164"/>
      <c r="U484" s="164"/>
      <c r="V484" s="165"/>
    </row>
    <row r="485" spans="1:25" ht="27" customHeight="1">
      <c r="A485" s="192" t="str">
        <f>IF(ISBLANK(C485)," ",480-COUNTBLANK($C$6:C485))</f>
        <v xml:space="preserve"> </v>
      </c>
      <c r="B485" s="178"/>
      <c r="C485" s="178"/>
      <c r="D485" s="193"/>
      <c r="E485" s="193"/>
      <c r="F485" s="180"/>
      <c r="G485" s="180"/>
      <c r="H485" s="180"/>
      <c r="I485" s="180"/>
      <c r="J485" s="180"/>
      <c r="K485" s="180"/>
      <c r="L485" s="180"/>
      <c r="M485" s="181"/>
      <c r="N485" s="163" t="str">
        <f t="shared" si="37"/>
        <v/>
      </c>
      <c r="O485" s="126" t="str">
        <f t="shared" si="38"/>
        <v>-</v>
      </c>
      <c r="P485" s="164"/>
      <c r="Q485" s="164"/>
      <c r="R485" s="164"/>
      <c r="S485" s="164"/>
      <c r="T485" s="164"/>
      <c r="U485" s="164"/>
      <c r="V485" s="165"/>
    </row>
    <row r="486" spans="1:25" ht="27" customHeight="1">
      <c r="A486" s="192" t="str">
        <f>IF(ISBLANK(C486)," ",481-COUNTBLANK($C$6:C486))</f>
        <v xml:space="preserve"> </v>
      </c>
      <c r="B486" s="178"/>
      <c r="C486" s="178"/>
      <c r="D486" s="193"/>
      <c r="E486" s="193"/>
      <c r="F486" s="180"/>
      <c r="G486" s="180"/>
      <c r="H486" s="180"/>
      <c r="I486" s="180"/>
      <c r="J486" s="180"/>
      <c r="K486" s="180"/>
      <c r="L486" s="180"/>
      <c r="M486" s="181"/>
      <c r="N486" s="163" t="str">
        <f t="shared" si="37"/>
        <v/>
      </c>
      <c r="O486" s="126" t="str">
        <f t="shared" si="38"/>
        <v>-</v>
      </c>
      <c r="P486" s="164"/>
      <c r="Q486" s="164"/>
      <c r="R486" s="164"/>
      <c r="S486" s="164"/>
      <c r="T486" s="164"/>
      <c r="U486" s="164"/>
      <c r="V486" s="165"/>
    </row>
    <row r="487" spans="1:25" ht="27" customHeight="1">
      <c r="A487" s="192" t="str">
        <f>IF(ISBLANK(C487)," ",482-COUNTBLANK($C$6:C487))</f>
        <v xml:space="preserve"> </v>
      </c>
      <c r="B487" s="178"/>
      <c r="C487" s="178"/>
      <c r="D487" s="193"/>
      <c r="E487" s="193"/>
      <c r="F487" s="180"/>
      <c r="G487" s="180"/>
      <c r="H487" s="180"/>
      <c r="I487" s="180"/>
      <c r="J487" s="180"/>
      <c r="K487" s="180"/>
      <c r="L487" s="180"/>
      <c r="M487" s="181"/>
      <c r="N487" s="163" t="str">
        <f t="shared" si="37"/>
        <v/>
      </c>
      <c r="O487" s="126" t="str">
        <f t="shared" si="38"/>
        <v>-</v>
      </c>
      <c r="P487" s="164"/>
      <c r="Q487" s="164"/>
      <c r="R487" s="164"/>
      <c r="S487" s="164"/>
      <c r="T487" s="164"/>
      <c r="U487" s="164"/>
      <c r="V487" s="166"/>
      <c r="W487" s="164"/>
      <c r="X487" s="164"/>
      <c r="Y487" s="164"/>
    </row>
    <row r="488" spans="1:25" ht="27" customHeight="1">
      <c r="A488" s="172" t="s">
        <v>44</v>
      </c>
      <c r="B488" s="173"/>
      <c r="C488" s="174"/>
      <c r="D488" s="194"/>
      <c r="E488" s="194">
        <f>SUM(E468:E487)</f>
        <v>0</v>
      </c>
      <c r="F488" s="176"/>
      <c r="G488" s="176"/>
      <c r="H488" s="176"/>
      <c r="I488" s="176"/>
      <c r="J488" s="176"/>
      <c r="K488" s="176"/>
      <c r="L488" s="176"/>
      <c r="M488" s="177"/>
      <c r="N488" s="163" t="str">
        <f t="shared" si="37"/>
        <v/>
      </c>
      <c r="O488" s="126"/>
      <c r="P488" s="164"/>
      <c r="Q488" s="164"/>
      <c r="R488" s="164"/>
      <c r="S488" s="164"/>
      <c r="T488" s="164"/>
      <c r="U488" s="164"/>
      <c r="V488" s="166"/>
      <c r="W488" s="164"/>
      <c r="X488" s="164"/>
      <c r="Y488" s="164"/>
    </row>
    <row r="489" spans="1:25" ht="27" customHeight="1">
      <c r="A489" s="187" t="str">
        <f>IF(ISBLANK(C489)," ",484-COUNTBLANK($C$6:C489))</f>
        <v xml:space="preserve"> </v>
      </c>
      <c r="B489" s="188"/>
      <c r="C489" s="188"/>
      <c r="D489" s="189"/>
      <c r="E489" s="189"/>
      <c r="F489" s="190"/>
      <c r="G489" s="190"/>
      <c r="H489" s="190"/>
      <c r="I489" s="190"/>
      <c r="J489" s="190"/>
      <c r="K489" s="190"/>
      <c r="L489" s="190"/>
      <c r="M489" s="191"/>
      <c r="N489" s="163" t="str">
        <f>CONCATENATE(C489,H489)</f>
        <v/>
      </c>
      <c r="O489" s="126" t="str">
        <f>IF(D489&gt;=E489,"-","ERR")</f>
        <v>-</v>
      </c>
      <c r="P489" s="164"/>
      <c r="Q489" s="164"/>
      <c r="R489" s="164"/>
      <c r="S489" s="164"/>
      <c r="T489" s="164"/>
      <c r="U489" s="164"/>
      <c r="V489" s="164"/>
    </row>
    <row r="490" spans="1:25" ht="27" customHeight="1">
      <c r="A490" s="192" t="str">
        <f>IF(ISBLANK(C490)," ",485-COUNTBLANK($C$6:C490))</f>
        <v xml:space="preserve"> </v>
      </c>
      <c r="B490" s="178"/>
      <c r="C490" s="178"/>
      <c r="D490" s="193"/>
      <c r="E490" s="193"/>
      <c r="F490" s="180"/>
      <c r="G490" s="180"/>
      <c r="H490" s="180"/>
      <c r="I490" s="180"/>
      <c r="J490" s="180"/>
      <c r="K490" s="180"/>
      <c r="L490" s="180"/>
      <c r="M490" s="181"/>
      <c r="N490" s="163" t="str">
        <f t="shared" ref="N490:N509" si="39">CONCATENATE(C490,H490)</f>
        <v/>
      </c>
      <c r="O490" s="126" t="str">
        <f t="shared" ref="O490:O508" si="40">IF(D490&gt;=E490,"-","ERR")</f>
        <v>-</v>
      </c>
      <c r="P490" s="164"/>
      <c r="Q490" s="164"/>
      <c r="R490" s="164"/>
      <c r="S490" s="164"/>
      <c r="T490" s="164"/>
      <c r="U490" s="164"/>
      <c r="V490" s="164"/>
    </row>
    <row r="491" spans="1:25" ht="27" customHeight="1">
      <c r="A491" s="192" t="str">
        <f>IF(ISBLANK(C491)," ",486-COUNTBLANK($C$6:C491))</f>
        <v xml:space="preserve"> </v>
      </c>
      <c r="B491" s="178"/>
      <c r="C491" s="178"/>
      <c r="D491" s="193"/>
      <c r="E491" s="193"/>
      <c r="F491" s="180"/>
      <c r="G491" s="180"/>
      <c r="H491" s="180"/>
      <c r="I491" s="180"/>
      <c r="J491" s="180"/>
      <c r="K491" s="180"/>
      <c r="L491" s="180"/>
      <c r="M491" s="181"/>
      <c r="N491" s="163" t="str">
        <f t="shared" si="39"/>
        <v/>
      </c>
      <c r="O491" s="126" t="str">
        <f t="shared" si="40"/>
        <v>-</v>
      </c>
      <c r="P491" s="164"/>
      <c r="Q491" s="164"/>
      <c r="R491" s="164"/>
      <c r="S491" s="164"/>
      <c r="T491" s="164"/>
      <c r="U491" s="164"/>
      <c r="V491" s="164"/>
    </row>
    <row r="492" spans="1:25" ht="27" customHeight="1">
      <c r="A492" s="192" t="str">
        <f>IF(ISBLANK(C492)," ",487-COUNTBLANK($C$6:C492))</f>
        <v xml:space="preserve"> </v>
      </c>
      <c r="B492" s="178"/>
      <c r="C492" s="178"/>
      <c r="D492" s="193"/>
      <c r="E492" s="193"/>
      <c r="F492" s="180"/>
      <c r="G492" s="180"/>
      <c r="H492" s="180"/>
      <c r="I492" s="180"/>
      <c r="J492" s="180"/>
      <c r="K492" s="180"/>
      <c r="L492" s="180"/>
      <c r="M492" s="181"/>
      <c r="N492" s="163" t="str">
        <f t="shared" si="39"/>
        <v/>
      </c>
      <c r="O492" s="126" t="str">
        <f t="shared" si="40"/>
        <v>-</v>
      </c>
      <c r="P492" s="164"/>
      <c r="Q492" s="164"/>
      <c r="R492" s="164"/>
      <c r="S492" s="164"/>
      <c r="T492" s="164"/>
      <c r="U492" s="164"/>
      <c r="V492" s="164"/>
    </row>
    <row r="493" spans="1:25" ht="27" customHeight="1">
      <c r="A493" s="192" t="str">
        <f>IF(ISBLANK(C493)," ",488-COUNTBLANK($C$6:C493))</f>
        <v xml:space="preserve"> </v>
      </c>
      <c r="B493" s="178"/>
      <c r="C493" s="178"/>
      <c r="D493" s="193"/>
      <c r="E493" s="193"/>
      <c r="F493" s="180"/>
      <c r="G493" s="180"/>
      <c r="H493" s="180"/>
      <c r="I493" s="180"/>
      <c r="J493" s="180"/>
      <c r="K493" s="180"/>
      <c r="L493" s="180"/>
      <c r="M493" s="181"/>
      <c r="N493" s="163" t="str">
        <f t="shared" si="39"/>
        <v/>
      </c>
      <c r="O493" s="126" t="str">
        <f t="shared" si="40"/>
        <v>-</v>
      </c>
      <c r="P493" s="164"/>
      <c r="Q493" s="164"/>
      <c r="R493" s="164"/>
      <c r="S493" s="164"/>
      <c r="T493" s="164"/>
      <c r="U493" s="164"/>
      <c r="V493" s="164"/>
    </row>
    <row r="494" spans="1:25" ht="27" customHeight="1">
      <c r="A494" s="192" t="str">
        <f>IF(ISBLANK(C494)," ",489-COUNTBLANK($C$6:C494))</f>
        <v xml:space="preserve"> </v>
      </c>
      <c r="B494" s="178"/>
      <c r="C494" s="178"/>
      <c r="D494" s="193"/>
      <c r="E494" s="193"/>
      <c r="F494" s="180"/>
      <c r="G494" s="180"/>
      <c r="H494" s="180"/>
      <c r="I494" s="180"/>
      <c r="J494" s="180"/>
      <c r="K494" s="180"/>
      <c r="L494" s="180"/>
      <c r="M494" s="181"/>
      <c r="N494" s="163" t="str">
        <f t="shared" si="39"/>
        <v/>
      </c>
      <c r="O494" s="126" t="str">
        <f t="shared" si="40"/>
        <v>-</v>
      </c>
      <c r="P494" s="164"/>
      <c r="Q494" s="164"/>
      <c r="R494" s="164"/>
      <c r="S494" s="164"/>
      <c r="T494" s="164"/>
      <c r="U494" s="164"/>
      <c r="V494" s="164"/>
    </row>
    <row r="495" spans="1:25" ht="27" customHeight="1">
      <c r="A495" s="192" t="str">
        <f>IF(ISBLANK(C495)," ",490-COUNTBLANK($C$6:C495))</f>
        <v xml:space="preserve"> </v>
      </c>
      <c r="B495" s="178"/>
      <c r="C495" s="178"/>
      <c r="D495" s="193"/>
      <c r="E495" s="193"/>
      <c r="F495" s="180"/>
      <c r="G495" s="180"/>
      <c r="H495" s="180"/>
      <c r="I495" s="180"/>
      <c r="J495" s="180"/>
      <c r="K495" s="180"/>
      <c r="L495" s="180"/>
      <c r="M495" s="181"/>
      <c r="N495" s="163" t="str">
        <f t="shared" si="39"/>
        <v/>
      </c>
      <c r="O495" s="126" t="str">
        <f t="shared" si="40"/>
        <v>-</v>
      </c>
      <c r="P495" s="164"/>
      <c r="Q495" s="164"/>
      <c r="R495" s="164"/>
      <c r="S495" s="164"/>
      <c r="T495" s="164"/>
      <c r="U495" s="164"/>
      <c r="V495" s="164"/>
    </row>
    <row r="496" spans="1:25" ht="27" customHeight="1">
      <c r="A496" s="192" t="str">
        <f>IF(ISBLANK(C496)," ",491-COUNTBLANK($C$6:C496))</f>
        <v xml:space="preserve"> </v>
      </c>
      <c r="B496" s="178"/>
      <c r="C496" s="178"/>
      <c r="D496" s="193"/>
      <c r="E496" s="193"/>
      <c r="F496" s="180"/>
      <c r="G496" s="180"/>
      <c r="H496" s="180"/>
      <c r="I496" s="180"/>
      <c r="J496" s="180"/>
      <c r="K496" s="180"/>
      <c r="L496" s="180"/>
      <c r="M496" s="181"/>
      <c r="N496" s="163" t="str">
        <f t="shared" si="39"/>
        <v/>
      </c>
      <c r="O496" s="126" t="str">
        <f t="shared" si="40"/>
        <v>-</v>
      </c>
      <c r="P496" s="164"/>
      <c r="Q496" s="164"/>
      <c r="R496" s="164"/>
      <c r="S496" s="164"/>
      <c r="T496" s="164"/>
      <c r="U496" s="164"/>
      <c r="V496" s="164"/>
    </row>
    <row r="497" spans="1:25" ht="27" customHeight="1">
      <c r="A497" s="192" t="str">
        <f>IF(ISBLANK(C497)," ",492-COUNTBLANK($C$6:C497))</f>
        <v xml:space="preserve"> </v>
      </c>
      <c r="B497" s="178"/>
      <c r="C497" s="178"/>
      <c r="D497" s="193"/>
      <c r="E497" s="193"/>
      <c r="F497" s="180"/>
      <c r="G497" s="180"/>
      <c r="H497" s="180"/>
      <c r="I497" s="180"/>
      <c r="J497" s="180"/>
      <c r="K497" s="180"/>
      <c r="L497" s="180"/>
      <c r="M497" s="181"/>
      <c r="N497" s="163" t="str">
        <f t="shared" si="39"/>
        <v/>
      </c>
      <c r="O497" s="126" t="str">
        <f t="shared" si="40"/>
        <v>-</v>
      </c>
      <c r="P497" s="164"/>
      <c r="Q497" s="164"/>
      <c r="R497" s="164"/>
      <c r="S497" s="164"/>
      <c r="T497" s="164"/>
      <c r="U497" s="164"/>
      <c r="V497" s="164"/>
    </row>
    <row r="498" spans="1:25" ht="27" customHeight="1">
      <c r="A498" s="192" t="str">
        <f>IF(ISBLANK(C498)," ",493-COUNTBLANK($C$6:C498))</f>
        <v xml:space="preserve"> </v>
      </c>
      <c r="B498" s="178"/>
      <c r="C498" s="178"/>
      <c r="D498" s="193"/>
      <c r="E498" s="193"/>
      <c r="F498" s="180"/>
      <c r="G498" s="180"/>
      <c r="H498" s="180"/>
      <c r="I498" s="180"/>
      <c r="J498" s="180"/>
      <c r="K498" s="180"/>
      <c r="L498" s="180"/>
      <c r="M498" s="181"/>
      <c r="N498" s="163" t="str">
        <f t="shared" si="39"/>
        <v/>
      </c>
      <c r="O498" s="126" t="str">
        <f t="shared" si="40"/>
        <v>-</v>
      </c>
      <c r="P498" s="164"/>
      <c r="Q498" s="164"/>
      <c r="R498" s="164"/>
      <c r="S498" s="164"/>
      <c r="T498" s="164"/>
      <c r="U498" s="164"/>
      <c r="V498" s="164"/>
    </row>
    <row r="499" spans="1:25" ht="27" customHeight="1">
      <c r="A499" s="192" t="str">
        <f>IF(ISBLANK(C499)," ",494-COUNTBLANK($C$6:C499))</f>
        <v xml:space="preserve"> </v>
      </c>
      <c r="B499" s="178"/>
      <c r="C499" s="178"/>
      <c r="D499" s="193"/>
      <c r="E499" s="193"/>
      <c r="F499" s="180"/>
      <c r="G499" s="180"/>
      <c r="H499" s="180"/>
      <c r="I499" s="180"/>
      <c r="J499" s="180"/>
      <c r="K499" s="180"/>
      <c r="L499" s="180"/>
      <c r="M499" s="181"/>
      <c r="N499" s="163" t="str">
        <f t="shared" si="39"/>
        <v/>
      </c>
      <c r="O499" s="126" t="str">
        <f t="shared" si="40"/>
        <v>-</v>
      </c>
      <c r="P499" s="164"/>
      <c r="Q499" s="164"/>
      <c r="R499" s="164"/>
      <c r="S499" s="164"/>
      <c r="T499" s="164"/>
      <c r="U499" s="164"/>
      <c r="V499" s="164"/>
    </row>
    <row r="500" spans="1:25" ht="27" customHeight="1">
      <c r="A500" s="192" t="str">
        <f>IF(ISBLANK(C500)," ",495-COUNTBLANK($C$6:C500))</f>
        <v xml:space="preserve"> </v>
      </c>
      <c r="B500" s="178"/>
      <c r="C500" s="178"/>
      <c r="D500" s="193"/>
      <c r="E500" s="193"/>
      <c r="F500" s="180"/>
      <c r="G500" s="180"/>
      <c r="H500" s="180"/>
      <c r="I500" s="180"/>
      <c r="J500" s="180"/>
      <c r="K500" s="180"/>
      <c r="L500" s="180"/>
      <c r="M500" s="181"/>
      <c r="N500" s="163" t="str">
        <f t="shared" si="39"/>
        <v/>
      </c>
      <c r="O500" s="126" t="str">
        <f t="shared" si="40"/>
        <v>-</v>
      </c>
      <c r="P500" s="164"/>
      <c r="Q500" s="164"/>
      <c r="R500" s="164"/>
      <c r="S500" s="164"/>
      <c r="T500" s="164"/>
      <c r="U500" s="164"/>
      <c r="V500" s="164"/>
    </row>
    <row r="501" spans="1:25" ht="27" customHeight="1">
      <c r="A501" s="192" t="str">
        <f>IF(ISBLANK(C501)," ",496-COUNTBLANK($C$6:C501))</f>
        <v xml:space="preserve"> </v>
      </c>
      <c r="B501" s="178"/>
      <c r="C501" s="178"/>
      <c r="D501" s="193"/>
      <c r="E501" s="193"/>
      <c r="F501" s="180"/>
      <c r="G501" s="180"/>
      <c r="H501" s="180"/>
      <c r="I501" s="180"/>
      <c r="J501" s="180"/>
      <c r="K501" s="180"/>
      <c r="L501" s="180"/>
      <c r="M501" s="181"/>
      <c r="N501" s="163" t="str">
        <f t="shared" si="39"/>
        <v/>
      </c>
      <c r="O501" s="126" t="str">
        <f t="shared" si="40"/>
        <v>-</v>
      </c>
      <c r="P501" s="164"/>
      <c r="Q501" s="164"/>
      <c r="R501" s="164"/>
      <c r="S501" s="164"/>
      <c r="T501" s="164"/>
      <c r="U501" s="164"/>
      <c r="V501" s="164"/>
    </row>
    <row r="502" spans="1:25" ht="27" customHeight="1">
      <c r="A502" s="192" t="str">
        <f>IF(ISBLANK(C502)," ",497-COUNTBLANK($C$6:C502))</f>
        <v xml:space="preserve"> </v>
      </c>
      <c r="B502" s="178"/>
      <c r="C502" s="178"/>
      <c r="D502" s="193"/>
      <c r="E502" s="193"/>
      <c r="F502" s="180"/>
      <c r="G502" s="180"/>
      <c r="H502" s="180"/>
      <c r="I502" s="180"/>
      <c r="J502" s="180"/>
      <c r="K502" s="180"/>
      <c r="L502" s="180"/>
      <c r="M502" s="181"/>
      <c r="N502" s="163" t="str">
        <f t="shared" si="39"/>
        <v/>
      </c>
      <c r="O502" s="126" t="str">
        <f t="shared" si="40"/>
        <v>-</v>
      </c>
      <c r="P502" s="164"/>
      <c r="Q502" s="164"/>
      <c r="R502" s="164"/>
      <c r="S502" s="164"/>
      <c r="T502" s="164"/>
      <c r="U502" s="164"/>
      <c r="V502" s="164"/>
    </row>
    <row r="503" spans="1:25" ht="27" customHeight="1">
      <c r="A503" s="192" t="str">
        <f>IF(ISBLANK(C503)," ",498-COUNTBLANK($C$6:C503))</f>
        <v xml:space="preserve"> </v>
      </c>
      <c r="B503" s="178"/>
      <c r="C503" s="178"/>
      <c r="D503" s="193"/>
      <c r="E503" s="193"/>
      <c r="F503" s="180"/>
      <c r="G503" s="180"/>
      <c r="H503" s="180"/>
      <c r="I503" s="180"/>
      <c r="J503" s="180"/>
      <c r="K503" s="180"/>
      <c r="L503" s="180"/>
      <c r="M503" s="181"/>
      <c r="N503" s="163" t="str">
        <f t="shared" si="39"/>
        <v/>
      </c>
      <c r="O503" s="126" t="str">
        <f t="shared" si="40"/>
        <v>-</v>
      </c>
      <c r="P503" s="164"/>
      <c r="Q503" s="164"/>
      <c r="R503" s="164"/>
      <c r="S503" s="164"/>
      <c r="T503" s="164"/>
      <c r="U503" s="164"/>
      <c r="V503" s="164"/>
    </row>
    <row r="504" spans="1:25" ht="27" customHeight="1">
      <c r="A504" s="192" t="str">
        <f>IF(ISBLANK(C504)," ",499-COUNTBLANK($C$6:C504))</f>
        <v xml:space="preserve"> </v>
      </c>
      <c r="B504" s="178"/>
      <c r="C504" s="178"/>
      <c r="D504" s="193"/>
      <c r="E504" s="193"/>
      <c r="F504" s="180"/>
      <c r="G504" s="180"/>
      <c r="H504" s="180"/>
      <c r="I504" s="180"/>
      <c r="J504" s="180"/>
      <c r="K504" s="180"/>
      <c r="L504" s="180"/>
      <c r="M504" s="181"/>
      <c r="N504" s="163" t="str">
        <f t="shared" si="39"/>
        <v/>
      </c>
      <c r="O504" s="126" t="str">
        <f t="shared" si="40"/>
        <v>-</v>
      </c>
      <c r="P504" s="164"/>
      <c r="Q504" s="164"/>
      <c r="R504" s="164"/>
      <c r="S504" s="164"/>
      <c r="T504" s="164"/>
      <c r="U504" s="164"/>
      <c r="V504" s="165"/>
    </row>
    <row r="505" spans="1:25" ht="27" customHeight="1">
      <c r="A505" s="192" t="str">
        <f>IF(ISBLANK(C505)," ",500-COUNTBLANK($C$6:C505))</f>
        <v xml:space="preserve"> </v>
      </c>
      <c r="B505" s="178"/>
      <c r="C505" s="178"/>
      <c r="D505" s="193"/>
      <c r="E505" s="193"/>
      <c r="F505" s="180"/>
      <c r="G505" s="180"/>
      <c r="H505" s="180"/>
      <c r="I505" s="180"/>
      <c r="J505" s="180"/>
      <c r="K505" s="180"/>
      <c r="L505" s="180"/>
      <c r="M505" s="181"/>
      <c r="N505" s="163" t="str">
        <f t="shared" si="39"/>
        <v/>
      </c>
      <c r="O505" s="126" t="str">
        <f t="shared" si="40"/>
        <v>-</v>
      </c>
      <c r="P505" s="164"/>
      <c r="Q505" s="164"/>
      <c r="R505" s="164"/>
      <c r="S505" s="164"/>
      <c r="T505" s="164"/>
      <c r="U505" s="164"/>
      <c r="V505" s="165"/>
    </row>
    <row r="506" spans="1:25" ht="27" customHeight="1">
      <c r="A506" s="192" t="str">
        <f>IF(ISBLANK(C506)," ",501-COUNTBLANK($C$6:C506))</f>
        <v xml:space="preserve"> </v>
      </c>
      <c r="B506" s="178"/>
      <c r="C506" s="178"/>
      <c r="D506" s="193"/>
      <c r="E506" s="193"/>
      <c r="F506" s="180"/>
      <c r="G506" s="180"/>
      <c r="H506" s="180"/>
      <c r="I506" s="180"/>
      <c r="J506" s="180"/>
      <c r="K506" s="180"/>
      <c r="L506" s="180"/>
      <c r="M506" s="181"/>
      <c r="N506" s="163" t="str">
        <f t="shared" si="39"/>
        <v/>
      </c>
      <c r="O506" s="126" t="str">
        <f t="shared" si="40"/>
        <v>-</v>
      </c>
      <c r="P506" s="164"/>
      <c r="Q506" s="164"/>
      <c r="R506" s="164"/>
      <c r="S506" s="164"/>
      <c r="T506" s="164"/>
      <c r="U506" s="164"/>
      <c r="V506" s="165"/>
    </row>
    <row r="507" spans="1:25" ht="27" customHeight="1">
      <c r="A507" s="192" t="str">
        <f>IF(ISBLANK(C507)," ",502-COUNTBLANK($C$6:C507))</f>
        <v xml:space="preserve"> </v>
      </c>
      <c r="B507" s="178"/>
      <c r="C507" s="178"/>
      <c r="D507" s="193"/>
      <c r="E507" s="193"/>
      <c r="F507" s="180"/>
      <c r="G507" s="180"/>
      <c r="H507" s="180"/>
      <c r="I507" s="180"/>
      <c r="J507" s="180"/>
      <c r="K507" s="180"/>
      <c r="L507" s="180"/>
      <c r="M507" s="181"/>
      <c r="N507" s="163" t="str">
        <f t="shared" si="39"/>
        <v/>
      </c>
      <c r="O507" s="126" t="str">
        <f t="shared" si="40"/>
        <v>-</v>
      </c>
      <c r="P507" s="164"/>
      <c r="Q507" s="164"/>
      <c r="R507" s="164"/>
      <c r="S507" s="164"/>
      <c r="T507" s="164"/>
      <c r="U507" s="164"/>
      <c r="V507" s="165"/>
    </row>
    <row r="508" spans="1:25" ht="27" customHeight="1">
      <c r="A508" s="192" t="str">
        <f>IF(ISBLANK(C508)," ",503-COUNTBLANK($C$6:C508))</f>
        <v xml:space="preserve"> </v>
      </c>
      <c r="B508" s="178"/>
      <c r="C508" s="178"/>
      <c r="D508" s="193"/>
      <c r="E508" s="193"/>
      <c r="F508" s="180"/>
      <c r="G508" s="180"/>
      <c r="H508" s="180"/>
      <c r="I508" s="180"/>
      <c r="J508" s="180"/>
      <c r="K508" s="180"/>
      <c r="L508" s="180"/>
      <c r="M508" s="181"/>
      <c r="N508" s="163" t="str">
        <f t="shared" si="39"/>
        <v/>
      </c>
      <c r="O508" s="126" t="str">
        <f t="shared" si="40"/>
        <v>-</v>
      </c>
      <c r="P508" s="164"/>
      <c r="Q508" s="164"/>
      <c r="R508" s="164"/>
      <c r="S508" s="164"/>
      <c r="T508" s="164"/>
      <c r="U508" s="164"/>
      <c r="V508" s="166"/>
      <c r="W508" s="164"/>
      <c r="X508" s="164"/>
      <c r="Y508" s="164"/>
    </row>
    <row r="509" spans="1:25" ht="27" customHeight="1">
      <c r="A509" s="172" t="s">
        <v>44</v>
      </c>
      <c r="B509" s="173"/>
      <c r="C509" s="174"/>
      <c r="D509" s="194"/>
      <c r="E509" s="194">
        <f>SUM(E489:E508)</f>
        <v>0</v>
      </c>
      <c r="F509" s="176"/>
      <c r="G509" s="176"/>
      <c r="H509" s="176"/>
      <c r="I509" s="176"/>
      <c r="J509" s="176"/>
      <c r="K509" s="176"/>
      <c r="L509" s="176"/>
      <c r="M509" s="177"/>
      <c r="N509" s="163" t="str">
        <f t="shared" si="39"/>
        <v/>
      </c>
      <c r="O509" s="126"/>
      <c r="P509" s="164"/>
      <c r="Q509" s="164"/>
      <c r="R509" s="164"/>
      <c r="S509" s="164"/>
      <c r="T509" s="164"/>
      <c r="U509" s="164"/>
      <c r="V509" s="166"/>
      <c r="W509" s="164"/>
      <c r="X509" s="164"/>
      <c r="Y509" s="164"/>
    </row>
    <row r="510" spans="1:25" ht="27" customHeight="1">
      <c r="A510" s="187" t="str">
        <f>IF(ISBLANK(C510)," ",505-COUNTBLANK($C$6:C510))</f>
        <v xml:space="preserve"> </v>
      </c>
      <c r="B510" s="188"/>
      <c r="C510" s="188"/>
      <c r="D510" s="189"/>
      <c r="E510" s="189"/>
      <c r="F510" s="190"/>
      <c r="G510" s="190"/>
      <c r="H510" s="190"/>
      <c r="I510" s="190"/>
      <c r="J510" s="190"/>
      <c r="K510" s="190"/>
      <c r="L510" s="190"/>
      <c r="M510" s="191"/>
      <c r="N510" s="163" t="str">
        <f>CONCATENATE(C510,H510)</f>
        <v/>
      </c>
      <c r="O510" s="126" t="str">
        <f>IF(D510&gt;=E510,"-","ERR")</f>
        <v>-</v>
      </c>
      <c r="P510" s="164"/>
      <c r="Q510" s="164"/>
      <c r="R510" s="164"/>
      <c r="S510" s="164"/>
      <c r="T510" s="164"/>
      <c r="U510" s="164"/>
      <c r="V510" s="164"/>
    </row>
    <row r="511" spans="1:25" ht="27" customHeight="1">
      <c r="A511" s="192" t="str">
        <f>IF(ISBLANK(C511)," ",506-COUNTBLANK($C$6:C511))</f>
        <v xml:space="preserve"> </v>
      </c>
      <c r="B511" s="178"/>
      <c r="C511" s="178"/>
      <c r="D511" s="193"/>
      <c r="E511" s="193"/>
      <c r="F511" s="180"/>
      <c r="G511" s="180"/>
      <c r="H511" s="180"/>
      <c r="I511" s="180"/>
      <c r="J511" s="180"/>
      <c r="K511" s="180"/>
      <c r="L511" s="180"/>
      <c r="M511" s="181"/>
      <c r="N511" s="163" t="str">
        <f t="shared" ref="N511:N530" si="41">CONCATENATE(C511,H511)</f>
        <v/>
      </c>
      <c r="O511" s="126" t="str">
        <f t="shared" ref="O511:O529" si="42">IF(D511&gt;=E511,"-","ERR")</f>
        <v>-</v>
      </c>
      <c r="P511" s="164"/>
      <c r="Q511" s="164"/>
      <c r="R511" s="164"/>
      <c r="S511" s="164"/>
      <c r="T511" s="164"/>
      <c r="U511" s="164"/>
      <c r="V511" s="164"/>
    </row>
    <row r="512" spans="1:25" ht="27" customHeight="1">
      <c r="A512" s="192" t="str">
        <f>IF(ISBLANK(C512)," ",507-COUNTBLANK($C$6:C512))</f>
        <v xml:space="preserve"> </v>
      </c>
      <c r="B512" s="178"/>
      <c r="C512" s="178"/>
      <c r="D512" s="193"/>
      <c r="E512" s="193"/>
      <c r="F512" s="180"/>
      <c r="G512" s="180"/>
      <c r="H512" s="180"/>
      <c r="I512" s="180"/>
      <c r="J512" s="180"/>
      <c r="K512" s="180"/>
      <c r="L512" s="180"/>
      <c r="M512" s="181"/>
      <c r="N512" s="163" t="str">
        <f t="shared" si="41"/>
        <v/>
      </c>
      <c r="O512" s="126" t="str">
        <f t="shared" si="42"/>
        <v>-</v>
      </c>
      <c r="P512" s="164"/>
      <c r="Q512" s="164"/>
      <c r="R512" s="164"/>
      <c r="S512" s="164"/>
      <c r="T512" s="164"/>
      <c r="U512" s="164"/>
      <c r="V512" s="164"/>
    </row>
    <row r="513" spans="1:22" ht="27" customHeight="1">
      <c r="A513" s="192" t="str">
        <f>IF(ISBLANK(C513)," ",508-COUNTBLANK($C$6:C513))</f>
        <v xml:space="preserve"> </v>
      </c>
      <c r="B513" s="178"/>
      <c r="C513" s="178"/>
      <c r="D513" s="193"/>
      <c r="E513" s="193"/>
      <c r="F513" s="180"/>
      <c r="G513" s="180"/>
      <c r="H513" s="180"/>
      <c r="I513" s="180"/>
      <c r="J513" s="180"/>
      <c r="K513" s="180"/>
      <c r="L513" s="180"/>
      <c r="M513" s="181"/>
      <c r="N513" s="163" t="str">
        <f t="shared" si="41"/>
        <v/>
      </c>
      <c r="O513" s="126" t="str">
        <f t="shared" si="42"/>
        <v>-</v>
      </c>
      <c r="P513" s="164"/>
      <c r="Q513" s="164"/>
      <c r="R513" s="164"/>
      <c r="S513" s="164"/>
      <c r="T513" s="164"/>
      <c r="U513" s="164"/>
      <c r="V513" s="164"/>
    </row>
    <row r="514" spans="1:22" ht="27" customHeight="1">
      <c r="A514" s="192" t="str">
        <f>IF(ISBLANK(C514)," ",509-COUNTBLANK($C$6:C514))</f>
        <v xml:space="preserve"> </v>
      </c>
      <c r="B514" s="178"/>
      <c r="C514" s="178"/>
      <c r="D514" s="193"/>
      <c r="E514" s="193"/>
      <c r="F514" s="180"/>
      <c r="G514" s="180"/>
      <c r="H514" s="180"/>
      <c r="I514" s="180"/>
      <c r="J514" s="180"/>
      <c r="K514" s="180"/>
      <c r="L514" s="180"/>
      <c r="M514" s="181"/>
      <c r="N514" s="163" t="str">
        <f t="shared" si="41"/>
        <v/>
      </c>
      <c r="O514" s="126" t="str">
        <f t="shared" si="42"/>
        <v>-</v>
      </c>
      <c r="P514" s="164"/>
      <c r="Q514" s="164"/>
      <c r="R514" s="164"/>
      <c r="S514" s="164"/>
      <c r="T514" s="164"/>
      <c r="U514" s="164"/>
      <c r="V514" s="164"/>
    </row>
    <row r="515" spans="1:22" ht="27" customHeight="1">
      <c r="A515" s="192" t="str">
        <f>IF(ISBLANK(C515)," ",510-COUNTBLANK($C$6:C515))</f>
        <v xml:space="preserve"> </v>
      </c>
      <c r="B515" s="178"/>
      <c r="C515" s="178"/>
      <c r="D515" s="193"/>
      <c r="E515" s="193"/>
      <c r="F515" s="180"/>
      <c r="G515" s="180"/>
      <c r="H515" s="180"/>
      <c r="I515" s="180"/>
      <c r="J515" s="180"/>
      <c r="K515" s="180"/>
      <c r="L515" s="180"/>
      <c r="M515" s="181"/>
      <c r="N515" s="163" t="str">
        <f t="shared" si="41"/>
        <v/>
      </c>
      <c r="O515" s="126" t="str">
        <f t="shared" si="42"/>
        <v>-</v>
      </c>
      <c r="P515" s="164"/>
      <c r="Q515" s="164"/>
      <c r="R515" s="164"/>
      <c r="S515" s="164"/>
      <c r="T515" s="164"/>
      <c r="U515" s="164"/>
      <c r="V515" s="164"/>
    </row>
    <row r="516" spans="1:22" ht="27" customHeight="1">
      <c r="A516" s="192" t="str">
        <f>IF(ISBLANK(C516)," ",511-COUNTBLANK($C$6:C516))</f>
        <v xml:space="preserve"> </v>
      </c>
      <c r="B516" s="178"/>
      <c r="C516" s="178"/>
      <c r="D516" s="193"/>
      <c r="E516" s="193"/>
      <c r="F516" s="180"/>
      <c r="G516" s="180"/>
      <c r="H516" s="180"/>
      <c r="I516" s="180"/>
      <c r="J516" s="180"/>
      <c r="K516" s="180"/>
      <c r="L516" s="180"/>
      <c r="M516" s="181"/>
      <c r="N516" s="163" t="str">
        <f t="shared" si="41"/>
        <v/>
      </c>
      <c r="O516" s="126" t="str">
        <f t="shared" si="42"/>
        <v>-</v>
      </c>
      <c r="P516" s="164"/>
      <c r="Q516" s="164"/>
      <c r="R516" s="164"/>
      <c r="S516" s="164"/>
      <c r="T516" s="164"/>
      <c r="U516" s="164"/>
      <c r="V516" s="164"/>
    </row>
    <row r="517" spans="1:22" ht="27" customHeight="1">
      <c r="A517" s="192" t="str">
        <f>IF(ISBLANK(C517)," ",512-COUNTBLANK($C$6:C517))</f>
        <v xml:space="preserve"> </v>
      </c>
      <c r="B517" s="178"/>
      <c r="C517" s="178"/>
      <c r="D517" s="193"/>
      <c r="E517" s="193"/>
      <c r="F517" s="180"/>
      <c r="G517" s="180"/>
      <c r="H517" s="180"/>
      <c r="I517" s="180"/>
      <c r="J517" s="180"/>
      <c r="K517" s="180"/>
      <c r="L517" s="180"/>
      <c r="M517" s="181"/>
      <c r="N517" s="163" t="str">
        <f t="shared" si="41"/>
        <v/>
      </c>
      <c r="O517" s="126" t="str">
        <f t="shared" si="42"/>
        <v>-</v>
      </c>
      <c r="P517" s="164"/>
      <c r="Q517" s="164"/>
      <c r="R517" s="164"/>
      <c r="S517" s="164"/>
      <c r="T517" s="164"/>
      <c r="U517" s="164"/>
      <c r="V517" s="164"/>
    </row>
    <row r="518" spans="1:22" ht="27" customHeight="1">
      <c r="A518" s="192" t="str">
        <f>IF(ISBLANK(C518)," ",513-COUNTBLANK($C$6:C518))</f>
        <v xml:space="preserve"> </v>
      </c>
      <c r="B518" s="178"/>
      <c r="C518" s="178"/>
      <c r="D518" s="193"/>
      <c r="E518" s="193"/>
      <c r="F518" s="180"/>
      <c r="G518" s="180"/>
      <c r="H518" s="180"/>
      <c r="I518" s="180"/>
      <c r="J518" s="180"/>
      <c r="K518" s="180"/>
      <c r="L518" s="180"/>
      <c r="M518" s="181"/>
      <c r="N518" s="163" t="str">
        <f t="shared" si="41"/>
        <v/>
      </c>
      <c r="O518" s="126" t="str">
        <f t="shared" si="42"/>
        <v>-</v>
      </c>
      <c r="P518" s="164"/>
      <c r="Q518" s="164"/>
      <c r="R518" s="164"/>
      <c r="S518" s="164"/>
      <c r="T518" s="164"/>
      <c r="U518" s="164"/>
      <c r="V518" s="164"/>
    </row>
    <row r="519" spans="1:22" ht="27" customHeight="1">
      <c r="A519" s="192" t="str">
        <f>IF(ISBLANK(C519)," ",514-COUNTBLANK($C$6:C519))</f>
        <v xml:space="preserve"> </v>
      </c>
      <c r="B519" s="178"/>
      <c r="C519" s="178"/>
      <c r="D519" s="193"/>
      <c r="E519" s="193"/>
      <c r="F519" s="180"/>
      <c r="G519" s="180"/>
      <c r="H519" s="180"/>
      <c r="I519" s="180"/>
      <c r="J519" s="180"/>
      <c r="K519" s="180"/>
      <c r="L519" s="180"/>
      <c r="M519" s="181"/>
      <c r="N519" s="163" t="str">
        <f t="shared" si="41"/>
        <v/>
      </c>
      <c r="O519" s="126" t="str">
        <f t="shared" si="42"/>
        <v>-</v>
      </c>
      <c r="P519" s="164"/>
      <c r="Q519" s="164"/>
      <c r="R519" s="164"/>
      <c r="S519" s="164"/>
      <c r="T519" s="164"/>
      <c r="U519" s="164"/>
      <c r="V519" s="164"/>
    </row>
    <row r="520" spans="1:22" ht="27" customHeight="1">
      <c r="A520" s="192" t="str">
        <f>IF(ISBLANK(C520)," ",515-COUNTBLANK($C$6:C520))</f>
        <v xml:space="preserve"> </v>
      </c>
      <c r="B520" s="178"/>
      <c r="C520" s="178"/>
      <c r="D520" s="193"/>
      <c r="E520" s="193"/>
      <c r="F520" s="180"/>
      <c r="G520" s="180"/>
      <c r="H520" s="180"/>
      <c r="I520" s="180"/>
      <c r="J520" s="180"/>
      <c r="K520" s="180"/>
      <c r="L520" s="180"/>
      <c r="M520" s="181"/>
      <c r="N520" s="163" t="str">
        <f t="shared" si="41"/>
        <v/>
      </c>
      <c r="O520" s="126" t="str">
        <f t="shared" si="42"/>
        <v>-</v>
      </c>
      <c r="P520" s="164"/>
      <c r="Q520" s="164"/>
      <c r="R520" s="164"/>
      <c r="S520" s="164"/>
      <c r="T520" s="164"/>
      <c r="U520" s="164"/>
      <c r="V520" s="164"/>
    </row>
    <row r="521" spans="1:22" ht="27" customHeight="1">
      <c r="A521" s="192" t="str">
        <f>IF(ISBLANK(C521)," ",516-COUNTBLANK($C$6:C521))</f>
        <v xml:space="preserve"> </v>
      </c>
      <c r="B521" s="178"/>
      <c r="C521" s="178"/>
      <c r="D521" s="193"/>
      <c r="E521" s="193"/>
      <c r="F521" s="180"/>
      <c r="G521" s="180"/>
      <c r="H521" s="180"/>
      <c r="I521" s="180"/>
      <c r="J521" s="180"/>
      <c r="K521" s="180"/>
      <c r="L521" s="180"/>
      <c r="M521" s="181"/>
      <c r="N521" s="163" t="str">
        <f t="shared" si="41"/>
        <v/>
      </c>
      <c r="O521" s="126" t="str">
        <f t="shared" si="42"/>
        <v>-</v>
      </c>
      <c r="P521" s="164"/>
      <c r="Q521" s="164"/>
      <c r="R521" s="164"/>
      <c r="S521" s="164"/>
      <c r="T521" s="164"/>
      <c r="U521" s="164"/>
      <c r="V521" s="164"/>
    </row>
    <row r="522" spans="1:22" ht="27" customHeight="1">
      <c r="A522" s="192" t="str">
        <f>IF(ISBLANK(C522)," ",517-COUNTBLANK($C$6:C522))</f>
        <v xml:space="preserve"> </v>
      </c>
      <c r="B522" s="178"/>
      <c r="C522" s="178"/>
      <c r="D522" s="193"/>
      <c r="E522" s="193"/>
      <c r="F522" s="180"/>
      <c r="G522" s="180"/>
      <c r="H522" s="180"/>
      <c r="I522" s="180"/>
      <c r="J522" s="180"/>
      <c r="K522" s="180"/>
      <c r="L522" s="180"/>
      <c r="M522" s="181"/>
      <c r="N522" s="163" t="str">
        <f t="shared" si="41"/>
        <v/>
      </c>
      <c r="O522" s="126" t="str">
        <f t="shared" si="42"/>
        <v>-</v>
      </c>
      <c r="P522" s="164"/>
      <c r="Q522" s="164"/>
      <c r="R522" s="164"/>
      <c r="S522" s="164"/>
      <c r="T522" s="164"/>
      <c r="U522" s="164"/>
      <c r="V522" s="164"/>
    </row>
    <row r="523" spans="1:22" ht="27" customHeight="1">
      <c r="A523" s="192" t="str">
        <f>IF(ISBLANK(C523)," ",518-COUNTBLANK($C$6:C523))</f>
        <v xml:space="preserve"> </v>
      </c>
      <c r="B523" s="178"/>
      <c r="C523" s="178"/>
      <c r="D523" s="193"/>
      <c r="E523" s="193"/>
      <c r="F523" s="180"/>
      <c r="G523" s="180"/>
      <c r="H523" s="180"/>
      <c r="I523" s="180"/>
      <c r="J523" s="180"/>
      <c r="K523" s="180"/>
      <c r="L523" s="180"/>
      <c r="M523" s="181"/>
      <c r="N523" s="163" t="str">
        <f t="shared" si="41"/>
        <v/>
      </c>
      <c r="O523" s="126" t="str">
        <f t="shared" si="42"/>
        <v>-</v>
      </c>
      <c r="P523" s="164"/>
      <c r="Q523" s="164"/>
      <c r="R523" s="164"/>
      <c r="S523" s="164"/>
      <c r="T523" s="164"/>
      <c r="U523" s="164"/>
      <c r="V523" s="164"/>
    </row>
    <row r="524" spans="1:22" ht="27" customHeight="1">
      <c r="A524" s="192" t="str">
        <f>IF(ISBLANK(C524)," ",519-COUNTBLANK($C$6:C524))</f>
        <v xml:space="preserve"> </v>
      </c>
      <c r="B524" s="178"/>
      <c r="C524" s="178"/>
      <c r="D524" s="193"/>
      <c r="E524" s="193"/>
      <c r="F524" s="180"/>
      <c r="G524" s="180"/>
      <c r="H524" s="180"/>
      <c r="I524" s="180"/>
      <c r="J524" s="180"/>
      <c r="K524" s="180"/>
      <c r="L524" s="180"/>
      <c r="M524" s="181"/>
      <c r="N524" s="163" t="str">
        <f t="shared" si="41"/>
        <v/>
      </c>
      <c r="O524" s="126" t="str">
        <f t="shared" si="42"/>
        <v>-</v>
      </c>
      <c r="P524" s="164"/>
      <c r="Q524" s="164"/>
      <c r="R524" s="164"/>
      <c r="S524" s="164"/>
      <c r="T524" s="164"/>
      <c r="U524" s="164"/>
      <c r="V524" s="164"/>
    </row>
    <row r="525" spans="1:22" ht="27" customHeight="1">
      <c r="A525" s="192" t="str">
        <f>IF(ISBLANK(C525)," ",520-COUNTBLANK($C$6:C525))</f>
        <v xml:space="preserve"> </v>
      </c>
      <c r="B525" s="178"/>
      <c r="C525" s="178"/>
      <c r="D525" s="193"/>
      <c r="E525" s="193"/>
      <c r="F525" s="180"/>
      <c r="G525" s="180"/>
      <c r="H525" s="180"/>
      <c r="I525" s="180"/>
      <c r="J525" s="180"/>
      <c r="K525" s="180"/>
      <c r="L525" s="180"/>
      <c r="M525" s="181"/>
      <c r="N525" s="163" t="str">
        <f t="shared" si="41"/>
        <v/>
      </c>
      <c r="O525" s="126" t="str">
        <f t="shared" si="42"/>
        <v>-</v>
      </c>
      <c r="P525" s="164"/>
      <c r="Q525" s="164"/>
      <c r="R525" s="164"/>
      <c r="S525" s="164"/>
      <c r="T525" s="164"/>
      <c r="U525" s="164"/>
      <c r="V525" s="165"/>
    </row>
    <row r="526" spans="1:22" ht="27" customHeight="1">
      <c r="A526" s="192" t="str">
        <f>IF(ISBLANK(C526)," ",521-COUNTBLANK($C$6:C526))</f>
        <v xml:space="preserve"> </v>
      </c>
      <c r="B526" s="178"/>
      <c r="C526" s="178"/>
      <c r="D526" s="193"/>
      <c r="E526" s="193"/>
      <c r="F526" s="180"/>
      <c r="G526" s="180"/>
      <c r="H526" s="180"/>
      <c r="I526" s="180"/>
      <c r="J526" s="180"/>
      <c r="K526" s="180"/>
      <c r="L526" s="180"/>
      <c r="M526" s="181"/>
      <c r="N526" s="163" t="str">
        <f t="shared" si="41"/>
        <v/>
      </c>
      <c r="O526" s="126" t="str">
        <f t="shared" si="42"/>
        <v>-</v>
      </c>
      <c r="P526" s="164"/>
      <c r="Q526" s="164"/>
      <c r="R526" s="164"/>
      <c r="S526" s="164"/>
      <c r="T526" s="164"/>
      <c r="U526" s="164"/>
      <c r="V526" s="165"/>
    </row>
    <row r="527" spans="1:22" ht="27" customHeight="1">
      <c r="A527" s="192" t="str">
        <f>IF(ISBLANK(C527)," ",522-COUNTBLANK($C$6:C527))</f>
        <v xml:space="preserve"> </v>
      </c>
      <c r="B527" s="178"/>
      <c r="C527" s="178"/>
      <c r="D527" s="193"/>
      <c r="E527" s="193"/>
      <c r="F527" s="180"/>
      <c r="G527" s="180"/>
      <c r="H527" s="180"/>
      <c r="I527" s="180"/>
      <c r="J527" s="180"/>
      <c r="K527" s="180"/>
      <c r="L527" s="180"/>
      <c r="M527" s="181"/>
      <c r="N527" s="163" t="str">
        <f t="shared" si="41"/>
        <v/>
      </c>
      <c r="O527" s="126" t="str">
        <f t="shared" si="42"/>
        <v>-</v>
      </c>
      <c r="P527" s="164"/>
      <c r="Q527" s="164"/>
      <c r="R527" s="164"/>
      <c r="S527" s="164"/>
      <c r="T527" s="164"/>
      <c r="U527" s="164"/>
      <c r="V527" s="165"/>
    </row>
    <row r="528" spans="1:22" ht="27" customHeight="1">
      <c r="A528" s="192" t="str">
        <f>IF(ISBLANK(C528)," ",523-COUNTBLANK($C$6:C528))</f>
        <v xml:space="preserve"> </v>
      </c>
      <c r="B528" s="178"/>
      <c r="C528" s="178"/>
      <c r="D528" s="193"/>
      <c r="E528" s="193"/>
      <c r="F528" s="180"/>
      <c r="G528" s="180"/>
      <c r="H528" s="180"/>
      <c r="I528" s="180"/>
      <c r="J528" s="180"/>
      <c r="K528" s="180"/>
      <c r="L528" s="180"/>
      <c r="M528" s="181"/>
      <c r="N528" s="163" t="str">
        <f t="shared" si="41"/>
        <v/>
      </c>
      <c r="O528" s="126" t="str">
        <f t="shared" si="42"/>
        <v>-</v>
      </c>
      <c r="P528" s="164"/>
      <c r="Q528" s="164"/>
      <c r="R528" s="164"/>
      <c r="S528" s="164"/>
      <c r="T528" s="164"/>
      <c r="U528" s="164"/>
      <c r="V528" s="165"/>
    </row>
    <row r="529" spans="1:25" ht="27" customHeight="1">
      <c r="A529" s="192" t="str">
        <f>IF(ISBLANK(C529)," ",524-COUNTBLANK($C$6:C529))</f>
        <v xml:space="preserve"> </v>
      </c>
      <c r="B529" s="178"/>
      <c r="C529" s="178"/>
      <c r="D529" s="193"/>
      <c r="E529" s="193"/>
      <c r="F529" s="180"/>
      <c r="G529" s="180"/>
      <c r="H529" s="180"/>
      <c r="I529" s="180"/>
      <c r="J529" s="180"/>
      <c r="K529" s="180"/>
      <c r="L529" s="180"/>
      <c r="M529" s="181"/>
      <c r="N529" s="163" t="str">
        <f t="shared" si="41"/>
        <v/>
      </c>
      <c r="O529" s="126" t="str">
        <f t="shared" si="42"/>
        <v>-</v>
      </c>
      <c r="P529" s="164"/>
      <c r="Q529" s="164"/>
      <c r="R529" s="164"/>
      <c r="S529" s="164"/>
      <c r="T529" s="164"/>
      <c r="U529" s="164"/>
      <c r="V529" s="166"/>
      <c r="W529" s="164"/>
      <c r="X529" s="164"/>
      <c r="Y529" s="164"/>
    </row>
    <row r="530" spans="1:25" ht="27" customHeight="1">
      <c r="A530" s="172" t="s">
        <v>44</v>
      </c>
      <c r="B530" s="173"/>
      <c r="C530" s="174"/>
      <c r="D530" s="194"/>
      <c r="E530" s="194">
        <f>SUM(E510:E529)</f>
        <v>0</v>
      </c>
      <c r="F530" s="176"/>
      <c r="G530" s="176"/>
      <c r="H530" s="176"/>
      <c r="I530" s="176"/>
      <c r="J530" s="176"/>
      <c r="K530" s="176"/>
      <c r="L530" s="176"/>
      <c r="M530" s="177"/>
      <c r="N530" s="163" t="str">
        <f t="shared" si="41"/>
        <v/>
      </c>
      <c r="O530" s="126"/>
      <c r="P530" s="164"/>
      <c r="Q530" s="164"/>
      <c r="R530" s="164"/>
      <c r="S530" s="164"/>
      <c r="T530" s="164"/>
      <c r="U530" s="164"/>
      <c r="V530" s="166"/>
      <c r="W530" s="164"/>
      <c r="X530" s="164"/>
      <c r="Y530" s="164"/>
    </row>
    <row r="531" spans="1:25">
      <c r="O531" s="142"/>
      <c r="P531" s="197"/>
      <c r="Q531" s="197"/>
      <c r="R531" s="197"/>
      <c r="S531" s="197"/>
      <c r="T531" s="197"/>
      <c r="U531" s="197"/>
      <c r="V531" s="197"/>
    </row>
    <row r="532" spans="1:25">
      <c r="O532" s="142"/>
      <c r="P532" s="197"/>
      <c r="Q532" s="197"/>
      <c r="R532" s="197"/>
      <c r="S532" s="197"/>
      <c r="T532" s="197"/>
      <c r="U532" s="197"/>
      <c r="V532" s="197"/>
    </row>
  </sheetData>
  <autoFilter ref="A5:N5"/>
  <mergeCells count="4">
    <mergeCell ref="B4:B5"/>
    <mergeCell ref="C4:C5"/>
    <mergeCell ref="H4:I4"/>
    <mergeCell ref="M4:M5"/>
  </mergeCells>
  <phoneticPr fontId="7" type="noConversion"/>
  <printOptions horizontalCentered="1" verticalCentered="1"/>
  <pageMargins left="0.19685039370078741" right="0.19685039370078741" top="1.1811023622047245" bottom="0.59055118110236227" header="0.59055118110236227" footer="0.19685039370078741"/>
  <pageSetup paperSize="9" orientation="portrait" horizontalDpi="4294967292" r:id="rId1"/>
  <headerFooter alignWithMargins="0"/>
  <rowBreaks count="2" manualBreakCount="2">
    <brk id="26" max="12" man="1"/>
    <brk id="47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showZeros="0" view="pageBreakPreview" zoomScaleNormal="100" workbookViewId="0">
      <selection activeCell="G139" sqref="G139"/>
    </sheetView>
  </sheetViews>
  <sheetFormatPr defaultRowHeight="11.25"/>
  <cols>
    <col min="1" max="1" width="3.88671875" style="149" customWidth="1"/>
    <col min="2" max="2" width="5.77734375" style="195" customWidth="1"/>
    <col min="3" max="3" width="3.77734375" style="149" customWidth="1"/>
    <col min="4" max="4" width="8.44140625" style="149" customWidth="1"/>
    <col min="5" max="5" width="6.77734375" style="196" customWidth="1"/>
    <col min="6" max="6" width="4.21875" style="149" customWidth="1"/>
    <col min="7" max="7" width="6.77734375" style="149" customWidth="1"/>
    <col min="8" max="8" width="5.77734375" style="149" customWidth="1"/>
    <col min="9" max="9" width="11.6640625" style="149" customWidth="1"/>
    <col min="10" max="10" width="5.77734375" style="149" customWidth="1"/>
    <col min="11" max="11" width="11.77734375" style="149" customWidth="1"/>
    <col min="12" max="12" width="6.77734375" style="149" customWidth="1"/>
    <col min="13" max="13" width="4.77734375" style="149" customWidth="1"/>
    <col min="14" max="14" width="20.77734375" style="197" customWidth="1"/>
    <col min="15" max="15" width="9.77734375" style="56" customWidth="1"/>
    <col min="16" max="21" width="9.77734375" style="149" customWidth="1"/>
    <col min="22" max="22" width="10.77734375" style="149" customWidth="1"/>
    <col min="23" max="16384" width="8.88671875" style="149"/>
  </cols>
  <sheetData>
    <row r="1" spans="1:22" ht="30" customHeight="1">
      <c r="A1" s="143" t="s">
        <v>45</v>
      </c>
      <c r="B1" s="144"/>
      <c r="C1" s="145"/>
      <c r="D1" s="145"/>
      <c r="E1" s="146"/>
      <c r="F1" s="145"/>
      <c r="G1" s="145"/>
      <c r="H1" s="145"/>
      <c r="I1" s="145"/>
      <c r="J1" s="145"/>
      <c r="K1" s="145"/>
      <c r="L1" s="145"/>
      <c r="M1" s="145"/>
      <c r="N1" s="147"/>
      <c r="O1" s="80"/>
      <c r="P1" s="148"/>
      <c r="Q1" s="148"/>
      <c r="R1" s="148"/>
      <c r="S1" s="148"/>
      <c r="T1" s="148"/>
      <c r="U1" s="148"/>
      <c r="V1" s="148"/>
    </row>
    <row r="2" spans="1:22" ht="19.899999999999999" customHeight="1">
      <c r="A2" s="150"/>
      <c r="B2" s="151"/>
      <c r="C2" s="150"/>
      <c r="D2" s="150"/>
      <c r="E2" s="152"/>
      <c r="F2" s="150"/>
      <c r="G2" s="150"/>
      <c r="H2" s="150"/>
      <c r="I2" s="150"/>
      <c r="J2" s="153"/>
      <c r="K2" s="154"/>
      <c r="L2" s="155"/>
      <c r="M2" s="155"/>
      <c r="N2" s="156"/>
      <c r="O2" s="80"/>
      <c r="P2" s="148"/>
      <c r="Q2" s="148"/>
      <c r="R2" s="148"/>
      <c r="S2" s="148"/>
      <c r="T2" s="148"/>
      <c r="U2" s="148"/>
      <c r="V2" s="148"/>
    </row>
    <row r="3" spans="1:22" ht="10.15" customHeight="1">
      <c r="A3" s="150"/>
      <c r="B3" s="151"/>
      <c r="C3" s="150"/>
      <c r="D3" s="150"/>
      <c r="E3" s="152"/>
      <c r="F3" s="150"/>
      <c r="G3" s="150"/>
      <c r="H3" s="150"/>
      <c r="I3" s="150"/>
      <c r="J3" s="150"/>
      <c r="K3" s="150"/>
      <c r="L3" s="150"/>
      <c r="M3" s="150"/>
      <c r="N3" s="150"/>
      <c r="O3" s="80"/>
      <c r="P3" s="148"/>
      <c r="Q3" s="148"/>
      <c r="R3" s="148"/>
      <c r="S3" s="148"/>
      <c r="T3" s="148"/>
      <c r="U3" s="148"/>
      <c r="V3" s="148"/>
    </row>
    <row r="4" spans="1:22" s="159" customFormat="1" ht="27" customHeight="1">
      <c r="A4" s="19" t="s">
        <v>31</v>
      </c>
      <c r="B4" s="225" t="s">
        <v>32</v>
      </c>
      <c r="C4" s="227" t="s">
        <v>33</v>
      </c>
      <c r="D4" s="20" t="s">
        <v>34</v>
      </c>
      <c r="E4" s="21" t="s">
        <v>35</v>
      </c>
      <c r="F4" s="22" t="s">
        <v>36</v>
      </c>
      <c r="G4" s="22"/>
      <c r="H4" s="229" t="s">
        <v>37</v>
      </c>
      <c r="I4" s="230"/>
      <c r="J4" s="23" t="s">
        <v>38</v>
      </c>
      <c r="K4" s="22"/>
      <c r="L4" s="24"/>
      <c r="M4" s="231" t="s">
        <v>30</v>
      </c>
      <c r="N4" s="157"/>
      <c r="O4" s="134"/>
      <c r="P4" s="158"/>
      <c r="Q4" s="158"/>
      <c r="R4" s="158"/>
      <c r="S4" s="158"/>
      <c r="T4" s="158"/>
      <c r="U4" s="158"/>
      <c r="V4" s="158"/>
    </row>
    <row r="5" spans="1:22" s="159" customFormat="1" ht="27" customHeight="1">
      <c r="A5" s="25" t="s">
        <v>39</v>
      </c>
      <c r="B5" s="226"/>
      <c r="C5" s="228"/>
      <c r="D5" s="26" t="s">
        <v>46</v>
      </c>
      <c r="E5" s="26" t="s">
        <v>46</v>
      </c>
      <c r="F5" s="1" t="s">
        <v>33</v>
      </c>
      <c r="G5" s="27" t="s">
        <v>40</v>
      </c>
      <c r="H5" s="27" t="s">
        <v>41</v>
      </c>
      <c r="I5" s="1" t="s">
        <v>42</v>
      </c>
      <c r="J5" s="27" t="s">
        <v>41</v>
      </c>
      <c r="K5" s="27" t="s">
        <v>42</v>
      </c>
      <c r="L5" s="1" t="s">
        <v>43</v>
      </c>
      <c r="M5" s="232"/>
      <c r="N5" s="160"/>
      <c r="O5" s="137"/>
      <c r="P5" s="161"/>
      <c r="Q5" s="161"/>
      <c r="R5" s="161"/>
      <c r="S5" s="161"/>
      <c r="T5" s="161"/>
      <c r="U5" s="161"/>
      <c r="V5" s="162"/>
    </row>
    <row r="6" spans="1:22" ht="27" customHeight="1">
      <c r="A6" s="37" t="str">
        <f>IF(ISBLANK(C6)," ",1-COUNTBLANK($C$6:C6))</f>
        <v xml:space="preserve"> </v>
      </c>
      <c r="B6" s="9"/>
      <c r="C6" s="10"/>
      <c r="D6" s="33"/>
      <c r="E6" s="33"/>
      <c r="F6" s="11"/>
      <c r="G6" s="11"/>
      <c r="H6" s="12"/>
      <c r="I6" s="12"/>
      <c r="J6" s="32"/>
      <c r="K6" s="32"/>
      <c r="L6" s="32"/>
      <c r="M6" s="13"/>
      <c r="N6" s="163" t="str">
        <f>CONCATENATE(C6,H6)</f>
        <v/>
      </c>
      <c r="O6" s="126" t="str">
        <f>IF(D6&gt;=E6,"-","ERR")</f>
        <v>-</v>
      </c>
      <c r="P6" s="164"/>
      <c r="Q6" s="164"/>
      <c r="R6" s="164"/>
      <c r="S6" s="164"/>
      <c r="T6" s="164"/>
      <c r="U6" s="164"/>
      <c r="V6" s="164"/>
    </row>
    <row r="7" spans="1:22" ht="27" customHeight="1">
      <c r="A7" s="38" t="str">
        <f>IF(ISBLANK(C7)," ",2-COUNTBLANK($C$6:C7))</f>
        <v xml:space="preserve"> </v>
      </c>
      <c r="B7" s="4"/>
      <c r="C7" s="5"/>
      <c r="D7" s="34"/>
      <c r="E7" s="34"/>
      <c r="F7" s="6"/>
      <c r="G7" s="6"/>
      <c r="H7" s="7"/>
      <c r="I7" s="7"/>
      <c r="J7" s="2"/>
      <c r="K7" s="2"/>
      <c r="L7" s="2"/>
      <c r="M7" s="8"/>
      <c r="N7" s="163" t="str">
        <f t="shared" ref="N7:N70" si="0">CONCATENATE(C7,H7)</f>
        <v/>
      </c>
      <c r="O7" s="126" t="str">
        <f t="shared" ref="O7:O25" si="1">IF(D7&gt;=E7,"-","ERR")</f>
        <v>-</v>
      </c>
      <c r="P7" s="164"/>
      <c r="Q7" s="164"/>
      <c r="R7" s="164"/>
      <c r="S7" s="164"/>
      <c r="T7" s="164"/>
      <c r="U7" s="164"/>
      <c r="V7" s="164"/>
    </row>
    <row r="8" spans="1:22" ht="27" customHeight="1">
      <c r="A8" s="38" t="str">
        <f>IF(ISBLANK(C8)," ",3-COUNTBLANK($C$6:C8))</f>
        <v xml:space="preserve"> </v>
      </c>
      <c r="B8" s="4"/>
      <c r="C8" s="5"/>
      <c r="D8" s="34"/>
      <c r="E8" s="34"/>
      <c r="F8" s="6"/>
      <c r="G8" s="6"/>
      <c r="H8" s="7"/>
      <c r="I8" s="7"/>
      <c r="J8" s="2"/>
      <c r="K8" s="2"/>
      <c r="L8" s="2"/>
      <c r="M8" s="8"/>
      <c r="N8" s="163" t="str">
        <f t="shared" si="0"/>
        <v/>
      </c>
      <c r="O8" s="126" t="str">
        <f t="shared" si="1"/>
        <v>-</v>
      </c>
      <c r="P8" s="164"/>
      <c r="Q8" s="164"/>
      <c r="R8" s="164"/>
      <c r="S8" s="164"/>
      <c r="T8" s="164"/>
      <c r="U8" s="164"/>
      <c r="V8" s="164"/>
    </row>
    <row r="9" spans="1:22" ht="27" customHeight="1">
      <c r="A9" s="38" t="str">
        <f>IF(ISBLANK(C9)," ",4-COUNTBLANK($C$6:C9))</f>
        <v xml:space="preserve"> </v>
      </c>
      <c r="B9" s="4"/>
      <c r="C9" s="5"/>
      <c r="D9" s="34"/>
      <c r="E9" s="34"/>
      <c r="F9" s="6"/>
      <c r="G9" s="6"/>
      <c r="H9" s="7"/>
      <c r="I9" s="7"/>
      <c r="J9" s="2"/>
      <c r="K9" s="2"/>
      <c r="L9" s="2"/>
      <c r="M9" s="8"/>
      <c r="N9" s="163" t="str">
        <f t="shared" si="0"/>
        <v/>
      </c>
      <c r="O9" s="126" t="str">
        <f t="shared" si="1"/>
        <v>-</v>
      </c>
      <c r="P9" s="164"/>
      <c r="Q9" s="164"/>
      <c r="R9" s="164"/>
      <c r="S9" s="164"/>
      <c r="T9" s="164"/>
      <c r="U9" s="164"/>
      <c r="V9" s="164"/>
    </row>
    <row r="10" spans="1:22" ht="27" customHeight="1">
      <c r="A10" s="38" t="str">
        <f>IF(ISBLANK(C10)," ",5-COUNTBLANK($C$6:C10))</f>
        <v xml:space="preserve"> </v>
      </c>
      <c r="B10" s="4"/>
      <c r="C10" s="5"/>
      <c r="D10" s="34"/>
      <c r="E10" s="34"/>
      <c r="F10" s="6"/>
      <c r="G10" s="6"/>
      <c r="H10" s="7"/>
      <c r="I10" s="7"/>
      <c r="J10" s="2"/>
      <c r="K10" s="2"/>
      <c r="L10" s="2"/>
      <c r="M10" s="8"/>
      <c r="N10" s="163" t="str">
        <f t="shared" si="0"/>
        <v/>
      </c>
      <c r="O10" s="126" t="str">
        <f t="shared" si="1"/>
        <v>-</v>
      </c>
      <c r="P10" s="164"/>
      <c r="Q10" s="164"/>
      <c r="R10" s="164"/>
      <c r="S10" s="164"/>
      <c r="T10" s="164"/>
      <c r="U10" s="164"/>
      <c r="V10" s="164"/>
    </row>
    <row r="11" spans="1:22" ht="27" customHeight="1">
      <c r="A11" s="38" t="str">
        <f>IF(ISBLANK(C11)," ",6-COUNTBLANK($C$6:C11))</f>
        <v xml:space="preserve"> </v>
      </c>
      <c r="B11" s="4"/>
      <c r="C11" s="5"/>
      <c r="D11" s="34"/>
      <c r="E11" s="34"/>
      <c r="F11" s="6"/>
      <c r="G11" s="6"/>
      <c r="H11" s="7"/>
      <c r="I11" s="7"/>
      <c r="J11" s="2"/>
      <c r="K11" s="2"/>
      <c r="L11" s="2"/>
      <c r="M11" s="8"/>
      <c r="N11" s="163" t="str">
        <f t="shared" si="0"/>
        <v/>
      </c>
      <c r="O11" s="126" t="str">
        <f t="shared" si="1"/>
        <v>-</v>
      </c>
      <c r="P11" s="164"/>
      <c r="Q11" s="164"/>
      <c r="R11" s="164"/>
      <c r="S11" s="164"/>
      <c r="T11" s="164"/>
      <c r="U11" s="164"/>
      <c r="V11" s="164"/>
    </row>
    <row r="12" spans="1:22" ht="27" customHeight="1">
      <c r="A12" s="38" t="str">
        <f>IF(ISBLANK(C12)," ",7-COUNTBLANK($C$6:C12))</f>
        <v xml:space="preserve"> </v>
      </c>
      <c r="B12" s="4"/>
      <c r="C12" s="5"/>
      <c r="D12" s="34"/>
      <c r="E12" s="34"/>
      <c r="F12" s="6"/>
      <c r="G12" s="6"/>
      <c r="H12" s="7"/>
      <c r="I12" s="7"/>
      <c r="J12" s="2"/>
      <c r="K12" s="2"/>
      <c r="L12" s="2"/>
      <c r="M12" s="8"/>
      <c r="N12" s="163" t="str">
        <f t="shared" si="0"/>
        <v/>
      </c>
      <c r="O12" s="126" t="str">
        <f t="shared" si="1"/>
        <v>-</v>
      </c>
      <c r="P12" s="164"/>
      <c r="Q12" s="164"/>
      <c r="R12" s="164"/>
      <c r="S12" s="164"/>
      <c r="T12" s="164"/>
      <c r="U12" s="164"/>
      <c r="V12" s="164"/>
    </row>
    <row r="13" spans="1:22" ht="27" customHeight="1">
      <c r="A13" s="38" t="str">
        <f>IF(ISBLANK(C13)," ",8-COUNTBLANK($C$6:C13))</f>
        <v xml:space="preserve"> </v>
      </c>
      <c r="B13" s="4"/>
      <c r="C13" s="5"/>
      <c r="D13" s="34"/>
      <c r="E13" s="34"/>
      <c r="F13" s="6"/>
      <c r="G13" s="6"/>
      <c r="H13" s="7"/>
      <c r="I13" s="7"/>
      <c r="J13" s="2"/>
      <c r="K13" s="2"/>
      <c r="L13" s="2"/>
      <c r="M13" s="8"/>
      <c r="N13" s="163" t="str">
        <f t="shared" si="0"/>
        <v/>
      </c>
      <c r="O13" s="126" t="str">
        <f t="shared" si="1"/>
        <v>-</v>
      </c>
      <c r="P13" s="164"/>
      <c r="Q13" s="164"/>
      <c r="R13" s="164"/>
      <c r="S13" s="164"/>
      <c r="T13" s="164"/>
      <c r="U13" s="164"/>
      <c r="V13" s="164"/>
    </row>
    <row r="14" spans="1:22" ht="27" customHeight="1">
      <c r="A14" s="38" t="str">
        <f>IF(ISBLANK(C14)," ",9-COUNTBLANK($C$6:C14))</f>
        <v xml:space="preserve"> </v>
      </c>
      <c r="B14" s="4"/>
      <c r="C14" s="5"/>
      <c r="D14" s="34"/>
      <c r="E14" s="34"/>
      <c r="F14" s="6"/>
      <c r="G14" s="6"/>
      <c r="H14" s="7"/>
      <c r="I14" s="7"/>
      <c r="J14" s="2"/>
      <c r="K14" s="2"/>
      <c r="L14" s="2"/>
      <c r="M14" s="8"/>
      <c r="N14" s="163" t="str">
        <f t="shared" si="0"/>
        <v/>
      </c>
      <c r="O14" s="126" t="str">
        <f t="shared" si="1"/>
        <v>-</v>
      </c>
      <c r="P14" s="164"/>
      <c r="Q14" s="164"/>
      <c r="R14" s="164"/>
      <c r="S14" s="164"/>
      <c r="T14" s="164"/>
      <c r="U14" s="164"/>
      <c r="V14" s="164"/>
    </row>
    <row r="15" spans="1:22" ht="27" customHeight="1">
      <c r="A15" s="38" t="str">
        <f>IF(ISBLANK(C15)," ",10-COUNTBLANK($C$6:C15))</f>
        <v xml:space="preserve"> </v>
      </c>
      <c r="B15" s="4"/>
      <c r="C15" s="5"/>
      <c r="D15" s="34"/>
      <c r="E15" s="34"/>
      <c r="F15" s="6"/>
      <c r="G15" s="6"/>
      <c r="H15" s="7"/>
      <c r="I15" s="7"/>
      <c r="J15" s="2"/>
      <c r="K15" s="2"/>
      <c r="L15" s="2"/>
      <c r="M15" s="8"/>
      <c r="N15" s="163" t="str">
        <f t="shared" si="0"/>
        <v/>
      </c>
      <c r="O15" s="126" t="str">
        <f t="shared" si="1"/>
        <v>-</v>
      </c>
      <c r="P15" s="164"/>
      <c r="Q15" s="164"/>
      <c r="R15" s="164"/>
      <c r="S15" s="164"/>
      <c r="T15" s="164"/>
      <c r="U15" s="164"/>
      <c r="V15" s="164"/>
    </row>
    <row r="16" spans="1:22" ht="27" customHeight="1">
      <c r="A16" s="38" t="str">
        <f>IF(ISBLANK(C16)," ",11-COUNTBLANK($C$6:C16))</f>
        <v xml:space="preserve"> </v>
      </c>
      <c r="B16" s="4"/>
      <c r="C16" s="5"/>
      <c r="D16" s="34"/>
      <c r="E16" s="34"/>
      <c r="F16" s="6"/>
      <c r="G16" s="6"/>
      <c r="H16" s="7"/>
      <c r="I16" s="7"/>
      <c r="J16" s="2"/>
      <c r="K16" s="2"/>
      <c r="L16" s="2"/>
      <c r="M16" s="8"/>
      <c r="N16" s="163" t="str">
        <f t="shared" si="0"/>
        <v/>
      </c>
      <c r="O16" s="126" t="str">
        <f t="shared" si="1"/>
        <v>-</v>
      </c>
      <c r="P16" s="164"/>
      <c r="Q16" s="164"/>
      <c r="R16" s="164"/>
      <c r="S16" s="164"/>
      <c r="T16" s="164"/>
      <c r="U16" s="164"/>
      <c r="V16" s="164"/>
    </row>
    <row r="17" spans="1:25" ht="27" customHeight="1">
      <c r="A17" s="38" t="str">
        <f>IF(ISBLANK(C17)," ",12-COUNTBLANK($C$6:C17))</f>
        <v xml:space="preserve"> </v>
      </c>
      <c r="B17" s="4"/>
      <c r="C17" s="5"/>
      <c r="D17" s="34"/>
      <c r="E17" s="34"/>
      <c r="F17" s="6"/>
      <c r="G17" s="6"/>
      <c r="H17" s="7"/>
      <c r="I17" s="7"/>
      <c r="J17" s="2"/>
      <c r="K17" s="2"/>
      <c r="L17" s="2"/>
      <c r="M17" s="8"/>
      <c r="N17" s="163" t="str">
        <f t="shared" si="0"/>
        <v/>
      </c>
      <c r="O17" s="126" t="str">
        <f t="shared" si="1"/>
        <v>-</v>
      </c>
      <c r="P17" s="164"/>
      <c r="Q17" s="164"/>
      <c r="R17" s="164"/>
      <c r="S17" s="164"/>
      <c r="T17" s="164"/>
      <c r="U17" s="164"/>
      <c r="V17" s="164"/>
    </row>
    <row r="18" spans="1:25" ht="27" customHeight="1">
      <c r="A18" s="38" t="str">
        <f>IF(ISBLANK(C18)," ",13-COUNTBLANK($C$6:C18))</f>
        <v xml:space="preserve"> </v>
      </c>
      <c r="B18" s="4"/>
      <c r="C18" s="5"/>
      <c r="D18" s="34"/>
      <c r="E18" s="34"/>
      <c r="F18" s="6"/>
      <c r="G18" s="6"/>
      <c r="H18" s="7"/>
      <c r="I18" s="7"/>
      <c r="J18" s="2"/>
      <c r="K18" s="2"/>
      <c r="L18" s="2"/>
      <c r="M18" s="8"/>
      <c r="N18" s="163" t="str">
        <f t="shared" si="0"/>
        <v/>
      </c>
      <c r="O18" s="126" t="str">
        <f t="shared" si="1"/>
        <v>-</v>
      </c>
      <c r="P18" s="164"/>
      <c r="Q18" s="164"/>
      <c r="R18" s="164"/>
      <c r="S18" s="164"/>
      <c r="T18" s="164"/>
      <c r="U18" s="164"/>
      <c r="V18" s="164"/>
    </row>
    <row r="19" spans="1:25" ht="27" customHeight="1">
      <c r="A19" s="38" t="str">
        <f>IF(ISBLANK(C19)," ",14-COUNTBLANK($C$6:C19))</f>
        <v xml:space="preserve"> </v>
      </c>
      <c r="B19" s="4"/>
      <c r="C19" s="5"/>
      <c r="D19" s="34"/>
      <c r="E19" s="34"/>
      <c r="F19" s="6"/>
      <c r="G19" s="6"/>
      <c r="H19" s="7"/>
      <c r="I19" s="7"/>
      <c r="J19" s="2"/>
      <c r="K19" s="2"/>
      <c r="L19" s="2"/>
      <c r="M19" s="8"/>
      <c r="N19" s="163" t="str">
        <f t="shared" si="0"/>
        <v/>
      </c>
      <c r="O19" s="126" t="str">
        <f t="shared" si="1"/>
        <v>-</v>
      </c>
      <c r="P19" s="164"/>
      <c r="Q19" s="164"/>
      <c r="R19" s="164"/>
      <c r="S19" s="164"/>
      <c r="T19" s="164"/>
      <c r="U19" s="164"/>
      <c r="V19" s="164"/>
    </row>
    <row r="20" spans="1:25" ht="27" customHeight="1">
      <c r="A20" s="38" t="str">
        <f>IF(ISBLANK(C20)," ",15-COUNTBLANK($C$6:C20))</f>
        <v xml:space="preserve"> </v>
      </c>
      <c r="B20" s="4"/>
      <c r="C20" s="5"/>
      <c r="D20" s="34"/>
      <c r="E20" s="34"/>
      <c r="F20" s="6"/>
      <c r="G20" s="6"/>
      <c r="H20" s="7"/>
      <c r="I20" s="7"/>
      <c r="J20" s="2"/>
      <c r="K20" s="2"/>
      <c r="L20" s="2"/>
      <c r="M20" s="8"/>
      <c r="N20" s="163" t="str">
        <f t="shared" si="0"/>
        <v/>
      </c>
      <c r="O20" s="126" t="str">
        <f t="shared" si="1"/>
        <v>-</v>
      </c>
      <c r="P20" s="164"/>
      <c r="Q20" s="164"/>
      <c r="R20" s="164"/>
      <c r="S20" s="164"/>
      <c r="T20" s="164"/>
      <c r="U20" s="164"/>
      <c r="V20" s="164"/>
    </row>
    <row r="21" spans="1:25" ht="27" customHeight="1">
      <c r="A21" s="38" t="str">
        <f>IF(ISBLANK(C21)," ",16-COUNTBLANK($C$6:C21))</f>
        <v xml:space="preserve"> </v>
      </c>
      <c r="B21" s="4"/>
      <c r="C21" s="5"/>
      <c r="D21" s="34"/>
      <c r="E21" s="34"/>
      <c r="F21" s="6"/>
      <c r="G21" s="6"/>
      <c r="H21" s="7"/>
      <c r="I21" s="7"/>
      <c r="J21" s="2"/>
      <c r="K21" s="2"/>
      <c r="L21" s="2"/>
      <c r="M21" s="8"/>
      <c r="N21" s="163" t="str">
        <f t="shared" si="0"/>
        <v/>
      </c>
      <c r="O21" s="126" t="str">
        <f t="shared" si="1"/>
        <v>-</v>
      </c>
      <c r="P21" s="164"/>
      <c r="Q21" s="164"/>
      <c r="R21" s="164"/>
      <c r="S21" s="164"/>
      <c r="T21" s="164"/>
      <c r="U21" s="164"/>
      <c r="V21" s="165"/>
    </row>
    <row r="22" spans="1:25" ht="27" customHeight="1">
      <c r="A22" s="38" t="str">
        <f>IF(ISBLANK(C22)," ",17-COUNTBLANK($C$6:C22))</f>
        <v xml:space="preserve"> </v>
      </c>
      <c r="B22" s="4"/>
      <c r="C22" s="5"/>
      <c r="D22" s="34"/>
      <c r="E22" s="34"/>
      <c r="F22" s="6"/>
      <c r="G22" s="6"/>
      <c r="H22" s="7"/>
      <c r="I22" s="7"/>
      <c r="J22" s="2"/>
      <c r="K22" s="2"/>
      <c r="L22" s="2"/>
      <c r="M22" s="8"/>
      <c r="N22" s="163" t="str">
        <f t="shared" si="0"/>
        <v/>
      </c>
      <c r="O22" s="126" t="str">
        <f t="shared" si="1"/>
        <v>-</v>
      </c>
      <c r="P22" s="164"/>
      <c r="Q22" s="164"/>
      <c r="R22" s="164"/>
      <c r="S22" s="164"/>
      <c r="T22" s="164"/>
      <c r="U22" s="164"/>
      <c r="V22" s="165"/>
    </row>
    <row r="23" spans="1:25" ht="27" customHeight="1">
      <c r="A23" s="38" t="str">
        <f>IF(ISBLANK(C23)," ",18-COUNTBLANK($C$6:C23))</f>
        <v xml:space="preserve"> </v>
      </c>
      <c r="B23" s="4"/>
      <c r="C23" s="5"/>
      <c r="D23" s="34"/>
      <c r="E23" s="34"/>
      <c r="F23" s="6"/>
      <c r="G23" s="6"/>
      <c r="H23" s="7"/>
      <c r="I23" s="7"/>
      <c r="J23" s="2"/>
      <c r="K23" s="2"/>
      <c r="L23" s="2"/>
      <c r="M23" s="8"/>
      <c r="N23" s="163" t="str">
        <f t="shared" si="0"/>
        <v/>
      </c>
      <c r="O23" s="126" t="str">
        <f t="shared" si="1"/>
        <v>-</v>
      </c>
      <c r="P23" s="164"/>
      <c r="Q23" s="164"/>
      <c r="R23" s="164"/>
      <c r="S23" s="164"/>
      <c r="T23" s="164"/>
      <c r="U23" s="164"/>
      <c r="V23" s="165"/>
    </row>
    <row r="24" spans="1:25" ht="27" customHeight="1">
      <c r="A24" s="38" t="str">
        <f>IF(ISBLANK(C24)," ",19-COUNTBLANK($C$6:C24))</f>
        <v xml:space="preserve"> </v>
      </c>
      <c r="B24" s="4"/>
      <c r="C24" s="5"/>
      <c r="D24" s="34"/>
      <c r="E24" s="34"/>
      <c r="F24" s="6"/>
      <c r="G24" s="6"/>
      <c r="H24" s="7"/>
      <c r="I24" s="7"/>
      <c r="J24" s="2"/>
      <c r="K24" s="2"/>
      <c r="L24" s="2"/>
      <c r="M24" s="8"/>
      <c r="N24" s="163" t="str">
        <f t="shared" si="0"/>
        <v/>
      </c>
      <c r="O24" s="126" t="str">
        <f t="shared" si="1"/>
        <v>-</v>
      </c>
      <c r="P24" s="164"/>
      <c r="Q24" s="164"/>
      <c r="R24" s="164"/>
      <c r="S24" s="164"/>
      <c r="T24" s="164"/>
      <c r="U24" s="164"/>
      <c r="V24" s="165"/>
    </row>
    <row r="25" spans="1:25" ht="27" customHeight="1">
      <c r="A25" s="39" t="str">
        <f>IF(ISBLANK(C25)," ",20-COUNTBLANK($C$6:C25))</f>
        <v xml:space="preserve"> </v>
      </c>
      <c r="B25" s="14"/>
      <c r="C25" s="15"/>
      <c r="D25" s="35"/>
      <c r="E25" s="35"/>
      <c r="F25" s="16"/>
      <c r="G25" s="16"/>
      <c r="H25" s="17"/>
      <c r="I25" s="17"/>
      <c r="J25" s="3"/>
      <c r="K25" s="3"/>
      <c r="L25" s="3"/>
      <c r="M25" s="18"/>
      <c r="N25" s="163" t="str">
        <f t="shared" si="0"/>
        <v/>
      </c>
      <c r="O25" s="126" t="str">
        <f t="shared" si="1"/>
        <v>-</v>
      </c>
      <c r="P25" s="164"/>
      <c r="Q25" s="164"/>
      <c r="R25" s="164"/>
      <c r="S25" s="164"/>
      <c r="T25" s="164"/>
      <c r="U25" s="164"/>
      <c r="V25" s="166"/>
      <c r="W25" s="164"/>
      <c r="X25" s="164"/>
      <c r="Y25" s="164"/>
    </row>
    <row r="26" spans="1:25" ht="27" customHeight="1">
      <c r="A26" s="167" t="s">
        <v>44</v>
      </c>
      <c r="B26" s="168"/>
      <c r="C26" s="168"/>
      <c r="D26" s="169"/>
      <c r="E26" s="169">
        <f>SUM(E6:E25)</f>
        <v>0</v>
      </c>
      <c r="F26" s="170"/>
      <c r="G26" s="170"/>
      <c r="H26" s="170"/>
      <c r="I26" s="170"/>
      <c r="J26" s="170"/>
      <c r="K26" s="170"/>
      <c r="L26" s="170"/>
      <c r="M26" s="171"/>
      <c r="N26" s="163" t="str">
        <f t="shared" si="0"/>
        <v/>
      </c>
      <c r="O26" s="126"/>
      <c r="P26" s="164"/>
      <c r="Q26" s="164"/>
      <c r="R26" s="164"/>
      <c r="S26" s="164"/>
      <c r="T26" s="164"/>
      <c r="U26" s="164"/>
      <c r="V26" s="166"/>
      <c r="W26" s="164"/>
      <c r="X26" s="164"/>
      <c r="Y26" s="164"/>
    </row>
    <row r="27" spans="1:25" ht="27" customHeight="1">
      <c r="A27" s="37" t="str">
        <f>IF(ISBLANK(C27)," ",22-COUNTBLANK($C$6:C27))</f>
        <v xml:space="preserve"> </v>
      </c>
      <c r="B27" s="9"/>
      <c r="C27" s="10"/>
      <c r="D27" s="33"/>
      <c r="E27" s="33"/>
      <c r="F27" s="11"/>
      <c r="G27" s="11"/>
      <c r="H27" s="12"/>
      <c r="I27" s="12"/>
      <c r="J27" s="32"/>
      <c r="K27" s="32"/>
      <c r="L27" s="32"/>
      <c r="M27" s="13"/>
      <c r="N27" s="163" t="str">
        <f t="shared" si="0"/>
        <v/>
      </c>
      <c r="O27" s="126" t="str">
        <f>IF(D27&gt;=E27,"-","ERR")</f>
        <v>-</v>
      </c>
      <c r="P27" s="164"/>
      <c r="Q27" s="164"/>
      <c r="R27" s="164"/>
      <c r="S27" s="164"/>
      <c r="T27" s="164"/>
      <c r="U27" s="164"/>
      <c r="V27" s="164"/>
    </row>
    <row r="28" spans="1:25" ht="27" customHeight="1">
      <c r="A28" s="38" t="str">
        <f>IF(ISBLANK(C28)," ",23-COUNTBLANK($C$6:C28))</f>
        <v xml:space="preserve"> </v>
      </c>
      <c r="B28" s="4"/>
      <c r="C28" s="5"/>
      <c r="D28" s="34"/>
      <c r="E28" s="34"/>
      <c r="F28" s="6"/>
      <c r="G28" s="6"/>
      <c r="H28" s="7"/>
      <c r="I28" s="7"/>
      <c r="J28" s="2"/>
      <c r="K28" s="2"/>
      <c r="L28" s="2"/>
      <c r="M28" s="8"/>
      <c r="N28" s="163" t="str">
        <f t="shared" si="0"/>
        <v/>
      </c>
      <c r="O28" s="126" t="str">
        <f t="shared" ref="O28:O46" si="2">IF(D28&gt;=E28,"-","ERR")</f>
        <v>-</v>
      </c>
      <c r="P28" s="164"/>
      <c r="Q28" s="164"/>
      <c r="R28" s="164"/>
      <c r="S28" s="164"/>
      <c r="T28" s="164"/>
      <c r="U28" s="164"/>
      <c r="V28" s="164"/>
    </row>
    <row r="29" spans="1:25" ht="27" customHeight="1">
      <c r="A29" s="38" t="str">
        <f>IF(ISBLANK(C29)," ",24-COUNTBLANK($C$6:C29))</f>
        <v xml:space="preserve"> </v>
      </c>
      <c r="B29" s="4"/>
      <c r="C29" s="5"/>
      <c r="D29" s="34"/>
      <c r="E29" s="34"/>
      <c r="F29" s="6"/>
      <c r="G29" s="6"/>
      <c r="H29" s="7"/>
      <c r="I29" s="7"/>
      <c r="J29" s="2"/>
      <c r="K29" s="2"/>
      <c r="L29" s="2"/>
      <c r="M29" s="8"/>
      <c r="N29" s="163" t="str">
        <f t="shared" si="0"/>
        <v/>
      </c>
      <c r="O29" s="126" t="str">
        <f t="shared" si="2"/>
        <v>-</v>
      </c>
      <c r="P29" s="164"/>
      <c r="Q29" s="164"/>
      <c r="R29" s="164"/>
      <c r="S29" s="164"/>
      <c r="T29" s="164"/>
      <c r="U29" s="164"/>
      <c r="V29" s="164"/>
    </row>
    <row r="30" spans="1:25" ht="27" customHeight="1">
      <c r="A30" s="38" t="str">
        <f>IF(ISBLANK(C30)," ",25-COUNTBLANK($C$6:C30))</f>
        <v xml:space="preserve"> </v>
      </c>
      <c r="B30" s="4"/>
      <c r="C30" s="5"/>
      <c r="D30" s="34"/>
      <c r="E30" s="34"/>
      <c r="F30" s="6"/>
      <c r="G30" s="6"/>
      <c r="H30" s="7"/>
      <c r="I30" s="7"/>
      <c r="J30" s="2"/>
      <c r="K30" s="2"/>
      <c r="L30" s="2"/>
      <c r="M30" s="8"/>
      <c r="N30" s="163" t="str">
        <f t="shared" si="0"/>
        <v/>
      </c>
      <c r="O30" s="126" t="str">
        <f t="shared" si="2"/>
        <v>-</v>
      </c>
      <c r="P30" s="164"/>
      <c r="Q30" s="164"/>
      <c r="R30" s="164"/>
      <c r="S30" s="164"/>
      <c r="T30" s="164"/>
      <c r="U30" s="164"/>
      <c r="V30" s="164"/>
    </row>
    <row r="31" spans="1:25" ht="27" customHeight="1">
      <c r="A31" s="38" t="str">
        <f>IF(ISBLANK(C31)," ",26-COUNTBLANK($C$6:C31))</f>
        <v xml:space="preserve"> </v>
      </c>
      <c r="B31" s="4"/>
      <c r="C31" s="5"/>
      <c r="D31" s="34"/>
      <c r="E31" s="34"/>
      <c r="F31" s="6"/>
      <c r="G31" s="6"/>
      <c r="H31" s="7"/>
      <c r="I31" s="7"/>
      <c r="J31" s="2"/>
      <c r="K31" s="2"/>
      <c r="L31" s="2"/>
      <c r="M31" s="8"/>
      <c r="N31" s="163" t="str">
        <f t="shared" si="0"/>
        <v/>
      </c>
      <c r="O31" s="126" t="str">
        <f t="shared" si="2"/>
        <v>-</v>
      </c>
      <c r="P31" s="164"/>
      <c r="Q31" s="164"/>
      <c r="R31" s="164"/>
      <c r="S31" s="164"/>
      <c r="T31" s="164"/>
      <c r="U31" s="164"/>
      <c r="V31" s="164"/>
    </row>
    <row r="32" spans="1:25" ht="27" customHeight="1">
      <c r="A32" s="38" t="str">
        <f>IF(ISBLANK(C32)," ",27-COUNTBLANK($C$6:C32))</f>
        <v xml:space="preserve"> </v>
      </c>
      <c r="B32" s="4"/>
      <c r="C32" s="5"/>
      <c r="D32" s="34"/>
      <c r="E32" s="34"/>
      <c r="F32" s="6"/>
      <c r="G32" s="6"/>
      <c r="H32" s="7"/>
      <c r="I32" s="7"/>
      <c r="J32" s="2"/>
      <c r="K32" s="2"/>
      <c r="L32" s="2"/>
      <c r="M32" s="8"/>
      <c r="N32" s="163" t="str">
        <f t="shared" si="0"/>
        <v/>
      </c>
      <c r="O32" s="126" t="str">
        <f t="shared" si="2"/>
        <v>-</v>
      </c>
      <c r="P32" s="164"/>
      <c r="Q32" s="164"/>
      <c r="R32" s="164"/>
      <c r="S32" s="164"/>
      <c r="T32" s="164"/>
      <c r="U32" s="164"/>
      <c r="V32" s="164"/>
    </row>
    <row r="33" spans="1:25" ht="27" customHeight="1">
      <c r="A33" s="38" t="str">
        <f>IF(ISBLANK(C33)," ",28-COUNTBLANK($C$6:C33))</f>
        <v xml:space="preserve"> </v>
      </c>
      <c r="B33" s="4"/>
      <c r="C33" s="5"/>
      <c r="D33" s="34"/>
      <c r="E33" s="34"/>
      <c r="F33" s="6"/>
      <c r="G33" s="6"/>
      <c r="H33" s="7"/>
      <c r="I33" s="7"/>
      <c r="J33" s="2"/>
      <c r="K33" s="2"/>
      <c r="L33" s="2"/>
      <c r="M33" s="8"/>
      <c r="N33" s="163" t="str">
        <f t="shared" si="0"/>
        <v/>
      </c>
      <c r="O33" s="126" t="str">
        <f t="shared" si="2"/>
        <v>-</v>
      </c>
      <c r="P33" s="164"/>
      <c r="Q33" s="164"/>
      <c r="R33" s="164"/>
      <c r="S33" s="164"/>
      <c r="T33" s="164"/>
      <c r="U33" s="164"/>
      <c r="V33" s="164"/>
    </row>
    <row r="34" spans="1:25" ht="27" customHeight="1">
      <c r="A34" s="38" t="str">
        <f>IF(ISBLANK(C34)," ",29-COUNTBLANK($C$6:C34))</f>
        <v xml:space="preserve"> </v>
      </c>
      <c r="B34" s="4"/>
      <c r="C34" s="5"/>
      <c r="D34" s="34"/>
      <c r="E34" s="34"/>
      <c r="F34" s="6"/>
      <c r="G34" s="6"/>
      <c r="H34" s="7"/>
      <c r="I34" s="7"/>
      <c r="J34" s="2"/>
      <c r="K34" s="2"/>
      <c r="L34" s="2"/>
      <c r="M34" s="8"/>
      <c r="N34" s="163" t="str">
        <f t="shared" si="0"/>
        <v/>
      </c>
      <c r="O34" s="126" t="str">
        <f t="shared" si="2"/>
        <v>-</v>
      </c>
      <c r="P34" s="164"/>
      <c r="Q34" s="164"/>
      <c r="R34" s="164"/>
      <c r="S34" s="164"/>
      <c r="T34" s="164"/>
      <c r="U34" s="164"/>
      <c r="V34" s="164"/>
    </row>
    <row r="35" spans="1:25" ht="27" customHeight="1">
      <c r="A35" s="38" t="str">
        <f>IF(ISBLANK(C35)," ",30-COUNTBLANK($C$6:C35))</f>
        <v xml:space="preserve"> </v>
      </c>
      <c r="B35" s="4"/>
      <c r="C35" s="5"/>
      <c r="D35" s="34"/>
      <c r="E35" s="34"/>
      <c r="F35" s="6"/>
      <c r="G35" s="6"/>
      <c r="H35" s="7"/>
      <c r="I35" s="7"/>
      <c r="J35" s="2"/>
      <c r="K35" s="2"/>
      <c r="L35" s="2"/>
      <c r="M35" s="8"/>
      <c r="N35" s="163" t="str">
        <f t="shared" si="0"/>
        <v/>
      </c>
      <c r="O35" s="126" t="str">
        <f t="shared" si="2"/>
        <v>-</v>
      </c>
      <c r="P35" s="164"/>
      <c r="Q35" s="164"/>
      <c r="R35" s="164"/>
      <c r="S35" s="164"/>
      <c r="T35" s="164"/>
      <c r="U35" s="164"/>
      <c r="V35" s="164"/>
    </row>
    <row r="36" spans="1:25" ht="27" customHeight="1">
      <c r="A36" s="38" t="str">
        <f>IF(ISBLANK(C36)," ",31-COUNTBLANK($C$6:C36))</f>
        <v xml:space="preserve"> </v>
      </c>
      <c r="B36" s="4"/>
      <c r="C36" s="5"/>
      <c r="D36" s="34"/>
      <c r="E36" s="34"/>
      <c r="F36" s="6"/>
      <c r="G36" s="6"/>
      <c r="H36" s="7"/>
      <c r="I36" s="7"/>
      <c r="J36" s="2"/>
      <c r="K36" s="2"/>
      <c r="L36" s="2"/>
      <c r="M36" s="8"/>
      <c r="N36" s="163" t="str">
        <f t="shared" si="0"/>
        <v/>
      </c>
      <c r="O36" s="126" t="str">
        <f t="shared" si="2"/>
        <v>-</v>
      </c>
      <c r="P36" s="164"/>
      <c r="Q36" s="164"/>
      <c r="R36" s="164"/>
      <c r="S36" s="164"/>
      <c r="T36" s="164"/>
      <c r="U36" s="164"/>
      <c r="V36" s="164"/>
    </row>
    <row r="37" spans="1:25" ht="27" customHeight="1">
      <c r="A37" s="38" t="str">
        <f>IF(ISBLANK(C37)," ",32-COUNTBLANK($C$6:C37))</f>
        <v xml:space="preserve"> </v>
      </c>
      <c r="B37" s="4"/>
      <c r="C37" s="5"/>
      <c r="D37" s="34"/>
      <c r="E37" s="34"/>
      <c r="F37" s="6"/>
      <c r="G37" s="6"/>
      <c r="H37" s="7"/>
      <c r="I37" s="7"/>
      <c r="J37" s="2"/>
      <c r="K37" s="2"/>
      <c r="L37" s="2"/>
      <c r="M37" s="8"/>
      <c r="N37" s="163" t="str">
        <f t="shared" si="0"/>
        <v/>
      </c>
      <c r="O37" s="126" t="str">
        <f t="shared" si="2"/>
        <v>-</v>
      </c>
      <c r="P37" s="164"/>
      <c r="Q37" s="164"/>
      <c r="R37" s="164"/>
      <c r="S37" s="164"/>
      <c r="T37" s="164"/>
      <c r="U37" s="164"/>
      <c r="V37" s="164"/>
    </row>
    <row r="38" spans="1:25" ht="27" customHeight="1">
      <c r="A38" s="38" t="str">
        <f>IF(ISBLANK(C38)," ",33-COUNTBLANK($C$6:C38))</f>
        <v xml:space="preserve"> </v>
      </c>
      <c r="B38" s="4"/>
      <c r="C38" s="5"/>
      <c r="D38" s="34"/>
      <c r="E38" s="34"/>
      <c r="F38" s="6"/>
      <c r="G38" s="6"/>
      <c r="H38" s="7"/>
      <c r="I38" s="7"/>
      <c r="J38" s="2"/>
      <c r="K38" s="2"/>
      <c r="L38" s="2"/>
      <c r="M38" s="8"/>
      <c r="N38" s="163" t="str">
        <f t="shared" si="0"/>
        <v/>
      </c>
      <c r="O38" s="126" t="str">
        <f t="shared" si="2"/>
        <v>-</v>
      </c>
      <c r="P38" s="164"/>
      <c r="Q38" s="164"/>
      <c r="R38" s="164"/>
      <c r="S38" s="164"/>
      <c r="T38" s="164"/>
      <c r="U38" s="164"/>
      <c r="V38" s="164"/>
    </row>
    <row r="39" spans="1:25" ht="27" customHeight="1">
      <c r="A39" s="38" t="str">
        <f>IF(ISBLANK(C39)," ",34-COUNTBLANK($C$6:C39))</f>
        <v xml:space="preserve"> </v>
      </c>
      <c r="B39" s="4"/>
      <c r="C39" s="5"/>
      <c r="D39" s="34"/>
      <c r="E39" s="34"/>
      <c r="F39" s="6"/>
      <c r="G39" s="6"/>
      <c r="H39" s="7"/>
      <c r="I39" s="7"/>
      <c r="J39" s="2"/>
      <c r="K39" s="2"/>
      <c r="L39" s="2"/>
      <c r="M39" s="8"/>
      <c r="N39" s="163" t="str">
        <f t="shared" si="0"/>
        <v/>
      </c>
      <c r="O39" s="126" t="str">
        <f t="shared" si="2"/>
        <v>-</v>
      </c>
      <c r="P39" s="164"/>
      <c r="Q39" s="164"/>
      <c r="R39" s="164"/>
      <c r="S39" s="164"/>
      <c r="T39" s="164"/>
      <c r="U39" s="164"/>
      <c r="V39" s="164"/>
    </row>
    <row r="40" spans="1:25" ht="27" customHeight="1">
      <c r="A40" s="38" t="str">
        <f>IF(ISBLANK(C40)," ",35-COUNTBLANK($C$6:C40))</f>
        <v xml:space="preserve"> </v>
      </c>
      <c r="B40" s="4"/>
      <c r="C40" s="5"/>
      <c r="D40" s="34"/>
      <c r="E40" s="34"/>
      <c r="F40" s="6"/>
      <c r="G40" s="6"/>
      <c r="H40" s="7"/>
      <c r="I40" s="7"/>
      <c r="J40" s="2"/>
      <c r="K40" s="2"/>
      <c r="L40" s="2"/>
      <c r="M40" s="8"/>
      <c r="N40" s="163" t="str">
        <f t="shared" si="0"/>
        <v/>
      </c>
      <c r="O40" s="126" t="str">
        <f t="shared" si="2"/>
        <v>-</v>
      </c>
      <c r="P40" s="164"/>
      <c r="Q40" s="164"/>
      <c r="R40" s="164"/>
      <c r="S40" s="164"/>
      <c r="T40" s="164"/>
      <c r="U40" s="164"/>
      <c r="V40" s="164"/>
    </row>
    <row r="41" spans="1:25" ht="27" customHeight="1">
      <c r="A41" s="38" t="str">
        <f>IF(ISBLANK(C41)," ",36-COUNTBLANK($C$6:C41))</f>
        <v xml:space="preserve"> </v>
      </c>
      <c r="B41" s="4"/>
      <c r="C41" s="5"/>
      <c r="D41" s="34"/>
      <c r="E41" s="34"/>
      <c r="F41" s="6"/>
      <c r="G41" s="6"/>
      <c r="H41" s="7"/>
      <c r="I41" s="7"/>
      <c r="J41" s="2"/>
      <c r="K41" s="2"/>
      <c r="L41" s="2"/>
      <c r="M41" s="8"/>
      <c r="N41" s="163" t="str">
        <f t="shared" si="0"/>
        <v/>
      </c>
      <c r="O41" s="126" t="str">
        <f t="shared" si="2"/>
        <v>-</v>
      </c>
      <c r="P41" s="164"/>
      <c r="Q41" s="164"/>
      <c r="R41" s="164"/>
      <c r="S41" s="164"/>
      <c r="T41" s="164"/>
      <c r="U41" s="164"/>
      <c r="V41" s="164"/>
    </row>
    <row r="42" spans="1:25" ht="27" customHeight="1">
      <c r="A42" s="38" t="str">
        <f>IF(ISBLANK(C42)," ",37-COUNTBLANK($C$6:C42))</f>
        <v xml:space="preserve"> </v>
      </c>
      <c r="B42" s="4"/>
      <c r="C42" s="5"/>
      <c r="D42" s="34"/>
      <c r="E42" s="34"/>
      <c r="F42" s="6"/>
      <c r="G42" s="6"/>
      <c r="H42" s="7"/>
      <c r="I42" s="7"/>
      <c r="J42" s="2"/>
      <c r="K42" s="2"/>
      <c r="L42" s="2"/>
      <c r="M42" s="8"/>
      <c r="N42" s="163" t="str">
        <f t="shared" si="0"/>
        <v/>
      </c>
      <c r="O42" s="126" t="str">
        <f t="shared" si="2"/>
        <v>-</v>
      </c>
      <c r="P42" s="164"/>
      <c r="Q42" s="164"/>
      <c r="R42" s="164"/>
      <c r="S42" s="164"/>
      <c r="T42" s="164"/>
      <c r="U42" s="164"/>
      <c r="V42" s="165"/>
    </row>
    <row r="43" spans="1:25" ht="27" customHeight="1">
      <c r="A43" s="38" t="str">
        <f>IF(ISBLANK(C43)," ",38-COUNTBLANK($C$6:C43))</f>
        <v xml:space="preserve"> </v>
      </c>
      <c r="B43" s="4"/>
      <c r="C43" s="5"/>
      <c r="D43" s="34"/>
      <c r="E43" s="34"/>
      <c r="F43" s="6"/>
      <c r="G43" s="6"/>
      <c r="H43" s="7"/>
      <c r="I43" s="7"/>
      <c r="J43" s="2"/>
      <c r="K43" s="2"/>
      <c r="L43" s="2"/>
      <c r="M43" s="8"/>
      <c r="N43" s="163" t="str">
        <f t="shared" si="0"/>
        <v/>
      </c>
      <c r="O43" s="126" t="str">
        <f t="shared" si="2"/>
        <v>-</v>
      </c>
      <c r="P43" s="164"/>
      <c r="Q43" s="164"/>
      <c r="R43" s="164"/>
      <c r="S43" s="164"/>
      <c r="T43" s="164"/>
      <c r="U43" s="164"/>
      <c r="V43" s="165"/>
    </row>
    <row r="44" spans="1:25" ht="27" customHeight="1">
      <c r="A44" s="38" t="str">
        <f>IF(ISBLANK(C44)," ",39-COUNTBLANK($C$6:C44))</f>
        <v xml:space="preserve"> </v>
      </c>
      <c r="B44" s="4"/>
      <c r="C44" s="5"/>
      <c r="D44" s="34"/>
      <c r="E44" s="34"/>
      <c r="F44" s="6"/>
      <c r="G44" s="6"/>
      <c r="H44" s="7"/>
      <c r="I44" s="7"/>
      <c r="J44" s="2"/>
      <c r="K44" s="2"/>
      <c r="L44" s="2"/>
      <c r="M44" s="8"/>
      <c r="N44" s="163" t="str">
        <f t="shared" si="0"/>
        <v/>
      </c>
      <c r="O44" s="126" t="str">
        <f t="shared" si="2"/>
        <v>-</v>
      </c>
      <c r="P44" s="164"/>
      <c r="Q44" s="164"/>
      <c r="R44" s="164"/>
      <c r="S44" s="164"/>
      <c r="T44" s="164"/>
      <c r="U44" s="164"/>
      <c r="V44" s="165"/>
    </row>
    <row r="45" spans="1:25" ht="27" customHeight="1">
      <c r="A45" s="38" t="str">
        <f>IF(ISBLANK(C45)," ",40-COUNTBLANK($C$6:C45))</f>
        <v xml:space="preserve"> </v>
      </c>
      <c r="B45" s="4"/>
      <c r="C45" s="5"/>
      <c r="D45" s="34"/>
      <c r="E45" s="34"/>
      <c r="F45" s="6"/>
      <c r="G45" s="6"/>
      <c r="H45" s="7"/>
      <c r="I45" s="7"/>
      <c r="J45" s="2"/>
      <c r="K45" s="2"/>
      <c r="L45" s="2"/>
      <c r="M45" s="8"/>
      <c r="N45" s="163" t="str">
        <f t="shared" si="0"/>
        <v/>
      </c>
      <c r="O45" s="126" t="str">
        <f t="shared" si="2"/>
        <v>-</v>
      </c>
      <c r="P45" s="164"/>
      <c r="Q45" s="164"/>
      <c r="R45" s="164"/>
      <c r="S45" s="164"/>
      <c r="T45" s="164"/>
      <c r="U45" s="164"/>
      <c r="V45" s="165"/>
    </row>
    <row r="46" spans="1:25" ht="27" customHeight="1">
      <c r="A46" s="39" t="str">
        <f>IF(ISBLANK(C46)," ",41-COUNTBLANK($C$6:C46))</f>
        <v xml:space="preserve"> </v>
      </c>
      <c r="B46" s="14"/>
      <c r="C46" s="15"/>
      <c r="D46" s="35"/>
      <c r="E46" s="35"/>
      <c r="F46" s="16"/>
      <c r="G46" s="16"/>
      <c r="H46" s="17"/>
      <c r="I46" s="17"/>
      <c r="J46" s="3"/>
      <c r="K46" s="3"/>
      <c r="L46" s="3"/>
      <c r="M46" s="18"/>
      <c r="N46" s="163" t="str">
        <f t="shared" si="0"/>
        <v/>
      </c>
      <c r="O46" s="126" t="str">
        <f t="shared" si="2"/>
        <v>-</v>
      </c>
      <c r="P46" s="164"/>
      <c r="Q46" s="164"/>
      <c r="R46" s="164"/>
      <c r="S46" s="164"/>
      <c r="T46" s="164"/>
      <c r="U46" s="164"/>
      <c r="V46" s="166"/>
      <c r="W46" s="164"/>
      <c r="X46" s="164"/>
      <c r="Y46" s="164"/>
    </row>
    <row r="47" spans="1:25" ht="27" customHeight="1">
      <c r="A47" s="167" t="s">
        <v>44</v>
      </c>
      <c r="B47" s="168"/>
      <c r="C47" s="168"/>
      <c r="D47" s="169"/>
      <c r="E47" s="169">
        <f>SUM(E27:E46)</f>
        <v>0</v>
      </c>
      <c r="F47" s="170"/>
      <c r="G47" s="170"/>
      <c r="H47" s="170"/>
      <c r="I47" s="170"/>
      <c r="J47" s="170"/>
      <c r="K47" s="170"/>
      <c r="L47" s="170"/>
      <c r="M47" s="171"/>
      <c r="N47" s="163" t="str">
        <f t="shared" si="0"/>
        <v/>
      </c>
      <c r="O47" s="126"/>
      <c r="P47" s="164"/>
      <c r="Q47" s="164"/>
      <c r="R47" s="164"/>
      <c r="S47" s="164"/>
      <c r="T47" s="164"/>
      <c r="U47" s="164"/>
      <c r="V47" s="166"/>
      <c r="W47" s="164"/>
      <c r="X47" s="164"/>
      <c r="Y47" s="164"/>
    </row>
    <row r="48" spans="1:25" ht="27" customHeight="1">
      <c r="A48" s="37" t="str">
        <f>IF(ISBLANK(C48)," ",43-COUNTBLANK($C$6:C48))</f>
        <v xml:space="preserve"> </v>
      </c>
      <c r="B48" s="9"/>
      <c r="C48" s="10"/>
      <c r="D48" s="33"/>
      <c r="E48" s="33"/>
      <c r="F48" s="11"/>
      <c r="G48" s="11"/>
      <c r="H48" s="12"/>
      <c r="I48" s="12"/>
      <c r="J48" s="32"/>
      <c r="K48" s="32"/>
      <c r="L48" s="32"/>
      <c r="M48" s="13"/>
      <c r="N48" s="163" t="str">
        <f t="shared" si="0"/>
        <v/>
      </c>
      <c r="O48" s="126" t="str">
        <f>IF(D48&gt;=E48,"-","ERR")</f>
        <v>-</v>
      </c>
      <c r="P48" s="164"/>
      <c r="Q48" s="164"/>
      <c r="R48" s="164"/>
      <c r="S48" s="164"/>
      <c r="T48" s="164"/>
      <c r="U48" s="164"/>
      <c r="V48" s="164"/>
    </row>
    <row r="49" spans="1:22" ht="27" customHeight="1">
      <c r="A49" s="38" t="str">
        <f>IF(ISBLANK(C49)," ",44-COUNTBLANK($C$6:C49))</f>
        <v xml:space="preserve"> </v>
      </c>
      <c r="B49" s="4"/>
      <c r="C49" s="5"/>
      <c r="D49" s="34"/>
      <c r="E49" s="34"/>
      <c r="F49" s="6"/>
      <c r="G49" s="6"/>
      <c r="H49" s="7"/>
      <c r="I49" s="7"/>
      <c r="J49" s="2"/>
      <c r="K49" s="2"/>
      <c r="L49" s="2"/>
      <c r="M49" s="8"/>
      <c r="N49" s="163" t="str">
        <f t="shared" si="0"/>
        <v/>
      </c>
      <c r="O49" s="126" t="str">
        <f t="shared" ref="O49:O67" si="3">IF(D49&gt;=E49,"-","ERR")</f>
        <v>-</v>
      </c>
      <c r="P49" s="164"/>
      <c r="Q49" s="164"/>
      <c r="R49" s="164"/>
      <c r="S49" s="164"/>
      <c r="T49" s="164"/>
      <c r="U49" s="164"/>
      <c r="V49" s="164"/>
    </row>
    <row r="50" spans="1:22" ht="27" customHeight="1">
      <c r="A50" s="38" t="str">
        <f>IF(ISBLANK(C50)," ",45-COUNTBLANK($C$6:C50))</f>
        <v xml:space="preserve"> </v>
      </c>
      <c r="B50" s="4"/>
      <c r="C50" s="5"/>
      <c r="D50" s="34"/>
      <c r="E50" s="34"/>
      <c r="F50" s="6"/>
      <c r="G50" s="6"/>
      <c r="H50" s="7"/>
      <c r="I50" s="7"/>
      <c r="J50" s="2"/>
      <c r="K50" s="2"/>
      <c r="L50" s="2"/>
      <c r="M50" s="8"/>
      <c r="N50" s="163" t="str">
        <f t="shared" si="0"/>
        <v/>
      </c>
      <c r="O50" s="126" t="str">
        <f t="shared" si="3"/>
        <v>-</v>
      </c>
      <c r="P50" s="164"/>
      <c r="Q50" s="164"/>
      <c r="R50" s="164"/>
      <c r="S50" s="164"/>
      <c r="T50" s="164"/>
      <c r="U50" s="164"/>
      <c r="V50" s="164"/>
    </row>
    <row r="51" spans="1:22" ht="27" customHeight="1">
      <c r="A51" s="38" t="str">
        <f>IF(ISBLANK(C51)," ",46-COUNTBLANK($C$6:C51))</f>
        <v xml:space="preserve"> </v>
      </c>
      <c r="B51" s="4"/>
      <c r="C51" s="5"/>
      <c r="D51" s="34"/>
      <c r="E51" s="34"/>
      <c r="F51" s="6"/>
      <c r="G51" s="6"/>
      <c r="H51" s="7"/>
      <c r="I51" s="7"/>
      <c r="J51" s="2"/>
      <c r="K51" s="2"/>
      <c r="L51" s="2"/>
      <c r="M51" s="8"/>
      <c r="N51" s="163" t="str">
        <f t="shared" si="0"/>
        <v/>
      </c>
      <c r="O51" s="126" t="str">
        <f t="shared" si="3"/>
        <v>-</v>
      </c>
      <c r="P51" s="164"/>
      <c r="Q51" s="164"/>
      <c r="R51" s="164"/>
      <c r="S51" s="164"/>
      <c r="T51" s="164"/>
      <c r="U51" s="164"/>
      <c r="V51" s="164"/>
    </row>
    <row r="52" spans="1:22" ht="27" customHeight="1">
      <c r="A52" s="38" t="str">
        <f>IF(ISBLANK(C52)," ",47-COUNTBLANK($C$6:C52))</f>
        <v xml:space="preserve"> </v>
      </c>
      <c r="B52" s="4"/>
      <c r="C52" s="5"/>
      <c r="D52" s="34"/>
      <c r="E52" s="34"/>
      <c r="F52" s="6"/>
      <c r="G52" s="6"/>
      <c r="H52" s="7"/>
      <c r="I52" s="7"/>
      <c r="J52" s="2"/>
      <c r="K52" s="2"/>
      <c r="L52" s="2"/>
      <c r="M52" s="8"/>
      <c r="N52" s="163" t="str">
        <f t="shared" si="0"/>
        <v/>
      </c>
      <c r="O52" s="126" t="str">
        <f t="shared" si="3"/>
        <v>-</v>
      </c>
      <c r="P52" s="164"/>
      <c r="Q52" s="164"/>
      <c r="R52" s="164"/>
      <c r="S52" s="164"/>
      <c r="T52" s="164"/>
      <c r="U52" s="164"/>
      <c r="V52" s="164"/>
    </row>
    <row r="53" spans="1:22" ht="27" customHeight="1">
      <c r="A53" s="38" t="str">
        <f>IF(ISBLANK(C53)," ",48-COUNTBLANK($C$6:C53))</f>
        <v xml:space="preserve"> </v>
      </c>
      <c r="B53" s="4"/>
      <c r="C53" s="5"/>
      <c r="D53" s="34"/>
      <c r="E53" s="34"/>
      <c r="F53" s="6"/>
      <c r="G53" s="6"/>
      <c r="H53" s="7"/>
      <c r="I53" s="7"/>
      <c r="J53" s="2"/>
      <c r="K53" s="2"/>
      <c r="L53" s="2"/>
      <c r="M53" s="8"/>
      <c r="N53" s="163" t="str">
        <f t="shared" si="0"/>
        <v/>
      </c>
      <c r="O53" s="126" t="str">
        <f t="shared" si="3"/>
        <v>-</v>
      </c>
      <c r="P53" s="164"/>
      <c r="Q53" s="164"/>
      <c r="R53" s="164"/>
      <c r="S53" s="164"/>
      <c r="T53" s="164"/>
      <c r="U53" s="164"/>
      <c r="V53" s="164"/>
    </row>
    <row r="54" spans="1:22" ht="27" customHeight="1">
      <c r="A54" s="38" t="str">
        <f>IF(ISBLANK(C54)," ",49-COUNTBLANK($C$6:C54))</f>
        <v xml:space="preserve"> </v>
      </c>
      <c r="B54" s="4"/>
      <c r="C54" s="5"/>
      <c r="D54" s="34"/>
      <c r="E54" s="34"/>
      <c r="F54" s="6"/>
      <c r="G54" s="6"/>
      <c r="H54" s="7"/>
      <c r="I54" s="7"/>
      <c r="J54" s="2"/>
      <c r="K54" s="2"/>
      <c r="L54" s="2"/>
      <c r="M54" s="8"/>
      <c r="N54" s="163" t="str">
        <f t="shared" si="0"/>
        <v/>
      </c>
      <c r="O54" s="126" t="str">
        <f t="shared" si="3"/>
        <v>-</v>
      </c>
      <c r="P54" s="164"/>
      <c r="Q54" s="164"/>
      <c r="R54" s="164"/>
      <c r="S54" s="164"/>
      <c r="T54" s="164"/>
      <c r="U54" s="164"/>
      <c r="V54" s="164"/>
    </row>
    <row r="55" spans="1:22" ht="27" customHeight="1">
      <c r="A55" s="38" t="str">
        <f>IF(ISBLANK(C55)," ",50-COUNTBLANK($C$6:C55))</f>
        <v xml:space="preserve"> </v>
      </c>
      <c r="B55" s="4"/>
      <c r="C55" s="5"/>
      <c r="D55" s="34"/>
      <c r="E55" s="34"/>
      <c r="F55" s="6"/>
      <c r="G55" s="6"/>
      <c r="H55" s="7"/>
      <c r="I55" s="7"/>
      <c r="J55" s="2"/>
      <c r="K55" s="2"/>
      <c r="L55" s="2"/>
      <c r="M55" s="8"/>
      <c r="N55" s="163" t="str">
        <f t="shared" si="0"/>
        <v/>
      </c>
      <c r="O55" s="126" t="str">
        <f t="shared" si="3"/>
        <v>-</v>
      </c>
      <c r="P55" s="164"/>
      <c r="Q55" s="164"/>
      <c r="R55" s="164"/>
      <c r="S55" s="164"/>
      <c r="T55" s="164"/>
      <c r="U55" s="164"/>
      <c r="V55" s="164"/>
    </row>
    <row r="56" spans="1:22" ht="27" customHeight="1">
      <c r="A56" s="38" t="str">
        <f>IF(ISBLANK(C56)," ",51-COUNTBLANK($C$6:C56))</f>
        <v xml:space="preserve"> </v>
      </c>
      <c r="B56" s="4"/>
      <c r="C56" s="5"/>
      <c r="D56" s="34"/>
      <c r="E56" s="34"/>
      <c r="F56" s="6"/>
      <c r="G56" s="6"/>
      <c r="H56" s="7"/>
      <c r="I56" s="7"/>
      <c r="J56" s="2"/>
      <c r="K56" s="2"/>
      <c r="L56" s="2"/>
      <c r="M56" s="8"/>
      <c r="N56" s="163" t="str">
        <f t="shared" si="0"/>
        <v/>
      </c>
      <c r="O56" s="126" t="str">
        <f t="shared" si="3"/>
        <v>-</v>
      </c>
      <c r="P56" s="164"/>
      <c r="Q56" s="164"/>
      <c r="R56" s="164"/>
      <c r="S56" s="164"/>
      <c r="T56" s="164"/>
      <c r="U56" s="164"/>
      <c r="V56" s="164"/>
    </row>
    <row r="57" spans="1:22" ht="27" customHeight="1">
      <c r="A57" s="38" t="str">
        <f>IF(ISBLANK(C57)," ",52-COUNTBLANK($C$6:C57))</f>
        <v xml:space="preserve"> </v>
      </c>
      <c r="B57" s="4"/>
      <c r="C57" s="5"/>
      <c r="D57" s="34"/>
      <c r="E57" s="34"/>
      <c r="F57" s="6"/>
      <c r="G57" s="6"/>
      <c r="H57" s="7"/>
      <c r="I57" s="7"/>
      <c r="J57" s="2"/>
      <c r="K57" s="2"/>
      <c r="L57" s="2"/>
      <c r="M57" s="8"/>
      <c r="N57" s="163" t="str">
        <f t="shared" si="0"/>
        <v/>
      </c>
      <c r="O57" s="126" t="str">
        <f t="shared" si="3"/>
        <v>-</v>
      </c>
      <c r="P57" s="164"/>
      <c r="Q57" s="164"/>
      <c r="R57" s="164"/>
      <c r="S57" s="164"/>
      <c r="T57" s="164"/>
      <c r="U57" s="164"/>
      <c r="V57" s="164"/>
    </row>
    <row r="58" spans="1:22" ht="27" customHeight="1">
      <c r="A58" s="38" t="str">
        <f>IF(ISBLANK(C58)," ",53-COUNTBLANK($C$6:C58))</f>
        <v xml:space="preserve"> </v>
      </c>
      <c r="B58" s="4"/>
      <c r="C58" s="5"/>
      <c r="D58" s="34"/>
      <c r="E58" s="34"/>
      <c r="F58" s="6"/>
      <c r="G58" s="6"/>
      <c r="H58" s="7"/>
      <c r="I58" s="7"/>
      <c r="J58" s="2"/>
      <c r="K58" s="2"/>
      <c r="L58" s="2"/>
      <c r="M58" s="8"/>
      <c r="N58" s="163" t="str">
        <f t="shared" si="0"/>
        <v/>
      </c>
      <c r="O58" s="126" t="str">
        <f t="shared" si="3"/>
        <v>-</v>
      </c>
      <c r="P58" s="164"/>
      <c r="Q58" s="164"/>
      <c r="R58" s="164"/>
      <c r="S58" s="164"/>
      <c r="T58" s="164"/>
      <c r="U58" s="164"/>
      <c r="V58" s="164"/>
    </row>
    <row r="59" spans="1:22" ht="27" customHeight="1">
      <c r="A59" s="38" t="str">
        <f>IF(ISBLANK(C59)," ",54-COUNTBLANK($C$6:C59))</f>
        <v xml:space="preserve"> </v>
      </c>
      <c r="B59" s="4"/>
      <c r="C59" s="5"/>
      <c r="D59" s="34"/>
      <c r="E59" s="34"/>
      <c r="F59" s="6"/>
      <c r="G59" s="6"/>
      <c r="H59" s="7"/>
      <c r="I59" s="7"/>
      <c r="J59" s="2"/>
      <c r="K59" s="2"/>
      <c r="L59" s="2"/>
      <c r="M59" s="8"/>
      <c r="N59" s="163" t="str">
        <f t="shared" si="0"/>
        <v/>
      </c>
      <c r="O59" s="126" t="str">
        <f t="shared" si="3"/>
        <v>-</v>
      </c>
      <c r="P59" s="164"/>
      <c r="Q59" s="164"/>
      <c r="R59" s="164"/>
      <c r="S59" s="164"/>
      <c r="T59" s="164"/>
      <c r="U59" s="164"/>
      <c r="V59" s="164"/>
    </row>
    <row r="60" spans="1:22" ht="27" customHeight="1">
      <c r="A60" s="38" t="str">
        <f>IF(ISBLANK(C60)," ",55-COUNTBLANK($C$6:C60))</f>
        <v xml:space="preserve"> </v>
      </c>
      <c r="B60" s="4"/>
      <c r="C60" s="5"/>
      <c r="D60" s="34"/>
      <c r="E60" s="34"/>
      <c r="F60" s="6"/>
      <c r="G60" s="6"/>
      <c r="H60" s="7"/>
      <c r="I60" s="7"/>
      <c r="J60" s="2"/>
      <c r="K60" s="2"/>
      <c r="L60" s="2"/>
      <c r="M60" s="8"/>
      <c r="N60" s="163" t="str">
        <f t="shared" si="0"/>
        <v/>
      </c>
      <c r="O60" s="126" t="str">
        <f t="shared" si="3"/>
        <v>-</v>
      </c>
      <c r="P60" s="164"/>
      <c r="Q60" s="164"/>
      <c r="R60" s="164"/>
      <c r="S60" s="164"/>
      <c r="T60" s="164"/>
      <c r="U60" s="164"/>
      <c r="V60" s="164"/>
    </row>
    <row r="61" spans="1:22" ht="27" customHeight="1">
      <c r="A61" s="38" t="str">
        <f>IF(ISBLANK(C61)," ",56-COUNTBLANK($C$6:C61))</f>
        <v xml:space="preserve"> </v>
      </c>
      <c r="B61" s="4"/>
      <c r="C61" s="5"/>
      <c r="D61" s="34"/>
      <c r="E61" s="34"/>
      <c r="F61" s="6"/>
      <c r="G61" s="6"/>
      <c r="H61" s="7"/>
      <c r="I61" s="7"/>
      <c r="J61" s="2"/>
      <c r="K61" s="2"/>
      <c r="L61" s="2"/>
      <c r="M61" s="8"/>
      <c r="N61" s="163" t="str">
        <f t="shared" si="0"/>
        <v/>
      </c>
      <c r="O61" s="126" t="str">
        <f t="shared" si="3"/>
        <v>-</v>
      </c>
      <c r="P61" s="164"/>
      <c r="Q61" s="164"/>
      <c r="R61" s="164"/>
      <c r="S61" s="164"/>
      <c r="T61" s="164"/>
      <c r="U61" s="164"/>
      <c r="V61" s="164"/>
    </row>
    <row r="62" spans="1:22" ht="27" customHeight="1">
      <c r="A62" s="38" t="str">
        <f>IF(ISBLANK(C62)," ",57-COUNTBLANK($C$6:C62))</f>
        <v xml:space="preserve"> </v>
      </c>
      <c r="B62" s="4"/>
      <c r="C62" s="5"/>
      <c r="D62" s="34"/>
      <c r="E62" s="34"/>
      <c r="F62" s="6"/>
      <c r="G62" s="6"/>
      <c r="H62" s="7"/>
      <c r="I62" s="7"/>
      <c r="J62" s="2"/>
      <c r="K62" s="2"/>
      <c r="L62" s="2"/>
      <c r="M62" s="8"/>
      <c r="N62" s="163" t="str">
        <f t="shared" si="0"/>
        <v/>
      </c>
      <c r="O62" s="126" t="str">
        <f t="shared" si="3"/>
        <v>-</v>
      </c>
      <c r="P62" s="164"/>
      <c r="Q62" s="164"/>
      <c r="R62" s="164"/>
      <c r="S62" s="164"/>
      <c r="T62" s="164"/>
      <c r="U62" s="164"/>
      <c r="V62" s="164"/>
    </row>
    <row r="63" spans="1:22" ht="27" customHeight="1">
      <c r="A63" s="38" t="str">
        <f>IF(ISBLANK(C63)," ",58-COUNTBLANK($C$6:C63))</f>
        <v xml:space="preserve"> </v>
      </c>
      <c r="B63" s="4"/>
      <c r="C63" s="5"/>
      <c r="D63" s="34"/>
      <c r="E63" s="34"/>
      <c r="F63" s="6"/>
      <c r="G63" s="6"/>
      <c r="H63" s="7"/>
      <c r="I63" s="7"/>
      <c r="J63" s="2"/>
      <c r="K63" s="2"/>
      <c r="L63" s="2"/>
      <c r="M63" s="8"/>
      <c r="N63" s="163" t="str">
        <f t="shared" si="0"/>
        <v/>
      </c>
      <c r="O63" s="126" t="str">
        <f t="shared" si="3"/>
        <v>-</v>
      </c>
      <c r="P63" s="164"/>
      <c r="Q63" s="164"/>
      <c r="R63" s="164"/>
      <c r="S63" s="164"/>
      <c r="T63" s="164"/>
      <c r="U63" s="164"/>
      <c r="V63" s="165"/>
    </row>
    <row r="64" spans="1:22" ht="27" customHeight="1">
      <c r="A64" s="38" t="str">
        <f>IF(ISBLANK(C64)," ",59-COUNTBLANK($C$6:C64))</f>
        <v xml:space="preserve"> </v>
      </c>
      <c r="B64" s="4"/>
      <c r="C64" s="5"/>
      <c r="D64" s="34"/>
      <c r="E64" s="34"/>
      <c r="F64" s="6"/>
      <c r="G64" s="6"/>
      <c r="H64" s="7"/>
      <c r="I64" s="7"/>
      <c r="J64" s="2"/>
      <c r="K64" s="2"/>
      <c r="L64" s="2"/>
      <c r="M64" s="8"/>
      <c r="N64" s="163" t="str">
        <f t="shared" si="0"/>
        <v/>
      </c>
      <c r="O64" s="126" t="str">
        <f t="shared" si="3"/>
        <v>-</v>
      </c>
      <c r="P64" s="164"/>
      <c r="Q64" s="164"/>
      <c r="R64" s="164"/>
      <c r="S64" s="164"/>
      <c r="T64" s="164"/>
      <c r="U64" s="164"/>
      <c r="V64" s="165"/>
    </row>
    <row r="65" spans="1:25" ht="27" customHeight="1">
      <c r="A65" s="38" t="str">
        <f>IF(ISBLANK(C65)," ",60-COUNTBLANK($C$6:C65))</f>
        <v xml:space="preserve"> </v>
      </c>
      <c r="B65" s="4"/>
      <c r="C65" s="5"/>
      <c r="D65" s="34"/>
      <c r="E65" s="34"/>
      <c r="F65" s="6"/>
      <c r="G65" s="6"/>
      <c r="H65" s="7"/>
      <c r="I65" s="7"/>
      <c r="J65" s="2"/>
      <c r="K65" s="2"/>
      <c r="L65" s="2"/>
      <c r="M65" s="8"/>
      <c r="N65" s="163" t="str">
        <f t="shared" si="0"/>
        <v/>
      </c>
      <c r="O65" s="126" t="str">
        <f t="shared" si="3"/>
        <v>-</v>
      </c>
      <c r="P65" s="164"/>
      <c r="Q65" s="164"/>
      <c r="R65" s="164"/>
      <c r="S65" s="164"/>
      <c r="T65" s="164"/>
      <c r="U65" s="164"/>
      <c r="V65" s="165"/>
    </row>
    <row r="66" spans="1:25" ht="27" customHeight="1">
      <c r="A66" s="38" t="str">
        <f>IF(ISBLANK(C66)," ",61-COUNTBLANK($C$6:C66))</f>
        <v xml:space="preserve"> </v>
      </c>
      <c r="B66" s="4"/>
      <c r="C66" s="5"/>
      <c r="D66" s="34"/>
      <c r="E66" s="34"/>
      <c r="F66" s="6"/>
      <c r="G66" s="6"/>
      <c r="H66" s="7"/>
      <c r="I66" s="7"/>
      <c r="J66" s="2"/>
      <c r="K66" s="2"/>
      <c r="L66" s="2"/>
      <c r="M66" s="8"/>
      <c r="N66" s="163" t="str">
        <f t="shared" si="0"/>
        <v/>
      </c>
      <c r="O66" s="126" t="str">
        <f t="shared" si="3"/>
        <v>-</v>
      </c>
      <c r="P66" s="164"/>
      <c r="Q66" s="164"/>
      <c r="R66" s="164"/>
      <c r="S66" s="164"/>
      <c r="T66" s="164"/>
      <c r="U66" s="164"/>
      <c r="V66" s="165"/>
    </row>
    <row r="67" spans="1:25" ht="27" customHeight="1">
      <c r="A67" s="39" t="str">
        <f>IF(ISBLANK(C67)," ",62-COUNTBLANK($C$6:C67))</f>
        <v xml:space="preserve"> </v>
      </c>
      <c r="B67" s="14"/>
      <c r="C67" s="15"/>
      <c r="D67" s="35"/>
      <c r="E67" s="35"/>
      <c r="F67" s="16"/>
      <c r="G67" s="16"/>
      <c r="H67" s="17"/>
      <c r="I67" s="17"/>
      <c r="J67" s="3"/>
      <c r="K67" s="3"/>
      <c r="L67" s="3"/>
      <c r="M67" s="18"/>
      <c r="N67" s="163" t="str">
        <f t="shared" si="0"/>
        <v/>
      </c>
      <c r="O67" s="126" t="str">
        <f t="shared" si="3"/>
        <v>-</v>
      </c>
      <c r="P67" s="164"/>
      <c r="Q67" s="164"/>
      <c r="R67" s="164"/>
      <c r="S67" s="164"/>
      <c r="T67" s="164"/>
      <c r="U67" s="164"/>
      <c r="V67" s="166"/>
      <c r="W67" s="164"/>
      <c r="X67" s="164"/>
      <c r="Y67" s="164"/>
    </row>
    <row r="68" spans="1:25" ht="27" customHeight="1">
      <c r="A68" s="167" t="s">
        <v>44</v>
      </c>
      <c r="B68" s="168"/>
      <c r="C68" s="168"/>
      <c r="D68" s="169"/>
      <c r="E68" s="169">
        <f>SUM(E48:E67)</f>
        <v>0</v>
      </c>
      <c r="F68" s="170"/>
      <c r="G68" s="170"/>
      <c r="H68" s="170"/>
      <c r="I68" s="170"/>
      <c r="J68" s="170"/>
      <c r="K68" s="170"/>
      <c r="L68" s="170"/>
      <c r="M68" s="171"/>
      <c r="N68" s="163" t="str">
        <f t="shared" si="0"/>
        <v/>
      </c>
      <c r="O68" s="126"/>
      <c r="P68" s="164"/>
      <c r="Q68" s="164"/>
      <c r="R68" s="164"/>
      <c r="S68" s="164"/>
      <c r="T68" s="164"/>
      <c r="U68" s="164"/>
      <c r="V68" s="166"/>
      <c r="W68" s="164"/>
      <c r="X68" s="164"/>
      <c r="Y68" s="164"/>
    </row>
    <row r="69" spans="1:25" ht="27" customHeight="1">
      <c r="A69" s="37" t="str">
        <f>IF(ISBLANK(C69)," ",64-COUNTBLANK($C$6:C69))</f>
        <v xml:space="preserve"> </v>
      </c>
      <c r="B69" s="9"/>
      <c r="C69" s="10"/>
      <c r="D69" s="33"/>
      <c r="E69" s="33"/>
      <c r="F69" s="11"/>
      <c r="G69" s="11"/>
      <c r="H69" s="12"/>
      <c r="I69" s="12"/>
      <c r="J69" s="32"/>
      <c r="K69" s="32"/>
      <c r="L69" s="32"/>
      <c r="M69" s="13"/>
      <c r="N69" s="163" t="str">
        <f t="shared" si="0"/>
        <v/>
      </c>
      <c r="O69" s="126" t="str">
        <f>IF(D69&gt;=E69,"-","ERR")</f>
        <v>-</v>
      </c>
      <c r="P69" s="164"/>
      <c r="Q69" s="164"/>
      <c r="R69" s="164"/>
      <c r="S69" s="164"/>
      <c r="T69" s="164"/>
      <c r="U69" s="164"/>
      <c r="V69" s="164"/>
    </row>
    <row r="70" spans="1:25" ht="27" customHeight="1">
      <c r="A70" s="38" t="str">
        <f>IF(ISBLANK(C70)," ",65-COUNTBLANK($C$6:C70))</f>
        <v xml:space="preserve"> </v>
      </c>
      <c r="B70" s="4"/>
      <c r="C70" s="5"/>
      <c r="D70" s="34"/>
      <c r="E70" s="34"/>
      <c r="F70" s="6"/>
      <c r="G70" s="6"/>
      <c r="H70" s="7"/>
      <c r="I70" s="7"/>
      <c r="J70" s="2"/>
      <c r="K70" s="2"/>
      <c r="L70" s="2"/>
      <c r="M70" s="8"/>
      <c r="N70" s="163" t="str">
        <f t="shared" si="0"/>
        <v/>
      </c>
      <c r="O70" s="126" t="str">
        <f t="shared" ref="O70:O88" si="4">IF(D70&gt;=E70,"-","ERR")</f>
        <v>-</v>
      </c>
      <c r="P70" s="164"/>
      <c r="Q70" s="164"/>
      <c r="R70" s="164"/>
      <c r="S70" s="164"/>
      <c r="T70" s="164"/>
      <c r="U70" s="164"/>
      <c r="V70" s="164"/>
    </row>
    <row r="71" spans="1:25" ht="27" customHeight="1">
      <c r="A71" s="38" t="str">
        <f>IF(ISBLANK(C71)," ",66-COUNTBLANK($C$6:C71))</f>
        <v xml:space="preserve"> </v>
      </c>
      <c r="B71" s="4"/>
      <c r="C71" s="5"/>
      <c r="D71" s="34"/>
      <c r="E71" s="34"/>
      <c r="F71" s="6"/>
      <c r="G71" s="6"/>
      <c r="H71" s="7"/>
      <c r="I71" s="7"/>
      <c r="J71" s="2"/>
      <c r="K71" s="2"/>
      <c r="L71" s="2"/>
      <c r="M71" s="8"/>
      <c r="N71" s="163" t="str">
        <f t="shared" ref="N71:N134" si="5">CONCATENATE(C71,H71)</f>
        <v/>
      </c>
      <c r="O71" s="126" t="str">
        <f t="shared" si="4"/>
        <v>-</v>
      </c>
      <c r="P71" s="164"/>
      <c r="Q71" s="164"/>
      <c r="R71" s="164"/>
      <c r="S71" s="164"/>
      <c r="T71" s="164"/>
      <c r="U71" s="164"/>
      <c r="V71" s="164"/>
    </row>
    <row r="72" spans="1:25" ht="27" customHeight="1">
      <c r="A72" s="38" t="str">
        <f>IF(ISBLANK(C72)," ",67-COUNTBLANK($C$6:C72))</f>
        <v xml:space="preserve"> </v>
      </c>
      <c r="B72" s="4"/>
      <c r="C72" s="5"/>
      <c r="D72" s="34"/>
      <c r="E72" s="34"/>
      <c r="F72" s="6"/>
      <c r="G72" s="6"/>
      <c r="H72" s="7"/>
      <c r="I72" s="7"/>
      <c r="J72" s="2"/>
      <c r="K72" s="2"/>
      <c r="L72" s="2"/>
      <c r="M72" s="8"/>
      <c r="N72" s="163" t="str">
        <f t="shared" si="5"/>
        <v/>
      </c>
      <c r="O72" s="126" t="str">
        <f t="shared" si="4"/>
        <v>-</v>
      </c>
      <c r="P72" s="164"/>
      <c r="Q72" s="164"/>
      <c r="R72" s="164"/>
      <c r="S72" s="164"/>
      <c r="T72" s="164"/>
      <c r="U72" s="164"/>
      <c r="V72" s="164"/>
    </row>
    <row r="73" spans="1:25" ht="27" customHeight="1">
      <c r="A73" s="38" t="str">
        <f>IF(ISBLANK(C73)," ",68-COUNTBLANK($C$6:C73))</f>
        <v xml:space="preserve"> </v>
      </c>
      <c r="B73" s="4"/>
      <c r="C73" s="5"/>
      <c r="D73" s="34"/>
      <c r="E73" s="34"/>
      <c r="F73" s="6"/>
      <c r="G73" s="6"/>
      <c r="H73" s="7"/>
      <c r="I73" s="7"/>
      <c r="J73" s="2"/>
      <c r="K73" s="2"/>
      <c r="L73" s="2"/>
      <c r="M73" s="8"/>
      <c r="N73" s="163" t="str">
        <f t="shared" si="5"/>
        <v/>
      </c>
      <c r="O73" s="126" t="str">
        <f t="shared" si="4"/>
        <v>-</v>
      </c>
      <c r="P73" s="164"/>
      <c r="Q73" s="164"/>
      <c r="R73" s="164"/>
      <c r="S73" s="164"/>
      <c r="T73" s="164"/>
      <c r="U73" s="164"/>
      <c r="V73" s="164"/>
    </row>
    <row r="74" spans="1:25" ht="27" customHeight="1">
      <c r="A74" s="38" t="str">
        <f>IF(ISBLANK(C74)," ",69-COUNTBLANK($C$6:C74))</f>
        <v xml:space="preserve"> </v>
      </c>
      <c r="B74" s="4"/>
      <c r="C74" s="5"/>
      <c r="D74" s="34"/>
      <c r="E74" s="34"/>
      <c r="F74" s="6"/>
      <c r="G74" s="6"/>
      <c r="H74" s="7"/>
      <c r="I74" s="7"/>
      <c r="J74" s="2"/>
      <c r="K74" s="2"/>
      <c r="L74" s="2"/>
      <c r="M74" s="8"/>
      <c r="N74" s="163" t="str">
        <f t="shared" si="5"/>
        <v/>
      </c>
      <c r="O74" s="126" t="str">
        <f t="shared" si="4"/>
        <v>-</v>
      </c>
      <c r="P74" s="164"/>
      <c r="Q74" s="164"/>
      <c r="R74" s="164"/>
      <c r="S74" s="164"/>
      <c r="T74" s="164"/>
      <c r="U74" s="164"/>
      <c r="V74" s="164"/>
    </row>
    <row r="75" spans="1:25" ht="27" customHeight="1">
      <c r="A75" s="38" t="str">
        <f>IF(ISBLANK(C75)," ",70-COUNTBLANK($C$6:C75))</f>
        <v xml:space="preserve"> </v>
      </c>
      <c r="B75" s="4"/>
      <c r="C75" s="5"/>
      <c r="D75" s="34"/>
      <c r="E75" s="34"/>
      <c r="F75" s="6"/>
      <c r="G75" s="6"/>
      <c r="H75" s="7"/>
      <c r="I75" s="7"/>
      <c r="J75" s="2"/>
      <c r="K75" s="2"/>
      <c r="L75" s="2"/>
      <c r="M75" s="8"/>
      <c r="N75" s="163" t="str">
        <f t="shared" si="5"/>
        <v/>
      </c>
      <c r="O75" s="126" t="str">
        <f t="shared" si="4"/>
        <v>-</v>
      </c>
      <c r="P75" s="164"/>
      <c r="Q75" s="164"/>
      <c r="R75" s="164"/>
      <c r="S75" s="164"/>
      <c r="T75" s="164"/>
      <c r="U75" s="164"/>
      <c r="V75" s="164"/>
    </row>
    <row r="76" spans="1:25" ht="27" customHeight="1">
      <c r="A76" s="38" t="str">
        <f>IF(ISBLANK(C76)," ",71-COUNTBLANK($C$6:C76))</f>
        <v xml:space="preserve"> </v>
      </c>
      <c r="B76" s="4"/>
      <c r="C76" s="5"/>
      <c r="D76" s="34"/>
      <c r="E76" s="34"/>
      <c r="F76" s="6"/>
      <c r="G76" s="6"/>
      <c r="H76" s="7"/>
      <c r="I76" s="7"/>
      <c r="J76" s="2"/>
      <c r="K76" s="2"/>
      <c r="L76" s="2"/>
      <c r="M76" s="8"/>
      <c r="N76" s="163" t="str">
        <f t="shared" si="5"/>
        <v/>
      </c>
      <c r="O76" s="126" t="str">
        <f t="shared" si="4"/>
        <v>-</v>
      </c>
      <c r="P76" s="164"/>
      <c r="Q76" s="164"/>
      <c r="R76" s="164"/>
      <c r="S76" s="164"/>
      <c r="T76" s="164"/>
      <c r="U76" s="164"/>
      <c r="V76" s="164"/>
    </row>
    <row r="77" spans="1:25" ht="27" customHeight="1">
      <c r="A77" s="38" t="str">
        <f>IF(ISBLANK(C77)," ",72-COUNTBLANK($C$6:C77))</f>
        <v xml:space="preserve"> </v>
      </c>
      <c r="B77" s="4"/>
      <c r="C77" s="5"/>
      <c r="D77" s="34"/>
      <c r="E77" s="34"/>
      <c r="F77" s="6"/>
      <c r="G77" s="6"/>
      <c r="H77" s="7"/>
      <c r="I77" s="7"/>
      <c r="J77" s="2"/>
      <c r="K77" s="2"/>
      <c r="L77" s="2"/>
      <c r="M77" s="8"/>
      <c r="N77" s="163" t="str">
        <f t="shared" si="5"/>
        <v/>
      </c>
      <c r="O77" s="126" t="str">
        <f t="shared" si="4"/>
        <v>-</v>
      </c>
      <c r="P77" s="164"/>
      <c r="Q77" s="164"/>
      <c r="R77" s="164"/>
      <c r="S77" s="164"/>
      <c r="T77" s="164"/>
      <c r="U77" s="164"/>
      <c r="V77" s="164"/>
    </row>
    <row r="78" spans="1:25" ht="27" customHeight="1">
      <c r="A78" s="38" t="str">
        <f>IF(ISBLANK(C78)," ",73-COUNTBLANK($C$6:C78))</f>
        <v xml:space="preserve"> </v>
      </c>
      <c r="B78" s="4"/>
      <c r="C78" s="5"/>
      <c r="D78" s="34"/>
      <c r="E78" s="34"/>
      <c r="F78" s="6"/>
      <c r="G78" s="6"/>
      <c r="H78" s="7"/>
      <c r="I78" s="7"/>
      <c r="J78" s="2"/>
      <c r="K78" s="2"/>
      <c r="L78" s="2"/>
      <c r="M78" s="8"/>
      <c r="N78" s="163" t="str">
        <f t="shared" si="5"/>
        <v/>
      </c>
      <c r="O78" s="126" t="str">
        <f t="shared" si="4"/>
        <v>-</v>
      </c>
      <c r="P78" s="164"/>
      <c r="Q78" s="164"/>
      <c r="R78" s="164"/>
      <c r="S78" s="164"/>
      <c r="T78" s="164"/>
      <c r="U78" s="164"/>
      <c r="V78" s="164"/>
    </row>
    <row r="79" spans="1:25" ht="27" customHeight="1">
      <c r="A79" s="38" t="str">
        <f>IF(ISBLANK(C79)," ",74-COUNTBLANK($C$6:C79))</f>
        <v xml:space="preserve"> </v>
      </c>
      <c r="B79" s="4"/>
      <c r="C79" s="5"/>
      <c r="D79" s="34"/>
      <c r="E79" s="34"/>
      <c r="F79" s="6"/>
      <c r="G79" s="6"/>
      <c r="H79" s="7"/>
      <c r="I79" s="7"/>
      <c r="J79" s="2"/>
      <c r="K79" s="2"/>
      <c r="L79" s="2"/>
      <c r="M79" s="8"/>
      <c r="N79" s="163" t="str">
        <f t="shared" si="5"/>
        <v/>
      </c>
      <c r="O79" s="126" t="str">
        <f t="shared" si="4"/>
        <v>-</v>
      </c>
      <c r="P79" s="164"/>
      <c r="Q79" s="164"/>
      <c r="R79" s="164"/>
      <c r="S79" s="164"/>
      <c r="T79" s="164"/>
      <c r="U79" s="164"/>
      <c r="V79" s="164"/>
    </row>
    <row r="80" spans="1:25" ht="27" customHeight="1">
      <c r="A80" s="38" t="str">
        <f>IF(ISBLANK(C80)," ",75-COUNTBLANK($C$6:C80))</f>
        <v xml:space="preserve"> </v>
      </c>
      <c r="B80" s="4"/>
      <c r="C80" s="5"/>
      <c r="D80" s="34"/>
      <c r="E80" s="34"/>
      <c r="F80" s="6"/>
      <c r="G80" s="6"/>
      <c r="H80" s="7"/>
      <c r="I80" s="7"/>
      <c r="J80" s="2"/>
      <c r="K80" s="2"/>
      <c r="L80" s="2"/>
      <c r="M80" s="8"/>
      <c r="N80" s="163" t="str">
        <f t="shared" si="5"/>
        <v/>
      </c>
      <c r="O80" s="126" t="str">
        <f t="shared" si="4"/>
        <v>-</v>
      </c>
      <c r="P80" s="164"/>
      <c r="Q80" s="164"/>
      <c r="R80" s="164"/>
      <c r="S80" s="164"/>
      <c r="T80" s="164"/>
      <c r="U80" s="164"/>
      <c r="V80" s="164"/>
    </row>
    <row r="81" spans="1:25" ht="27" customHeight="1">
      <c r="A81" s="38" t="str">
        <f>IF(ISBLANK(C81)," ",76-COUNTBLANK($C$6:C81))</f>
        <v xml:space="preserve"> </v>
      </c>
      <c r="B81" s="4"/>
      <c r="C81" s="5"/>
      <c r="D81" s="34"/>
      <c r="E81" s="34"/>
      <c r="F81" s="6"/>
      <c r="G81" s="6"/>
      <c r="H81" s="7"/>
      <c r="I81" s="7"/>
      <c r="J81" s="2"/>
      <c r="K81" s="2"/>
      <c r="L81" s="2"/>
      <c r="M81" s="8"/>
      <c r="N81" s="163" t="str">
        <f t="shared" si="5"/>
        <v/>
      </c>
      <c r="O81" s="126" t="str">
        <f t="shared" si="4"/>
        <v>-</v>
      </c>
      <c r="P81" s="164"/>
      <c r="Q81" s="164"/>
      <c r="R81" s="164"/>
      <c r="S81" s="164"/>
      <c r="T81" s="164"/>
      <c r="U81" s="164"/>
      <c r="V81" s="164"/>
    </row>
    <row r="82" spans="1:25" ht="27" customHeight="1">
      <c r="A82" s="38" t="str">
        <f>IF(ISBLANK(C82)," ",77-COUNTBLANK($C$6:C82))</f>
        <v xml:space="preserve"> </v>
      </c>
      <c r="B82" s="4"/>
      <c r="C82" s="5"/>
      <c r="D82" s="34"/>
      <c r="E82" s="34"/>
      <c r="F82" s="6"/>
      <c r="G82" s="6"/>
      <c r="H82" s="7"/>
      <c r="I82" s="7"/>
      <c r="J82" s="2"/>
      <c r="K82" s="2"/>
      <c r="L82" s="2"/>
      <c r="M82" s="8"/>
      <c r="N82" s="163" t="str">
        <f t="shared" si="5"/>
        <v/>
      </c>
      <c r="O82" s="126" t="str">
        <f t="shared" si="4"/>
        <v>-</v>
      </c>
      <c r="P82" s="164"/>
      <c r="Q82" s="164"/>
      <c r="R82" s="164"/>
      <c r="S82" s="164"/>
      <c r="T82" s="164"/>
      <c r="U82" s="164"/>
      <c r="V82" s="164"/>
    </row>
    <row r="83" spans="1:25" ht="27" customHeight="1">
      <c r="A83" s="38" t="str">
        <f>IF(ISBLANK(C83)," ",78-COUNTBLANK($C$6:C83))</f>
        <v xml:space="preserve"> </v>
      </c>
      <c r="B83" s="4"/>
      <c r="C83" s="5"/>
      <c r="D83" s="34"/>
      <c r="E83" s="34"/>
      <c r="F83" s="6"/>
      <c r="G83" s="6"/>
      <c r="H83" s="7"/>
      <c r="I83" s="7"/>
      <c r="J83" s="2"/>
      <c r="K83" s="2"/>
      <c r="L83" s="2"/>
      <c r="M83" s="8"/>
      <c r="N83" s="163" t="str">
        <f t="shared" si="5"/>
        <v/>
      </c>
      <c r="O83" s="126" t="str">
        <f t="shared" si="4"/>
        <v>-</v>
      </c>
      <c r="P83" s="164"/>
      <c r="Q83" s="164"/>
      <c r="R83" s="164"/>
      <c r="S83" s="164"/>
      <c r="T83" s="164"/>
      <c r="U83" s="164"/>
      <c r="V83" s="164"/>
    </row>
    <row r="84" spans="1:25" ht="27" customHeight="1">
      <c r="A84" s="38" t="str">
        <f>IF(ISBLANK(C84)," ",79-COUNTBLANK($C$6:C84))</f>
        <v xml:space="preserve"> </v>
      </c>
      <c r="B84" s="4"/>
      <c r="C84" s="5"/>
      <c r="D84" s="34"/>
      <c r="E84" s="34"/>
      <c r="F84" s="6"/>
      <c r="G84" s="6"/>
      <c r="H84" s="7"/>
      <c r="I84" s="7"/>
      <c r="J84" s="2"/>
      <c r="K84" s="2"/>
      <c r="L84" s="2"/>
      <c r="M84" s="8"/>
      <c r="N84" s="163" t="str">
        <f t="shared" si="5"/>
        <v/>
      </c>
      <c r="O84" s="126" t="str">
        <f t="shared" si="4"/>
        <v>-</v>
      </c>
      <c r="P84" s="164"/>
      <c r="Q84" s="164"/>
      <c r="R84" s="164"/>
      <c r="S84" s="164"/>
      <c r="T84" s="164"/>
      <c r="U84" s="164"/>
      <c r="V84" s="165"/>
    </row>
    <row r="85" spans="1:25" ht="27" customHeight="1">
      <c r="A85" s="38" t="str">
        <f>IF(ISBLANK(C85)," ",80-COUNTBLANK($C$6:C85))</f>
        <v xml:space="preserve"> </v>
      </c>
      <c r="B85" s="4"/>
      <c r="C85" s="5"/>
      <c r="D85" s="34"/>
      <c r="E85" s="34"/>
      <c r="F85" s="6"/>
      <c r="G85" s="6"/>
      <c r="H85" s="7"/>
      <c r="I85" s="7"/>
      <c r="J85" s="2"/>
      <c r="K85" s="2"/>
      <c r="L85" s="2"/>
      <c r="M85" s="8"/>
      <c r="N85" s="163" t="str">
        <f t="shared" si="5"/>
        <v/>
      </c>
      <c r="O85" s="126" t="str">
        <f t="shared" si="4"/>
        <v>-</v>
      </c>
      <c r="P85" s="164"/>
      <c r="Q85" s="164"/>
      <c r="R85" s="164"/>
      <c r="S85" s="164"/>
      <c r="T85" s="164"/>
      <c r="U85" s="164"/>
      <c r="V85" s="165"/>
    </row>
    <row r="86" spans="1:25" ht="27" customHeight="1">
      <c r="A86" s="38" t="str">
        <f>IF(ISBLANK(C86)," ",81-COUNTBLANK($C$6:C86))</f>
        <v xml:space="preserve"> </v>
      </c>
      <c r="B86" s="4"/>
      <c r="C86" s="5"/>
      <c r="D86" s="34"/>
      <c r="E86" s="34"/>
      <c r="F86" s="6"/>
      <c r="G86" s="6"/>
      <c r="H86" s="7"/>
      <c r="I86" s="7"/>
      <c r="J86" s="2"/>
      <c r="K86" s="2"/>
      <c r="L86" s="2"/>
      <c r="M86" s="8"/>
      <c r="N86" s="163" t="str">
        <f t="shared" si="5"/>
        <v/>
      </c>
      <c r="O86" s="126" t="str">
        <f t="shared" si="4"/>
        <v>-</v>
      </c>
      <c r="P86" s="164"/>
      <c r="Q86" s="164"/>
      <c r="R86" s="164"/>
      <c r="S86" s="164"/>
      <c r="T86" s="164"/>
      <c r="U86" s="164"/>
      <c r="V86" s="165"/>
    </row>
    <row r="87" spans="1:25" ht="27" customHeight="1">
      <c r="A87" s="38" t="str">
        <f>IF(ISBLANK(C87)," ",82-COUNTBLANK($C$6:C87))</f>
        <v xml:space="preserve"> </v>
      </c>
      <c r="B87" s="4"/>
      <c r="C87" s="5"/>
      <c r="D87" s="34"/>
      <c r="E87" s="34"/>
      <c r="F87" s="6"/>
      <c r="G87" s="6"/>
      <c r="H87" s="7"/>
      <c r="I87" s="7"/>
      <c r="J87" s="2"/>
      <c r="K87" s="2"/>
      <c r="L87" s="2"/>
      <c r="M87" s="8"/>
      <c r="N87" s="163" t="str">
        <f t="shared" si="5"/>
        <v/>
      </c>
      <c r="O87" s="126" t="str">
        <f t="shared" si="4"/>
        <v>-</v>
      </c>
      <c r="P87" s="164"/>
      <c r="Q87" s="164"/>
      <c r="R87" s="164"/>
      <c r="S87" s="164"/>
      <c r="T87" s="164"/>
      <c r="U87" s="164"/>
      <c r="V87" s="165"/>
    </row>
    <row r="88" spans="1:25" ht="27" customHeight="1">
      <c r="A88" s="39" t="str">
        <f>IF(ISBLANK(C88)," ",83-COUNTBLANK($C$6:C88))</f>
        <v xml:space="preserve"> </v>
      </c>
      <c r="B88" s="14"/>
      <c r="C88" s="15"/>
      <c r="D88" s="35"/>
      <c r="E88" s="35"/>
      <c r="F88" s="16"/>
      <c r="G88" s="16"/>
      <c r="H88" s="17"/>
      <c r="I88" s="17"/>
      <c r="J88" s="3"/>
      <c r="K88" s="3"/>
      <c r="L88" s="3"/>
      <c r="M88" s="18"/>
      <c r="N88" s="163" t="str">
        <f t="shared" si="5"/>
        <v/>
      </c>
      <c r="O88" s="126" t="str">
        <f t="shared" si="4"/>
        <v>-</v>
      </c>
      <c r="P88" s="164"/>
      <c r="Q88" s="164"/>
      <c r="R88" s="164"/>
      <c r="S88" s="164"/>
      <c r="T88" s="164"/>
      <c r="U88" s="164"/>
      <c r="V88" s="166"/>
      <c r="W88" s="164"/>
      <c r="X88" s="164"/>
      <c r="Y88" s="164"/>
    </row>
    <row r="89" spans="1:25" ht="27" customHeight="1">
      <c r="A89" s="167" t="s">
        <v>44</v>
      </c>
      <c r="B89" s="168"/>
      <c r="C89" s="168"/>
      <c r="D89" s="169"/>
      <c r="E89" s="169">
        <f>SUM(E69:E88)</f>
        <v>0</v>
      </c>
      <c r="F89" s="170"/>
      <c r="G89" s="170"/>
      <c r="H89" s="170"/>
      <c r="I89" s="170"/>
      <c r="J89" s="170"/>
      <c r="K89" s="170"/>
      <c r="L89" s="170"/>
      <c r="M89" s="171"/>
      <c r="N89" s="163" t="str">
        <f t="shared" si="5"/>
        <v/>
      </c>
      <c r="O89" s="126"/>
      <c r="P89" s="164"/>
      <c r="Q89" s="164"/>
      <c r="R89" s="164"/>
      <c r="S89" s="164"/>
      <c r="T89" s="164"/>
      <c r="U89" s="164"/>
      <c r="V89" s="166"/>
      <c r="W89" s="164"/>
      <c r="X89" s="164"/>
      <c r="Y89" s="164"/>
    </row>
    <row r="90" spans="1:25" ht="27" customHeight="1">
      <c r="A90" s="37" t="str">
        <f>IF(ISBLANK(C90)," ",85-COUNTBLANK($C$6:C90))</f>
        <v xml:space="preserve"> </v>
      </c>
      <c r="B90" s="9"/>
      <c r="C90" s="10"/>
      <c r="D90" s="33"/>
      <c r="E90" s="33"/>
      <c r="F90" s="11"/>
      <c r="G90" s="11"/>
      <c r="H90" s="12"/>
      <c r="I90" s="12"/>
      <c r="J90" s="32"/>
      <c r="K90" s="32"/>
      <c r="L90" s="32"/>
      <c r="M90" s="13"/>
      <c r="N90" s="163" t="str">
        <f t="shared" si="5"/>
        <v/>
      </c>
      <c r="O90" s="126" t="str">
        <f>IF(D90&gt;=E90,"-","ERR")</f>
        <v>-</v>
      </c>
      <c r="P90" s="164"/>
      <c r="Q90" s="164"/>
      <c r="R90" s="164"/>
      <c r="S90" s="164"/>
      <c r="T90" s="164"/>
      <c r="U90" s="164"/>
      <c r="V90" s="164"/>
    </row>
    <row r="91" spans="1:25" ht="27" customHeight="1">
      <c r="A91" s="38" t="str">
        <f>IF(ISBLANK(C91)," ",86-COUNTBLANK($C$6:C91))</f>
        <v xml:space="preserve"> </v>
      </c>
      <c r="B91" s="4"/>
      <c r="C91" s="5"/>
      <c r="D91" s="34"/>
      <c r="E91" s="34"/>
      <c r="F91" s="6"/>
      <c r="G91" s="6"/>
      <c r="H91" s="7"/>
      <c r="I91" s="7"/>
      <c r="J91" s="2"/>
      <c r="K91" s="2"/>
      <c r="L91" s="2"/>
      <c r="M91" s="8"/>
      <c r="N91" s="163" t="str">
        <f t="shared" si="5"/>
        <v/>
      </c>
      <c r="O91" s="126" t="str">
        <f t="shared" ref="O91:O109" si="6">IF(D91&gt;=E91,"-","ERR")</f>
        <v>-</v>
      </c>
      <c r="P91" s="164"/>
      <c r="Q91" s="164"/>
      <c r="R91" s="164"/>
      <c r="S91" s="164"/>
      <c r="T91" s="164"/>
      <c r="U91" s="164"/>
      <c r="V91" s="164"/>
    </row>
    <row r="92" spans="1:25" ht="27" customHeight="1">
      <c r="A92" s="38" t="str">
        <f>IF(ISBLANK(C92)," ",87-COUNTBLANK($C$6:C92))</f>
        <v xml:space="preserve"> </v>
      </c>
      <c r="B92" s="4"/>
      <c r="C92" s="5"/>
      <c r="D92" s="34"/>
      <c r="E92" s="34"/>
      <c r="F92" s="6"/>
      <c r="G92" s="6"/>
      <c r="H92" s="7"/>
      <c r="I92" s="7"/>
      <c r="J92" s="2"/>
      <c r="K92" s="2"/>
      <c r="L92" s="2"/>
      <c r="M92" s="8"/>
      <c r="N92" s="163" t="str">
        <f t="shared" si="5"/>
        <v/>
      </c>
      <c r="O92" s="126" t="str">
        <f t="shared" si="6"/>
        <v>-</v>
      </c>
      <c r="P92" s="164"/>
      <c r="Q92" s="164"/>
      <c r="R92" s="164"/>
      <c r="S92" s="164"/>
      <c r="T92" s="164"/>
      <c r="U92" s="164"/>
      <c r="V92" s="164"/>
    </row>
    <row r="93" spans="1:25" ht="27" customHeight="1">
      <c r="A93" s="38" t="str">
        <f>IF(ISBLANK(C93)," ",88-COUNTBLANK($C$6:C93))</f>
        <v xml:space="preserve"> </v>
      </c>
      <c r="B93" s="4"/>
      <c r="C93" s="5"/>
      <c r="D93" s="34"/>
      <c r="E93" s="34"/>
      <c r="F93" s="6"/>
      <c r="G93" s="6"/>
      <c r="H93" s="7"/>
      <c r="I93" s="7"/>
      <c r="J93" s="2"/>
      <c r="K93" s="2"/>
      <c r="L93" s="2"/>
      <c r="M93" s="8"/>
      <c r="N93" s="163" t="str">
        <f t="shared" si="5"/>
        <v/>
      </c>
      <c r="O93" s="126" t="str">
        <f t="shared" si="6"/>
        <v>-</v>
      </c>
      <c r="P93" s="164"/>
      <c r="Q93" s="164"/>
      <c r="R93" s="164"/>
      <c r="S93" s="164"/>
      <c r="T93" s="164"/>
      <c r="U93" s="164"/>
      <c r="V93" s="164"/>
    </row>
    <row r="94" spans="1:25" ht="27" customHeight="1">
      <c r="A94" s="38" t="str">
        <f>IF(ISBLANK(C94)," ",89-COUNTBLANK($C$6:C94))</f>
        <v xml:space="preserve"> </v>
      </c>
      <c r="B94" s="4"/>
      <c r="C94" s="5"/>
      <c r="D94" s="34"/>
      <c r="E94" s="34"/>
      <c r="F94" s="6"/>
      <c r="G94" s="6"/>
      <c r="H94" s="7"/>
      <c r="I94" s="7"/>
      <c r="J94" s="2"/>
      <c r="K94" s="2"/>
      <c r="L94" s="2"/>
      <c r="M94" s="8"/>
      <c r="N94" s="163" t="str">
        <f t="shared" si="5"/>
        <v/>
      </c>
      <c r="O94" s="126" t="str">
        <f t="shared" si="6"/>
        <v>-</v>
      </c>
      <c r="P94" s="164"/>
      <c r="Q94" s="164"/>
      <c r="R94" s="164"/>
      <c r="S94" s="164"/>
      <c r="T94" s="164"/>
      <c r="U94" s="164"/>
      <c r="V94" s="164"/>
    </row>
    <row r="95" spans="1:25" ht="27" customHeight="1">
      <c r="A95" s="38" t="str">
        <f>IF(ISBLANK(C95)," ",90-COUNTBLANK($C$6:C95))</f>
        <v xml:space="preserve"> </v>
      </c>
      <c r="B95" s="4"/>
      <c r="C95" s="5"/>
      <c r="D95" s="34"/>
      <c r="E95" s="34"/>
      <c r="F95" s="6"/>
      <c r="G95" s="6"/>
      <c r="H95" s="7"/>
      <c r="I95" s="7"/>
      <c r="J95" s="2"/>
      <c r="K95" s="2"/>
      <c r="L95" s="2"/>
      <c r="M95" s="8"/>
      <c r="N95" s="163" t="str">
        <f t="shared" si="5"/>
        <v/>
      </c>
      <c r="O95" s="126" t="str">
        <f t="shared" si="6"/>
        <v>-</v>
      </c>
      <c r="P95" s="164"/>
      <c r="Q95" s="164"/>
      <c r="R95" s="164"/>
      <c r="S95" s="164"/>
      <c r="T95" s="164"/>
      <c r="U95" s="164"/>
      <c r="V95" s="164"/>
    </row>
    <row r="96" spans="1:25" ht="27" customHeight="1">
      <c r="A96" s="38" t="str">
        <f>IF(ISBLANK(C96)," ",91-COUNTBLANK($C$6:C96))</f>
        <v xml:space="preserve"> </v>
      </c>
      <c r="B96" s="4"/>
      <c r="C96" s="5"/>
      <c r="D96" s="34"/>
      <c r="E96" s="34"/>
      <c r="F96" s="6"/>
      <c r="G96" s="6"/>
      <c r="H96" s="7"/>
      <c r="I96" s="7"/>
      <c r="J96" s="2"/>
      <c r="K96" s="2"/>
      <c r="L96" s="2"/>
      <c r="M96" s="8"/>
      <c r="N96" s="163" t="str">
        <f t="shared" si="5"/>
        <v/>
      </c>
      <c r="O96" s="126" t="str">
        <f t="shared" si="6"/>
        <v>-</v>
      </c>
      <c r="P96" s="164"/>
      <c r="Q96" s="164"/>
      <c r="R96" s="164"/>
      <c r="S96" s="164"/>
      <c r="T96" s="164"/>
      <c r="U96" s="164"/>
      <c r="V96" s="164"/>
    </row>
    <row r="97" spans="1:25" ht="27" customHeight="1">
      <c r="A97" s="38" t="str">
        <f>IF(ISBLANK(C97)," ",92-COUNTBLANK($C$6:C97))</f>
        <v xml:space="preserve"> </v>
      </c>
      <c r="B97" s="4"/>
      <c r="C97" s="5"/>
      <c r="D97" s="34"/>
      <c r="E97" s="34"/>
      <c r="F97" s="6"/>
      <c r="G97" s="6"/>
      <c r="H97" s="7"/>
      <c r="I97" s="7"/>
      <c r="J97" s="2"/>
      <c r="K97" s="2"/>
      <c r="L97" s="2"/>
      <c r="M97" s="8"/>
      <c r="N97" s="163" t="str">
        <f t="shared" si="5"/>
        <v/>
      </c>
      <c r="O97" s="126" t="str">
        <f t="shared" si="6"/>
        <v>-</v>
      </c>
      <c r="P97" s="164"/>
      <c r="Q97" s="164"/>
      <c r="R97" s="164"/>
      <c r="S97" s="164"/>
      <c r="T97" s="164"/>
      <c r="U97" s="164"/>
      <c r="V97" s="164"/>
    </row>
    <row r="98" spans="1:25" ht="27" customHeight="1">
      <c r="A98" s="38" t="str">
        <f>IF(ISBLANK(C98)," ",93-COUNTBLANK($C$6:C98))</f>
        <v xml:space="preserve"> </v>
      </c>
      <c r="B98" s="4"/>
      <c r="C98" s="5"/>
      <c r="D98" s="34"/>
      <c r="E98" s="34"/>
      <c r="F98" s="6"/>
      <c r="G98" s="6"/>
      <c r="H98" s="7"/>
      <c r="I98" s="7"/>
      <c r="J98" s="2"/>
      <c r="K98" s="2"/>
      <c r="L98" s="2"/>
      <c r="M98" s="8"/>
      <c r="N98" s="163" t="str">
        <f t="shared" si="5"/>
        <v/>
      </c>
      <c r="O98" s="126" t="str">
        <f t="shared" si="6"/>
        <v>-</v>
      </c>
      <c r="P98" s="164"/>
      <c r="Q98" s="164"/>
      <c r="R98" s="164"/>
      <c r="S98" s="164"/>
      <c r="T98" s="164"/>
      <c r="U98" s="164"/>
      <c r="V98" s="164"/>
    </row>
    <row r="99" spans="1:25" ht="27" customHeight="1">
      <c r="A99" s="38" t="str">
        <f>IF(ISBLANK(C99)," ",94-COUNTBLANK($C$6:C99))</f>
        <v xml:space="preserve"> </v>
      </c>
      <c r="B99" s="4"/>
      <c r="C99" s="5"/>
      <c r="D99" s="34"/>
      <c r="E99" s="34"/>
      <c r="F99" s="6"/>
      <c r="G99" s="6"/>
      <c r="H99" s="7"/>
      <c r="I99" s="7"/>
      <c r="J99" s="2"/>
      <c r="K99" s="2"/>
      <c r="L99" s="2"/>
      <c r="M99" s="8"/>
      <c r="N99" s="163" t="str">
        <f t="shared" si="5"/>
        <v/>
      </c>
      <c r="O99" s="126" t="str">
        <f t="shared" si="6"/>
        <v>-</v>
      </c>
      <c r="P99" s="164"/>
      <c r="Q99" s="164"/>
      <c r="R99" s="164"/>
      <c r="S99" s="164"/>
      <c r="T99" s="164"/>
      <c r="U99" s="164"/>
      <c r="V99" s="164"/>
    </row>
    <row r="100" spans="1:25" ht="27" customHeight="1">
      <c r="A100" s="38" t="str">
        <f>IF(ISBLANK(C100)," ",95-COUNTBLANK($C$6:C100))</f>
        <v xml:space="preserve"> </v>
      </c>
      <c r="B100" s="4"/>
      <c r="C100" s="5"/>
      <c r="D100" s="34"/>
      <c r="E100" s="34"/>
      <c r="F100" s="6"/>
      <c r="G100" s="6"/>
      <c r="H100" s="7"/>
      <c r="I100" s="7"/>
      <c r="J100" s="2"/>
      <c r="K100" s="2"/>
      <c r="L100" s="2"/>
      <c r="M100" s="8"/>
      <c r="N100" s="163" t="str">
        <f t="shared" si="5"/>
        <v/>
      </c>
      <c r="O100" s="126" t="str">
        <f t="shared" si="6"/>
        <v>-</v>
      </c>
      <c r="P100" s="164"/>
      <c r="Q100" s="164"/>
      <c r="R100" s="164"/>
      <c r="S100" s="164"/>
      <c r="T100" s="164"/>
      <c r="U100" s="164"/>
      <c r="V100" s="164"/>
    </row>
    <row r="101" spans="1:25" ht="27" customHeight="1">
      <c r="A101" s="38" t="str">
        <f>IF(ISBLANK(C101)," ",96-COUNTBLANK($C$6:C101))</f>
        <v xml:space="preserve"> </v>
      </c>
      <c r="B101" s="4"/>
      <c r="C101" s="5"/>
      <c r="D101" s="34"/>
      <c r="E101" s="34"/>
      <c r="F101" s="6"/>
      <c r="G101" s="6"/>
      <c r="H101" s="7"/>
      <c r="I101" s="7"/>
      <c r="J101" s="2"/>
      <c r="K101" s="2"/>
      <c r="L101" s="2"/>
      <c r="M101" s="8"/>
      <c r="N101" s="163" t="str">
        <f t="shared" si="5"/>
        <v/>
      </c>
      <c r="O101" s="126" t="str">
        <f t="shared" si="6"/>
        <v>-</v>
      </c>
      <c r="P101" s="164"/>
      <c r="Q101" s="164"/>
      <c r="R101" s="164"/>
      <c r="S101" s="164"/>
      <c r="T101" s="164"/>
      <c r="U101" s="164"/>
      <c r="V101" s="164"/>
    </row>
    <row r="102" spans="1:25" ht="27" customHeight="1">
      <c r="A102" s="38" t="str">
        <f>IF(ISBLANK(C102)," ",97-COUNTBLANK($C$6:C102))</f>
        <v xml:space="preserve"> </v>
      </c>
      <c r="B102" s="4"/>
      <c r="C102" s="5"/>
      <c r="D102" s="34"/>
      <c r="E102" s="34"/>
      <c r="F102" s="6"/>
      <c r="G102" s="6"/>
      <c r="H102" s="7"/>
      <c r="I102" s="7"/>
      <c r="J102" s="2"/>
      <c r="K102" s="2"/>
      <c r="L102" s="2"/>
      <c r="M102" s="8"/>
      <c r="N102" s="163" t="str">
        <f t="shared" si="5"/>
        <v/>
      </c>
      <c r="O102" s="126" t="str">
        <f t="shared" si="6"/>
        <v>-</v>
      </c>
      <c r="P102" s="164"/>
      <c r="Q102" s="164"/>
      <c r="R102" s="164"/>
      <c r="S102" s="164"/>
      <c r="T102" s="164"/>
      <c r="U102" s="164"/>
      <c r="V102" s="164"/>
    </row>
    <row r="103" spans="1:25" ht="27" customHeight="1">
      <c r="A103" s="38" t="str">
        <f>IF(ISBLANK(C103)," ",98-COUNTBLANK($C$6:C103))</f>
        <v xml:space="preserve"> </v>
      </c>
      <c r="B103" s="4"/>
      <c r="C103" s="5"/>
      <c r="D103" s="34"/>
      <c r="E103" s="34"/>
      <c r="F103" s="6"/>
      <c r="G103" s="6"/>
      <c r="H103" s="7"/>
      <c r="I103" s="7"/>
      <c r="J103" s="2"/>
      <c r="K103" s="2"/>
      <c r="L103" s="2"/>
      <c r="M103" s="8"/>
      <c r="N103" s="163" t="str">
        <f t="shared" si="5"/>
        <v/>
      </c>
      <c r="O103" s="126" t="str">
        <f t="shared" si="6"/>
        <v>-</v>
      </c>
      <c r="P103" s="164"/>
      <c r="Q103" s="164"/>
      <c r="R103" s="164"/>
      <c r="S103" s="164"/>
      <c r="T103" s="164"/>
      <c r="U103" s="164"/>
      <c r="V103" s="164"/>
    </row>
    <row r="104" spans="1:25" ht="27" customHeight="1">
      <c r="A104" s="38" t="str">
        <f>IF(ISBLANK(C104)," ",99-COUNTBLANK($C$6:C104))</f>
        <v xml:space="preserve"> </v>
      </c>
      <c r="B104" s="4"/>
      <c r="C104" s="5"/>
      <c r="D104" s="34"/>
      <c r="E104" s="34"/>
      <c r="F104" s="6"/>
      <c r="G104" s="6"/>
      <c r="H104" s="7"/>
      <c r="I104" s="7"/>
      <c r="J104" s="2"/>
      <c r="K104" s="2"/>
      <c r="L104" s="2"/>
      <c r="M104" s="8"/>
      <c r="N104" s="163" t="str">
        <f t="shared" si="5"/>
        <v/>
      </c>
      <c r="O104" s="126" t="str">
        <f t="shared" si="6"/>
        <v>-</v>
      </c>
      <c r="P104" s="164"/>
      <c r="Q104" s="164"/>
      <c r="R104" s="164"/>
      <c r="S104" s="164"/>
      <c r="T104" s="164"/>
      <c r="U104" s="164"/>
      <c r="V104" s="164"/>
    </row>
    <row r="105" spans="1:25" ht="27" customHeight="1">
      <c r="A105" s="38" t="str">
        <f>IF(ISBLANK(C105)," ",100-COUNTBLANK($C$6:C105))</f>
        <v xml:space="preserve"> </v>
      </c>
      <c r="B105" s="4"/>
      <c r="C105" s="5"/>
      <c r="D105" s="34"/>
      <c r="E105" s="34"/>
      <c r="F105" s="6"/>
      <c r="G105" s="6"/>
      <c r="H105" s="7"/>
      <c r="I105" s="7"/>
      <c r="J105" s="2"/>
      <c r="K105" s="2"/>
      <c r="L105" s="2"/>
      <c r="M105" s="8"/>
      <c r="N105" s="163" t="str">
        <f t="shared" si="5"/>
        <v/>
      </c>
      <c r="O105" s="126" t="str">
        <f t="shared" si="6"/>
        <v>-</v>
      </c>
      <c r="P105" s="164"/>
      <c r="Q105" s="164"/>
      <c r="R105" s="164"/>
      <c r="S105" s="164"/>
      <c r="T105" s="164"/>
      <c r="U105" s="164"/>
      <c r="V105" s="165"/>
    </row>
    <row r="106" spans="1:25" ht="27" customHeight="1">
      <c r="A106" s="38" t="str">
        <f>IF(ISBLANK(C106)," ",101-COUNTBLANK($C$6:C106))</f>
        <v xml:space="preserve"> </v>
      </c>
      <c r="B106" s="4"/>
      <c r="C106" s="5"/>
      <c r="D106" s="34"/>
      <c r="E106" s="34"/>
      <c r="F106" s="6"/>
      <c r="G106" s="6"/>
      <c r="H106" s="7"/>
      <c r="I106" s="7"/>
      <c r="J106" s="2"/>
      <c r="K106" s="2"/>
      <c r="L106" s="2"/>
      <c r="M106" s="8"/>
      <c r="N106" s="163" t="str">
        <f t="shared" si="5"/>
        <v/>
      </c>
      <c r="O106" s="126" t="str">
        <f t="shared" si="6"/>
        <v>-</v>
      </c>
      <c r="P106" s="164"/>
      <c r="Q106" s="164"/>
      <c r="R106" s="164"/>
      <c r="S106" s="164"/>
      <c r="T106" s="164"/>
      <c r="U106" s="164"/>
      <c r="V106" s="165"/>
    </row>
    <row r="107" spans="1:25" ht="27" customHeight="1">
      <c r="A107" s="38" t="str">
        <f>IF(ISBLANK(C107)," ",102-COUNTBLANK($C$6:C107))</f>
        <v xml:space="preserve"> </v>
      </c>
      <c r="B107" s="4"/>
      <c r="C107" s="5"/>
      <c r="D107" s="34"/>
      <c r="E107" s="34"/>
      <c r="F107" s="6"/>
      <c r="G107" s="6"/>
      <c r="H107" s="7"/>
      <c r="I107" s="7"/>
      <c r="J107" s="2"/>
      <c r="K107" s="2"/>
      <c r="L107" s="2"/>
      <c r="M107" s="8"/>
      <c r="N107" s="163" t="str">
        <f t="shared" si="5"/>
        <v/>
      </c>
      <c r="O107" s="126" t="str">
        <f t="shared" si="6"/>
        <v>-</v>
      </c>
      <c r="P107" s="164"/>
      <c r="Q107" s="164"/>
      <c r="R107" s="164"/>
      <c r="S107" s="164"/>
      <c r="T107" s="164"/>
      <c r="U107" s="164"/>
      <c r="V107" s="165"/>
    </row>
    <row r="108" spans="1:25" ht="27" customHeight="1">
      <c r="A108" s="38" t="str">
        <f>IF(ISBLANK(C108)," ",103-COUNTBLANK($C$6:C108))</f>
        <v xml:space="preserve"> </v>
      </c>
      <c r="B108" s="4"/>
      <c r="C108" s="5"/>
      <c r="D108" s="34"/>
      <c r="E108" s="34"/>
      <c r="F108" s="6"/>
      <c r="G108" s="6"/>
      <c r="H108" s="7"/>
      <c r="I108" s="7"/>
      <c r="J108" s="2"/>
      <c r="K108" s="2"/>
      <c r="L108" s="2"/>
      <c r="M108" s="8"/>
      <c r="N108" s="163" t="str">
        <f t="shared" si="5"/>
        <v/>
      </c>
      <c r="O108" s="126" t="str">
        <f t="shared" si="6"/>
        <v>-</v>
      </c>
      <c r="P108" s="164"/>
      <c r="Q108" s="164"/>
      <c r="R108" s="164"/>
      <c r="S108" s="164"/>
      <c r="T108" s="164"/>
      <c r="U108" s="164"/>
      <c r="V108" s="165"/>
    </row>
    <row r="109" spans="1:25" ht="27" customHeight="1">
      <c r="A109" s="39" t="str">
        <f>IF(ISBLANK(C109)," ",104-COUNTBLANK($C$6:C109))</f>
        <v xml:space="preserve"> </v>
      </c>
      <c r="B109" s="14"/>
      <c r="C109" s="15"/>
      <c r="D109" s="35"/>
      <c r="E109" s="35"/>
      <c r="F109" s="16"/>
      <c r="G109" s="16"/>
      <c r="H109" s="17"/>
      <c r="I109" s="17"/>
      <c r="J109" s="3"/>
      <c r="K109" s="3"/>
      <c r="L109" s="3"/>
      <c r="M109" s="18"/>
      <c r="N109" s="163" t="str">
        <f t="shared" si="5"/>
        <v/>
      </c>
      <c r="O109" s="126" t="str">
        <f t="shared" si="6"/>
        <v>-</v>
      </c>
      <c r="P109" s="164"/>
      <c r="Q109" s="164"/>
      <c r="R109" s="164"/>
      <c r="S109" s="164"/>
      <c r="T109" s="164"/>
      <c r="U109" s="164"/>
      <c r="V109" s="166"/>
      <c r="W109" s="164"/>
      <c r="X109" s="164"/>
      <c r="Y109" s="164"/>
    </row>
    <row r="110" spans="1:25" ht="27" customHeight="1">
      <c r="A110" s="172" t="s">
        <v>44</v>
      </c>
      <c r="B110" s="173"/>
      <c r="C110" s="174"/>
      <c r="D110" s="175"/>
      <c r="E110" s="175">
        <f>SUM(E90:E109)</f>
        <v>0</v>
      </c>
      <c r="F110" s="176"/>
      <c r="G110" s="176"/>
      <c r="H110" s="176"/>
      <c r="I110" s="176"/>
      <c r="J110" s="176"/>
      <c r="K110" s="176"/>
      <c r="L110" s="176"/>
      <c r="M110" s="177"/>
      <c r="N110" s="163" t="str">
        <f t="shared" si="5"/>
        <v/>
      </c>
      <c r="O110" s="126"/>
      <c r="P110" s="164"/>
      <c r="Q110" s="164"/>
      <c r="R110" s="164"/>
      <c r="S110" s="164"/>
      <c r="T110" s="164"/>
      <c r="U110" s="164"/>
      <c r="V110" s="166"/>
      <c r="W110" s="164"/>
      <c r="X110" s="164"/>
      <c r="Y110" s="164"/>
    </row>
    <row r="111" spans="1:25" ht="27" customHeight="1">
      <c r="A111" s="37" t="str">
        <f>IF(ISBLANK(C111)," ",106-COUNTBLANK($C$6:C111))</f>
        <v xml:space="preserve"> </v>
      </c>
      <c r="B111" s="9"/>
      <c r="C111" s="10"/>
      <c r="D111" s="33"/>
      <c r="E111" s="33"/>
      <c r="F111" s="11"/>
      <c r="G111" s="11"/>
      <c r="H111" s="12"/>
      <c r="I111" s="12"/>
      <c r="J111" s="32"/>
      <c r="K111" s="32"/>
      <c r="L111" s="32"/>
      <c r="M111" s="13"/>
      <c r="N111" s="163" t="str">
        <f t="shared" si="5"/>
        <v/>
      </c>
      <c r="O111" s="126" t="str">
        <f>IF(D111&gt;=E111,"-","ERR")</f>
        <v>-</v>
      </c>
      <c r="P111" s="164"/>
      <c r="Q111" s="164"/>
      <c r="R111" s="164"/>
      <c r="S111" s="164"/>
      <c r="T111" s="164"/>
      <c r="U111" s="164"/>
      <c r="V111" s="164"/>
    </row>
    <row r="112" spans="1:25" ht="27" customHeight="1">
      <c r="A112" s="38" t="str">
        <f>IF(ISBLANK(C112)," ",107-COUNTBLANK($C$6:C112))</f>
        <v xml:space="preserve"> </v>
      </c>
      <c r="B112" s="4"/>
      <c r="C112" s="5"/>
      <c r="D112" s="34"/>
      <c r="E112" s="34"/>
      <c r="F112" s="6"/>
      <c r="G112" s="6"/>
      <c r="H112" s="7"/>
      <c r="I112" s="7"/>
      <c r="J112" s="2"/>
      <c r="K112" s="2"/>
      <c r="L112" s="2"/>
      <c r="M112" s="8"/>
      <c r="N112" s="163" t="str">
        <f t="shared" si="5"/>
        <v/>
      </c>
      <c r="O112" s="126" t="str">
        <f t="shared" ref="O112:O130" si="7">IF(D112&gt;=E112,"-","ERR")</f>
        <v>-</v>
      </c>
      <c r="P112" s="164"/>
      <c r="Q112" s="164"/>
      <c r="R112" s="164"/>
      <c r="S112" s="164"/>
      <c r="T112" s="164"/>
      <c r="U112" s="164"/>
      <c r="V112" s="164"/>
    </row>
    <row r="113" spans="1:22" ht="27" customHeight="1">
      <c r="A113" s="38" t="str">
        <f>IF(ISBLANK(C113)," ",108-COUNTBLANK($C$6:C113))</f>
        <v xml:space="preserve"> </v>
      </c>
      <c r="B113" s="4"/>
      <c r="C113" s="5"/>
      <c r="D113" s="34"/>
      <c r="E113" s="34"/>
      <c r="F113" s="6"/>
      <c r="G113" s="6"/>
      <c r="H113" s="7"/>
      <c r="I113" s="7"/>
      <c r="J113" s="2"/>
      <c r="K113" s="2"/>
      <c r="L113" s="2"/>
      <c r="M113" s="8"/>
      <c r="N113" s="163" t="str">
        <f t="shared" si="5"/>
        <v/>
      </c>
      <c r="O113" s="126" t="str">
        <f t="shared" si="7"/>
        <v>-</v>
      </c>
      <c r="P113" s="164"/>
      <c r="Q113" s="164"/>
      <c r="R113" s="164"/>
      <c r="S113" s="164"/>
      <c r="T113" s="164"/>
      <c r="U113" s="164"/>
      <c r="V113" s="164"/>
    </row>
    <row r="114" spans="1:22" ht="27" customHeight="1">
      <c r="A114" s="38" t="str">
        <f>IF(ISBLANK(C114)," ",109-COUNTBLANK($C$6:C114))</f>
        <v xml:space="preserve"> </v>
      </c>
      <c r="B114" s="4"/>
      <c r="C114" s="5"/>
      <c r="D114" s="34"/>
      <c r="E114" s="34"/>
      <c r="F114" s="6"/>
      <c r="G114" s="6"/>
      <c r="H114" s="7"/>
      <c r="I114" s="7"/>
      <c r="J114" s="2"/>
      <c r="K114" s="2"/>
      <c r="L114" s="2"/>
      <c r="M114" s="8"/>
      <c r="N114" s="163" t="str">
        <f t="shared" si="5"/>
        <v/>
      </c>
      <c r="O114" s="126" t="str">
        <f t="shared" si="7"/>
        <v>-</v>
      </c>
      <c r="P114" s="164"/>
      <c r="Q114" s="164"/>
      <c r="R114" s="164"/>
      <c r="S114" s="164"/>
      <c r="T114" s="164"/>
      <c r="U114" s="164"/>
      <c r="V114" s="164"/>
    </row>
    <row r="115" spans="1:22" ht="27" customHeight="1">
      <c r="A115" s="38" t="str">
        <f>IF(ISBLANK(C115)," ",110-COUNTBLANK($C$6:C115))</f>
        <v xml:space="preserve"> </v>
      </c>
      <c r="B115" s="4"/>
      <c r="C115" s="5"/>
      <c r="D115" s="34"/>
      <c r="E115" s="34"/>
      <c r="F115" s="6"/>
      <c r="G115" s="6"/>
      <c r="H115" s="7"/>
      <c r="I115" s="7"/>
      <c r="J115" s="2"/>
      <c r="K115" s="2"/>
      <c r="L115" s="2"/>
      <c r="M115" s="8"/>
      <c r="N115" s="163" t="str">
        <f t="shared" si="5"/>
        <v/>
      </c>
      <c r="O115" s="126" t="str">
        <f t="shared" si="7"/>
        <v>-</v>
      </c>
      <c r="P115" s="164"/>
      <c r="Q115" s="164"/>
      <c r="R115" s="164"/>
      <c r="S115" s="164"/>
      <c r="T115" s="164"/>
      <c r="U115" s="164"/>
      <c r="V115" s="164"/>
    </row>
    <row r="116" spans="1:22" ht="27" customHeight="1">
      <c r="A116" s="38" t="str">
        <f>IF(ISBLANK(C116)," ",111-COUNTBLANK($C$6:C116))</f>
        <v xml:space="preserve"> </v>
      </c>
      <c r="B116" s="4"/>
      <c r="C116" s="5"/>
      <c r="D116" s="34"/>
      <c r="E116" s="34"/>
      <c r="F116" s="6"/>
      <c r="G116" s="6"/>
      <c r="H116" s="7"/>
      <c r="I116" s="7"/>
      <c r="J116" s="2"/>
      <c r="K116" s="2"/>
      <c r="L116" s="2"/>
      <c r="M116" s="8"/>
      <c r="N116" s="163" t="str">
        <f t="shared" si="5"/>
        <v/>
      </c>
      <c r="O116" s="126" t="str">
        <f t="shared" si="7"/>
        <v>-</v>
      </c>
      <c r="P116" s="164"/>
      <c r="Q116" s="164"/>
      <c r="R116" s="164"/>
      <c r="S116" s="164"/>
      <c r="T116" s="164"/>
      <c r="U116" s="164"/>
      <c r="V116" s="164"/>
    </row>
    <row r="117" spans="1:22" ht="27" customHeight="1">
      <c r="A117" s="38" t="str">
        <f>IF(ISBLANK(C117)," ",112-COUNTBLANK($C$6:C117))</f>
        <v xml:space="preserve"> </v>
      </c>
      <c r="B117" s="4"/>
      <c r="C117" s="5"/>
      <c r="D117" s="34"/>
      <c r="E117" s="34"/>
      <c r="F117" s="6"/>
      <c r="G117" s="6"/>
      <c r="H117" s="7"/>
      <c r="I117" s="7"/>
      <c r="J117" s="2"/>
      <c r="K117" s="2"/>
      <c r="L117" s="2"/>
      <c r="M117" s="8"/>
      <c r="N117" s="163" t="str">
        <f t="shared" si="5"/>
        <v/>
      </c>
      <c r="O117" s="126" t="str">
        <f t="shared" si="7"/>
        <v>-</v>
      </c>
      <c r="P117" s="164"/>
      <c r="Q117" s="164"/>
      <c r="R117" s="164"/>
      <c r="S117" s="164"/>
      <c r="T117" s="164"/>
      <c r="U117" s="164"/>
      <c r="V117" s="164"/>
    </row>
    <row r="118" spans="1:22" ht="27" customHeight="1">
      <c r="A118" s="38" t="str">
        <f>IF(ISBLANK(C118)," ",113-COUNTBLANK($C$6:C118))</f>
        <v xml:space="preserve"> </v>
      </c>
      <c r="B118" s="4"/>
      <c r="C118" s="5"/>
      <c r="D118" s="34"/>
      <c r="E118" s="34"/>
      <c r="F118" s="6"/>
      <c r="G118" s="6"/>
      <c r="H118" s="7"/>
      <c r="I118" s="7"/>
      <c r="J118" s="2"/>
      <c r="K118" s="2"/>
      <c r="L118" s="2"/>
      <c r="M118" s="8"/>
      <c r="N118" s="163" t="str">
        <f t="shared" si="5"/>
        <v/>
      </c>
      <c r="O118" s="126" t="str">
        <f t="shared" si="7"/>
        <v>-</v>
      </c>
      <c r="P118" s="164"/>
      <c r="Q118" s="164"/>
      <c r="R118" s="164"/>
      <c r="S118" s="164"/>
      <c r="T118" s="164"/>
      <c r="U118" s="164"/>
      <c r="V118" s="164"/>
    </row>
    <row r="119" spans="1:22" ht="27" customHeight="1">
      <c r="A119" s="38" t="str">
        <f>IF(ISBLANK(C119)," ",114-COUNTBLANK($C$6:C119))</f>
        <v xml:space="preserve"> </v>
      </c>
      <c r="B119" s="4"/>
      <c r="C119" s="5"/>
      <c r="D119" s="34"/>
      <c r="E119" s="34"/>
      <c r="F119" s="6"/>
      <c r="G119" s="6"/>
      <c r="H119" s="7"/>
      <c r="I119" s="7"/>
      <c r="J119" s="2"/>
      <c r="K119" s="2"/>
      <c r="L119" s="2"/>
      <c r="M119" s="8"/>
      <c r="N119" s="163" t="str">
        <f t="shared" si="5"/>
        <v/>
      </c>
      <c r="O119" s="126" t="str">
        <f t="shared" si="7"/>
        <v>-</v>
      </c>
      <c r="P119" s="164"/>
      <c r="Q119" s="164"/>
      <c r="R119" s="164"/>
      <c r="S119" s="164"/>
      <c r="T119" s="164"/>
      <c r="U119" s="164"/>
      <c r="V119" s="164"/>
    </row>
    <row r="120" spans="1:22" ht="27" customHeight="1">
      <c r="A120" s="38" t="str">
        <f>IF(ISBLANK(C120)," ",115-COUNTBLANK($C$6:C120))</f>
        <v xml:space="preserve"> </v>
      </c>
      <c r="B120" s="4"/>
      <c r="C120" s="5"/>
      <c r="D120" s="34"/>
      <c r="E120" s="34"/>
      <c r="F120" s="6"/>
      <c r="G120" s="6"/>
      <c r="H120" s="7"/>
      <c r="I120" s="7"/>
      <c r="J120" s="2"/>
      <c r="K120" s="2"/>
      <c r="L120" s="2"/>
      <c r="M120" s="8"/>
      <c r="N120" s="163" t="str">
        <f t="shared" si="5"/>
        <v/>
      </c>
      <c r="O120" s="126" t="str">
        <f t="shared" si="7"/>
        <v>-</v>
      </c>
      <c r="P120" s="164"/>
      <c r="Q120" s="164"/>
      <c r="R120" s="164"/>
      <c r="S120" s="164"/>
      <c r="T120" s="164"/>
      <c r="U120" s="164"/>
      <c r="V120" s="164"/>
    </row>
    <row r="121" spans="1:22" ht="27" customHeight="1">
      <c r="A121" s="38" t="str">
        <f>IF(ISBLANK(C121)," ",116-COUNTBLANK($C$6:C121))</f>
        <v xml:space="preserve"> </v>
      </c>
      <c r="B121" s="4"/>
      <c r="C121" s="5"/>
      <c r="D121" s="34"/>
      <c r="E121" s="34"/>
      <c r="F121" s="6"/>
      <c r="G121" s="6"/>
      <c r="H121" s="7"/>
      <c r="I121" s="7"/>
      <c r="J121" s="2"/>
      <c r="K121" s="2"/>
      <c r="L121" s="2"/>
      <c r="M121" s="8"/>
      <c r="N121" s="163" t="str">
        <f t="shared" si="5"/>
        <v/>
      </c>
      <c r="O121" s="126" t="str">
        <f t="shared" si="7"/>
        <v>-</v>
      </c>
      <c r="P121" s="164"/>
      <c r="Q121" s="164"/>
      <c r="R121" s="164"/>
      <c r="S121" s="164"/>
      <c r="T121" s="164"/>
      <c r="U121" s="164"/>
      <c r="V121" s="164"/>
    </row>
    <row r="122" spans="1:22" ht="27" customHeight="1">
      <c r="A122" s="38" t="str">
        <f>IF(ISBLANK(C122)," ",117-COUNTBLANK($C$6:C122))</f>
        <v xml:space="preserve"> </v>
      </c>
      <c r="B122" s="4"/>
      <c r="C122" s="5"/>
      <c r="D122" s="34"/>
      <c r="E122" s="34"/>
      <c r="F122" s="6"/>
      <c r="G122" s="6"/>
      <c r="H122" s="7"/>
      <c r="I122" s="7"/>
      <c r="J122" s="2"/>
      <c r="K122" s="2"/>
      <c r="L122" s="2"/>
      <c r="M122" s="8"/>
      <c r="N122" s="163" t="str">
        <f t="shared" si="5"/>
        <v/>
      </c>
      <c r="O122" s="126" t="str">
        <f t="shared" si="7"/>
        <v>-</v>
      </c>
      <c r="P122" s="164"/>
      <c r="Q122" s="164"/>
      <c r="R122" s="164"/>
      <c r="S122" s="164"/>
      <c r="T122" s="164"/>
      <c r="U122" s="164"/>
      <c r="V122" s="164"/>
    </row>
    <row r="123" spans="1:22" ht="27" customHeight="1">
      <c r="A123" s="38" t="str">
        <f>IF(ISBLANK(C123)," ",118-COUNTBLANK($C$6:C123))</f>
        <v xml:space="preserve"> </v>
      </c>
      <c r="B123" s="4"/>
      <c r="C123" s="5"/>
      <c r="D123" s="34"/>
      <c r="E123" s="34"/>
      <c r="F123" s="6"/>
      <c r="G123" s="6"/>
      <c r="H123" s="7"/>
      <c r="I123" s="7"/>
      <c r="J123" s="2"/>
      <c r="K123" s="2"/>
      <c r="L123" s="2"/>
      <c r="M123" s="8"/>
      <c r="N123" s="163" t="str">
        <f t="shared" si="5"/>
        <v/>
      </c>
      <c r="O123" s="126" t="str">
        <f t="shared" si="7"/>
        <v>-</v>
      </c>
      <c r="P123" s="164"/>
      <c r="Q123" s="164"/>
      <c r="R123" s="164"/>
      <c r="S123" s="164"/>
      <c r="T123" s="164"/>
      <c r="U123" s="164"/>
      <c r="V123" s="164"/>
    </row>
    <row r="124" spans="1:22" ht="27" customHeight="1">
      <c r="A124" s="38" t="str">
        <f>IF(ISBLANK(C124)," ",119-COUNTBLANK($C$6:C124))</f>
        <v xml:space="preserve"> </v>
      </c>
      <c r="B124" s="4"/>
      <c r="C124" s="5"/>
      <c r="D124" s="34"/>
      <c r="E124" s="34"/>
      <c r="F124" s="6"/>
      <c r="G124" s="6"/>
      <c r="H124" s="7"/>
      <c r="I124" s="7"/>
      <c r="J124" s="2"/>
      <c r="K124" s="2"/>
      <c r="L124" s="2"/>
      <c r="M124" s="8"/>
      <c r="N124" s="163" t="str">
        <f t="shared" si="5"/>
        <v/>
      </c>
      <c r="O124" s="126" t="str">
        <f t="shared" si="7"/>
        <v>-</v>
      </c>
      <c r="P124" s="164"/>
      <c r="Q124" s="164"/>
      <c r="R124" s="164"/>
      <c r="S124" s="164"/>
      <c r="T124" s="164"/>
      <c r="U124" s="164"/>
      <c r="V124" s="164"/>
    </row>
    <row r="125" spans="1:22" ht="27" customHeight="1">
      <c r="A125" s="38" t="str">
        <f>IF(ISBLANK(C125)," ",120-COUNTBLANK($C$6:C125))</f>
        <v xml:space="preserve"> </v>
      </c>
      <c r="B125" s="4"/>
      <c r="C125" s="5"/>
      <c r="D125" s="34"/>
      <c r="E125" s="34"/>
      <c r="F125" s="6"/>
      <c r="G125" s="6"/>
      <c r="H125" s="7"/>
      <c r="I125" s="7"/>
      <c r="J125" s="2"/>
      <c r="K125" s="2"/>
      <c r="L125" s="2"/>
      <c r="M125" s="8"/>
      <c r="N125" s="163" t="str">
        <f t="shared" si="5"/>
        <v/>
      </c>
      <c r="O125" s="126" t="str">
        <f t="shared" si="7"/>
        <v>-</v>
      </c>
      <c r="P125" s="164"/>
      <c r="Q125" s="164"/>
      <c r="R125" s="164"/>
      <c r="S125" s="164"/>
      <c r="T125" s="164"/>
      <c r="U125" s="164"/>
      <c r="V125" s="164"/>
    </row>
    <row r="126" spans="1:22" ht="27" customHeight="1">
      <c r="A126" s="38" t="str">
        <f>IF(ISBLANK(C126)," ",121-COUNTBLANK($C$6:C126))</f>
        <v xml:space="preserve"> </v>
      </c>
      <c r="B126" s="4"/>
      <c r="C126" s="5"/>
      <c r="D126" s="34"/>
      <c r="E126" s="34"/>
      <c r="F126" s="6"/>
      <c r="G126" s="6"/>
      <c r="H126" s="7"/>
      <c r="I126" s="7"/>
      <c r="J126" s="2"/>
      <c r="K126" s="2"/>
      <c r="L126" s="2"/>
      <c r="M126" s="8"/>
      <c r="N126" s="163" t="str">
        <f t="shared" si="5"/>
        <v/>
      </c>
      <c r="O126" s="126" t="str">
        <f t="shared" si="7"/>
        <v>-</v>
      </c>
      <c r="P126" s="164"/>
      <c r="Q126" s="164"/>
      <c r="R126" s="164"/>
      <c r="S126" s="164"/>
      <c r="T126" s="164"/>
      <c r="U126" s="164"/>
      <c r="V126" s="165"/>
    </row>
    <row r="127" spans="1:22" ht="27" customHeight="1">
      <c r="A127" s="38" t="str">
        <f>IF(ISBLANK(C127)," ",122-COUNTBLANK($C$6:C127))</f>
        <v xml:space="preserve"> </v>
      </c>
      <c r="B127" s="4"/>
      <c r="C127" s="5"/>
      <c r="D127" s="34"/>
      <c r="E127" s="34"/>
      <c r="F127" s="6"/>
      <c r="G127" s="6"/>
      <c r="H127" s="7"/>
      <c r="I127" s="7"/>
      <c r="J127" s="2"/>
      <c r="K127" s="2"/>
      <c r="L127" s="2"/>
      <c r="M127" s="8"/>
      <c r="N127" s="163" t="str">
        <f t="shared" si="5"/>
        <v/>
      </c>
      <c r="O127" s="126" t="str">
        <f t="shared" si="7"/>
        <v>-</v>
      </c>
      <c r="P127" s="164"/>
      <c r="Q127" s="164"/>
      <c r="R127" s="164"/>
      <c r="S127" s="164"/>
      <c r="T127" s="164"/>
      <c r="U127" s="164"/>
      <c r="V127" s="165"/>
    </row>
    <row r="128" spans="1:22" ht="27" customHeight="1">
      <c r="A128" s="38" t="str">
        <f>IF(ISBLANK(C128)," ",123-COUNTBLANK($C$6:C128))</f>
        <v xml:space="preserve"> </v>
      </c>
      <c r="B128" s="4"/>
      <c r="C128" s="5"/>
      <c r="D128" s="34"/>
      <c r="E128" s="34"/>
      <c r="F128" s="6"/>
      <c r="G128" s="6"/>
      <c r="H128" s="7"/>
      <c r="I128" s="7"/>
      <c r="J128" s="2"/>
      <c r="K128" s="2"/>
      <c r="L128" s="2"/>
      <c r="M128" s="8"/>
      <c r="N128" s="163" t="str">
        <f t="shared" si="5"/>
        <v/>
      </c>
      <c r="O128" s="126" t="str">
        <f t="shared" si="7"/>
        <v>-</v>
      </c>
      <c r="P128" s="164"/>
      <c r="Q128" s="164"/>
      <c r="R128" s="164"/>
      <c r="S128" s="164"/>
      <c r="T128" s="164"/>
      <c r="U128" s="164"/>
      <c r="V128" s="165"/>
    </row>
    <row r="129" spans="1:25" ht="27" customHeight="1">
      <c r="A129" s="38" t="str">
        <f>IF(ISBLANK(C129)," ",124-COUNTBLANK($C$6:C129))</f>
        <v xml:space="preserve"> </v>
      </c>
      <c r="B129" s="4"/>
      <c r="C129" s="5"/>
      <c r="D129" s="34"/>
      <c r="E129" s="34"/>
      <c r="F129" s="6"/>
      <c r="G129" s="6"/>
      <c r="H129" s="7"/>
      <c r="I129" s="7"/>
      <c r="J129" s="2"/>
      <c r="K129" s="2"/>
      <c r="L129" s="2"/>
      <c r="M129" s="8"/>
      <c r="N129" s="163" t="str">
        <f t="shared" si="5"/>
        <v/>
      </c>
      <c r="O129" s="126" t="str">
        <f t="shared" si="7"/>
        <v>-</v>
      </c>
      <c r="P129" s="164"/>
      <c r="Q129" s="164"/>
      <c r="R129" s="164"/>
      <c r="S129" s="164"/>
      <c r="T129" s="164"/>
      <c r="U129" s="164"/>
      <c r="V129" s="165"/>
    </row>
    <row r="130" spans="1:25" ht="27" customHeight="1">
      <c r="A130" s="39" t="str">
        <f>IF(ISBLANK(C130)," ",125-COUNTBLANK($C$6:C130))</f>
        <v xml:space="preserve"> </v>
      </c>
      <c r="B130" s="14"/>
      <c r="C130" s="15"/>
      <c r="D130" s="35"/>
      <c r="E130" s="35"/>
      <c r="F130" s="16"/>
      <c r="G130" s="16"/>
      <c r="H130" s="17"/>
      <c r="I130" s="17"/>
      <c r="J130" s="3"/>
      <c r="K130" s="3"/>
      <c r="L130" s="3"/>
      <c r="M130" s="18"/>
      <c r="N130" s="163" t="str">
        <f t="shared" si="5"/>
        <v/>
      </c>
      <c r="O130" s="126" t="str">
        <f t="shared" si="7"/>
        <v>-</v>
      </c>
      <c r="P130" s="164"/>
      <c r="Q130" s="164"/>
      <c r="R130" s="164"/>
      <c r="S130" s="164"/>
      <c r="T130" s="164"/>
      <c r="U130" s="164"/>
      <c r="V130" s="166"/>
      <c r="W130" s="164"/>
      <c r="X130" s="164"/>
      <c r="Y130" s="164"/>
    </row>
    <row r="131" spans="1:25" ht="27" customHeight="1">
      <c r="A131" s="172" t="s">
        <v>44</v>
      </c>
      <c r="B131" s="173"/>
      <c r="C131" s="174"/>
      <c r="D131" s="175"/>
      <c r="E131" s="175">
        <f>SUM(E111:E130)</f>
        <v>0</v>
      </c>
      <c r="F131" s="176"/>
      <c r="G131" s="176"/>
      <c r="H131" s="176"/>
      <c r="I131" s="176"/>
      <c r="J131" s="176"/>
      <c r="K131" s="176"/>
      <c r="L131" s="176"/>
      <c r="M131" s="177"/>
      <c r="N131" s="163" t="str">
        <f t="shared" si="5"/>
        <v/>
      </c>
      <c r="O131" s="126"/>
      <c r="P131" s="164"/>
      <c r="Q131" s="164"/>
      <c r="R131" s="164"/>
      <c r="S131" s="164"/>
      <c r="T131" s="164"/>
      <c r="U131" s="164"/>
      <c r="V131" s="166"/>
      <c r="W131" s="164"/>
      <c r="X131" s="164"/>
      <c r="Y131" s="164"/>
    </row>
    <row r="132" spans="1:25" ht="27" customHeight="1">
      <c r="A132" s="37" t="str">
        <f>IF(ISBLANK(C132)," ",127-COUNTBLANK($C$6:C132))</f>
        <v xml:space="preserve"> </v>
      </c>
      <c r="B132" s="9"/>
      <c r="C132" s="10"/>
      <c r="D132" s="33"/>
      <c r="E132" s="33"/>
      <c r="F132" s="11"/>
      <c r="G132" s="11"/>
      <c r="H132" s="12"/>
      <c r="I132" s="12"/>
      <c r="J132" s="32"/>
      <c r="K132" s="32"/>
      <c r="L132" s="32"/>
      <c r="M132" s="13"/>
      <c r="N132" s="163" t="str">
        <f t="shared" si="5"/>
        <v/>
      </c>
      <c r="O132" s="126" t="str">
        <f>IF(D132&gt;=E132,"-","ERR")</f>
        <v>-</v>
      </c>
      <c r="P132" s="164"/>
      <c r="Q132" s="164"/>
      <c r="R132" s="164"/>
      <c r="S132" s="164"/>
      <c r="T132" s="164"/>
      <c r="U132" s="164"/>
      <c r="V132" s="164"/>
    </row>
    <row r="133" spans="1:25" ht="27" customHeight="1">
      <c r="A133" s="38" t="str">
        <f>IF(ISBLANK(C133)," ",128-COUNTBLANK($C$6:C133))</f>
        <v xml:space="preserve"> </v>
      </c>
      <c r="B133" s="4"/>
      <c r="C133" s="5"/>
      <c r="D133" s="34"/>
      <c r="E133" s="34"/>
      <c r="F133" s="6"/>
      <c r="G133" s="6"/>
      <c r="H133" s="7"/>
      <c r="I133" s="7"/>
      <c r="J133" s="2"/>
      <c r="K133" s="2"/>
      <c r="L133" s="2"/>
      <c r="M133" s="8"/>
      <c r="N133" s="163" t="str">
        <f t="shared" si="5"/>
        <v/>
      </c>
      <c r="O133" s="126" t="str">
        <f t="shared" ref="O133:O151" si="8">IF(D133&gt;=E133,"-","ERR")</f>
        <v>-</v>
      </c>
      <c r="P133" s="164"/>
      <c r="Q133" s="164"/>
      <c r="R133" s="164"/>
      <c r="S133" s="164"/>
      <c r="T133" s="164"/>
      <c r="U133" s="164"/>
      <c r="V133" s="164"/>
    </row>
    <row r="134" spans="1:25" ht="27" customHeight="1">
      <c r="A134" s="38" t="str">
        <f>IF(ISBLANK(C134)," ",129-COUNTBLANK($C$6:C134))</f>
        <v xml:space="preserve"> </v>
      </c>
      <c r="B134" s="4"/>
      <c r="C134" s="5"/>
      <c r="D134" s="34"/>
      <c r="E134" s="34"/>
      <c r="F134" s="6"/>
      <c r="G134" s="6"/>
      <c r="H134" s="7"/>
      <c r="I134" s="7"/>
      <c r="J134" s="2"/>
      <c r="K134" s="2"/>
      <c r="L134" s="2"/>
      <c r="M134" s="8"/>
      <c r="N134" s="163" t="str">
        <f t="shared" si="5"/>
        <v/>
      </c>
      <c r="O134" s="126" t="str">
        <f t="shared" si="8"/>
        <v>-</v>
      </c>
      <c r="P134" s="164"/>
      <c r="Q134" s="164"/>
      <c r="R134" s="164"/>
      <c r="S134" s="164"/>
      <c r="T134" s="164"/>
      <c r="U134" s="164"/>
      <c r="V134" s="164"/>
    </row>
    <row r="135" spans="1:25" ht="27" customHeight="1">
      <c r="A135" s="38" t="str">
        <f>IF(ISBLANK(C135)," ",130-COUNTBLANK($C$6:C135))</f>
        <v xml:space="preserve"> </v>
      </c>
      <c r="B135" s="28"/>
      <c r="C135" s="29"/>
      <c r="D135" s="36"/>
      <c r="E135" s="36"/>
      <c r="F135" s="30"/>
      <c r="G135" s="30"/>
      <c r="H135" s="31"/>
      <c r="I135" s="31"/>
      <c r="J135" s="2"/>
      <c r="K135" s="2"/>
      <c r="L135" s="2"/>
      <c r="M135" s="8"/>
      <c r="N135" s="163" t="str">
        <f t="shared" ref="N135:N198" si="9">CONCATENATE(C135,H135)</f>
        <v/>
      </c>
      <c r="O135" s="126" t="str">
        <f t="shared" si="8"/>
        <v>-</v>
      </c>
      <c r="P135" s="164"/>
      <c r="Q135" s="164"/>
      <c r="R135" s="164"/>
      <c r="S135" s="164"/>
      <c r="T135" s="164"/>
      <c r="U135" s="164"/>
      <c r="V135" s="164"/>
    </row>
    <row r="136" spans="1:25" ht="27" customHeight="1">
      <c r="A136" s="38" t="str">
        <f>IF(ISBLANK(C136)," ",131-COUNTBLANK($C$6:C136))</f>
        <v xml:space="preserve"> </v>
      </c>
      <c r="B136" s="178"/>
      <c r="C136" s="178"/>
      <c r="D136" s="179"/>
      <c r="E136" s="179"/>
      <c r="F136" s="180"/>
      <c r="G136" s="180"/>
      <c r="H136" s="180"/>
      <c r="I136" s="180"/>
      <c r="J136" s="2"/>
      <c r="K136" s="2"/>
      <c r="L136" s="2"/>
      <c r="M136" s="8"/>
      <c r="N136" s="163" t="str">
        <f t="shared" si="9"/>
        <v/>
      </c>
      <c r="O136" s="126" t="str">
        <f t="shared" si="8"/>
        <v>-</v>
      </c>
      <c r="P136" s="164"/>
      <c r="Q136" s="164"/>
      <c r="R136" s="164"/>
      <c r="S136" s="164"/>
      <c r="T136" s="164"/>
      <c r="U136" s="164"/>
      <c r="V136" s="164"/>
    </row>
    <row r="137" spans="1:25" ht="27" customHeight="1">
      <c r="A137" s="38" t="str">
        <f>IF(ISBLANK(C137)," ",132-COUNTBLANK($C$6:C137))</f>
        <v xml:space="preserve"> </v>
      </c>
      <c r="B137" s="4"/>
      <c r="C137" s="5"/>
      <c r="D137" s="34"/>
      <c r="E137" s="34"/>
      <c r="F137" s="6"/>
      <c r="G137" s="6"/>
      <c r="H137" s="7"/>
      <c r="I137" s="7"/>
      <c r="J137" s="2"/>
      <c r="K137" s="2"/>
      <c r="L137" s="2"/>
      <c r="M137" s="8"/>
      <c r="N137" s="163" t="str">
        <f t="shared" si="9"/>
        <v/>
      </c>
      <c r="O137" s="126" t="str">
        <f t="shared" si="8"/>
        <v>-</v>
      </c>
      <c r="P137" s="164"/>
      <c r="Q137" s="164"/>
      <c r="R137" s="164"/>
      <c r="S137" s="164"/>
      <c r="T137" s="164"/>
      <c r="U137" s="164"/>
      <c r="V137" s="164"/>
    </row>
    <row r="138" spans="1:25" ht="27" customHeight="1">
      <c r="A138" s="38" t="str">
        <f>IF(ISBLANK(C138)," ",133-COUNTBLANK($C$6:C138))</f>
        <v xml:space="preserve"> </v>
      </c>
      <c r="B138" s="4"/>
      <c r="C138" s="5"/>
      <c r="D138" s="34"/>
      <c r="E138" s="34"/>
      <c r="F138" s="6"/>
      <c r="G138" s="6"/>
      <c r="H138" s="7"/>
      <c r="I138" s="7"/>
      <c r="J138" s="2"/>
      <c r="K138" s="2"/>
      <c r="L138" s="2"/>
      <c r="M138" s="8"/>
      <c r="N138" s="163" t="str">
        <f t="shared" si="9"/>
        <v/>
      </c>
      <c r="O138" s="126" t="str">
        <f t="shared" si="8"/>
        <v>-</v>
      </c>
      <c r="P138" s="164"/>
      <c r="Q138" s="164"/>
      <c r="R138" s="164"/>
      <c r="S138" s="164"/>
      <c r="T138" s="164"/>
      <c r="U138" s="164"/>
      <c r="V138" s="164"/>
    </row>
    <row r="139" spans="1:25" ht="27" customHeight="1">
      <c r="A139" s="38" t="str">
        <f>IF(ISBLANK(C139)," ",134-COUNTBLANK($C$6:C139))</f>
        <v xml:space="preserve"> </v>
      </c>
      <c r="B139" s="4"/>
      <c r="C139" s="5"/>
      <c r="D139" s="34"/>
      <c r="E139" s="34"/>
      <c r="F139" s="6"/>
      <c r="G139" s="6"/>
      <c r="H139" s="7"/>
      <c r="I139" s="7"/>
      <c r="J139" s="2"/>
      <c r="K139" s="2"/>
      <c r="L139" s="2"/>
      <c r="M139" s="8"/>
      <c r="N139" s="163" t="str">
        <f t="shared" si="9"/>
        <v/>
      </c>
      <c r="O139" s="126" t="str">
        <f t="shared" si="8"/>
        <v>-</v>
      </c>
      <c r="P139" s="164"/>
      <c r="Q139" s="164"/>
      <c r="R139" s="164"/>
      <c r="S139" s="164"/>
      <c r="T139" s="164"/>
      <c r="U139" s="164"/>
      <c r="V139" s="164"/>
    </row>
    <row r="140" spans="1:25" ht="27" customHeight="1">
      <c r="A140" s="38" t="str">
        <f>IF(ISBLANK(C140)," ",135-COUNTBLANK($C$6:C140))</f>
        <v xml:space="preserve"> </v>
      </c>
      <c r="B140" s="4"/>
      <c r="C140" s="5"/>
      <c r="D140" s="34"/>
      <c r="E140" s="34"/>
      <c r="F140" s="6"/>
      <c r="G140" s="6"/>
      <c r="H140" s="7"/>
      <c r="I140" s="7"/>
      <c r="J140" s="2"/>
      <c r="K140" s="2"/>
      <c r="L140" s="2"/>
      <c r="M140" s="8"/>
      <c r="N140" s="163" t="str">
        <f t="shared" si="9"/>
        <v/>
      </c>
      <c r="O140" s="126" t="str">
        <f t="shared" si="8"/>
        <v>-</v>
      </c>
      <c r="P140" s="164"/>
      <c r="Q140" s="164"/>
      <c r="R140" s="164"/>
      <c r="S140" s="164"/>
      <c r="T140" s="164"/>
      <c r="U140" s="164"/>
      <c r="V140" s="164"/>
    </row>
    <row r="141" spans="1:25" ht="27" customHeight="1">
      <c r="A141" s="38" t="str">
        <f>IF(ISBLANK(C141)," ",136-COUNTBLANK($C$6:C141))</f>
        <v xml:space="preserve"> </v>
      </c>
      <c r="B141" s="4"/>
      <c r="C141" s="5"/>
      <c r="D141" s="34"/>
      <c r="E141" s="34"/>
      <c r="F141" s="6"/>
      <c r="G141" s="6"/>
      <c r="H141" s="7"/>
      <c r="I141" s="7"/>
      <c r="J141" s="2"/>
      <c r="K141" s="2"/>
      <c r="L141" s="2"/>
      <c r="M141" s="8"/>
      <c r="N141" s="163" t="str">
        <f t="shared" si="9"/>
        <v/>
      </c>
      <c r="O141" s="126" t="str">
        <f t="shared" si="8"/>
        <v>-</v>
      </c>
      <c r="P141" s="164"/>
      <c r="Q141" s="164"/>
      <c r="R141" s="164"/>
      <c r="S141" s="164"/>
      <c r="T141" s="164"/>
      <c r="U141" s="164"/>
      <c r="V141" s="164"/>
    </row>
    <row r="142" spans="1:25" ht="27" customHeight="1">
      <c r="A142" s="38" t="str">
        <f>IF(ISBLANK(C142)," ",137-COUNTBLANK($C$6:C142))</f>
        <v xml:space="preserve"> </v>
      </c>
      <c r="B142" s="4"/>
      <c r="C142" s="5"/>
      <c r="D142" s="34"/>
      <c r="E142" s="34"/>
      <c r="F142" s="6"/>
      <c r="G142" s="6"/>
      <c r="H142" s="7"/>
      <c r="I142" s="7"/>
      <c r="J142" s="2"/>
      <c r="K142" s="2"/>
      <c r="L142" s="2"/>
      <c r="M142" s="8"/>
      <c r="N142" s="163" t="str">
        <f t="shared" si="9"/>
        <v/>
      </c>
      <c r="O142" s="126" t="str">
        <f t="shared" si="8"/>
        <v>-</v>
      </c>
      <c r="P142" s="164"/>
      <c r="Q142" s="164"/>
      <c r="R142" s="164"/>
      <c r="S142" s="164"/>
      <c r="T142" s="164"/>
      <c r="U142" s="164"/>
      <c r="V142" s="164"/>
    </row>
    <row r="143" spans="1:25" ht="27" customHeight="1">
      <c r="A143" s="38" t="str">
        <f>IF(ISBLANK(C143)," ",138-COUNTBLANK($C$6:C143))</f>
        <v xml:space="preserve"> </v>
      </c>
      <c r="B143" s="4"/>
      <c r="C143" s="5"/>
      <c r="D143" s="34"/>
      <c r="E143" s="34"/>
      <c r="F143" s="6"/>
      <c r="G143" s="6"/>
      <c r="H143" s="7"/>
      <c r="I143" s="7"/>
      <c r="J143" s="2"/>
      <c r="K143" s="2"/>
      <c r="L143" s="2"/>
      <c r="M143" s="8"/>
      <c r="N143" s="163" t="str">
        <f t="shared" si="9"/>
        <v/>
      </c>
      <c r="O143" s="126" t="str">
        <f t="shared" si="8"/>
        <v>-</v>
      </c>
      <c r="P143" s="164"/>
      <c r="Q143" s="164"/>
      <c r="R143" s="164"/>
      <c r="S143" s="164"/>
      <c r="T143" s="164"/>
      <c r="U143" s="164"/>
      <c r="V143" s="164"/>
    </row>
    <row r="144" spans="1:25" ht="27" customHeight="1">
      <c r="A144" s="38" t="str">
        <f>IF(ISBLANK(C144)," ",139-COUNTBLANK($C$6:C144))</f>
        <v xml:space="preserve"> </v>
      </c>
      <c r="B144" s="4"/>
      <c r="C144" s="5"/>
      <c r="D144" s="34"/>
      <c r="E144" s="34"/>
      <c r="F144" s="6"/>
      <c r="G144" s="6"/>
      <c r="H144" s="7"/>
      <c r="I144" s="7"/>
      <c r="J144" s="2"/>
      <c r="K144" s="2"/>
      <c r="L144" s="2"/>
      <c r="M144" s="8"/>
      <c r="N144" s="163" t="str">
        <f t="shared" si="9"/>
        <v/>
      </c>
      <c r="O144" s="126" t="str">
        <f t="shared" si="8"/>
        <v>-</v>
      </c>
      <c r="P144" s="164"/>
      <c r="Q144" s="164"/>
      <c r="R144" s="164"/>
      <c r="S144" s="164"/>
      <c r="T144" s="164"/>
      <c r="U144" s="164"/>
      <c r="V144" s="164"/>
    </row>
    <row r="145" spans="1:25" ht="27" customHeight="1">
      <c r="A145" s="38" t="str">
        <f>IF(ISBLANK(C145)," ",140-COUNTBLANK($C$6:C145))</f>
        <v xml:space="preserve"> </v>
      </c>
      <c r="B145" s="4"/>
      <c r="C145" s="5"/>
      <c r="D145" s="34"/>
      <c r="E145" s="34"/>
      <c r="F145" s="6"/>
      <c r="G145" s="6"/>
      <c r="H145" s="7"/>
      <c r="I145" s="7"/>
      <c r="J145" s="2"/>
      <c r="K145" s="2"/>
      <c r="L145" s="2"/>
      <c r="M145" s="8"/>
      <c r="N145" s="163" t="str">
        <f t="shared" si="9"/>
        <v/>
      </c>
      <c r="O145" s="126" t="str">
        <f t="shared" si="8"/>
        <v>-</v>
      </c>
      <c r="P145" s="164"/>
      <c r="Q145" s="164"/>
      <c r="R145" s="164"/>
      <c r="S145" s="164"/>
      <c r="T145" s="164"/>
      <c r="U145" s="164"/>
      <c r="V145" s="164"/>
    </row>
    <row r="146" spans="1:25" ht="27" customHeight="1">
      <c r="A146" s="38" t="str">
        <f>IF(ISBLANK(C146)," ",141-COUNTBLANK($C$6:C146))</f>
        <v xml:space="preserve"> </v>
      </c>
      <c r="B146" s="4"/>
      <c r="C146" s="5"/>
      <c r="D146" s="34"/>
      <c r="E146" s="34"/>
      <c r="F146" s="6"/>
      <c r="G146" s="6"/>
      <c r="H146" s="7"/>
      <c r="I146" s="7"/>
      <c r="J146" s="2"/>
      <c r="K146" s="2"/>
      <c r="L146" s="2"/>
      <c r="M146" s="8"/>
      <c r="N146" s="163" t="str">
        <f t="shared" si="9"/>
        <v/>
      </c>
      <c r="O146" s="126" t="str">
        <f t="shared" si="8"/>
        <v>-</v>
      </c>
      <c r="P146" s="164"/>
      <c r="Q146" s="164"/>
      <c r="R146" s="164"/>
      <c r="S146" s="164"/>
      <c r="T146" s="164"/>
      <c r="U146" s="164"/>
      <c r="V146" s="164"/>
    </row>
    <row r="147" spans="1:25" ht="27" customHeight="1">
      <c r="A147" s="38" t="str">
        <f>IF(ISBLANK(C147)," ",142-COUNTBLANK($C$6:C147))</f>
        <v xml:space="preserve"> </v>
      </c>
      <c r="B147" s="4"/>
      <c r="C147" s="5"/>
      <c r="D147" s="34"/>
      <c r="E147" s="34"/>
      <c r="F147" s="6"/>
      <c r="G147" s="6"/>
      <c r="H147" s="7"/>
      <c r="I147" s="7"/>
      <c r="J147" s="2"/>
      <c r="K147" s="2"/>
      <c r="L147" s="2"/>
      <c r="M147" s="8"/>
      <c r="N147" s="163" t="str">
        <f t="shared" si="9"/>
        <v/>
      </c>
      <c r="O147" s="126" t="str">
        <f t="shared" si="8"/>
        <v>-</v>
      </c>
      <c r="P147" s="164"/>
      <c r="Q147" s="164"/>
      <c r="R147" s="164"/>
      <c r="S147" s="164"/>
      <c r="T147" s="164"/>
      <c r="U147" s="164"/>
      <c r="V147" s="165"/>
    </row>
    <row r="148" spans="1:25" ht="27" customHeight="1">
      <c r="A148" s="38" t="str">
        <f>IF(ISBLANK(C148)," ",143-COUNTBLANK($C$6:C148))</f>
        <v xml:space="preserve"> </v>
      </c>
      <c r="B148" s="4"/>
      <c r="C148" s="5"/>
      <c r="D148" s="34"/>
      <c r="E148" s="34"/>
      <c r="F148" s="6"/>
      <c r="G148" s="6"/>
      <c r="H148" s="7"/>
      <c r="I148" s="7"/>
      <c r="J148" s="2"/>
      <c r="K148" s="2"/>
      <c r="L148" s="2"/>
      <c r="M148" s="8"/>
      <c r="N148" s="163" t="str">
        <f t="shared" si="9"/>
        <v/>
      </c>
      <c r="O148" s="126" t="str">
        <f t="shared" si="8"/>
        <v>-</v>
      </c>
      <c r="P148" s="164"/>
      <c r="Q148" s="164"/>
      <c r="R148" s="164"/>
      <c r="S148" s="164"/>
      <c r="T148" s="164"/>
      <c r="U148" s="164"/>
      <c r="V148" s="165"/>
    </row>
    <row r="149" spans="1:25" ht="27" customHeight="1">
      <c r="A149" s="38" t="str">
        <f>IF(ISBLANK(C149)," ",144-COUNTBLANK($C$6:C149))</f>
        <v xml:space="preserve"> </v>
      </c>
      <c r="B149" s="4"/>
      <c r="C149" s="5"/>
      <c r="D149" s="34"/>
      <c r="E149" s="34"/>
      <c r="F149" s="6"/>
      <c r="G149" s="6"/>
      <c r="H149" s="7"/>
      <c r="I149" s="7"/>
      <c r="J149" s="2"/>
      <c r="K149" s="2"/>
      <c r="L149" s="2"/>
      <c r="M149" s="8"/>
      <c r="N149" s="163" t="str">
        <f t="shared" si="9"/>
        <v/>
      </c>
      <c r="O149" s="126" t="str">
        <f t="shared" si="8"/>
        <v>-</v>
      </c>
      <c r="P149" s="164"/>
      <c r="Q149" s="164"/>
      <c r="R149" s="164"/>
      <c r="S149" s="164"/>
      <c r="T149" s="164"/>
      <c r="U149" s="164"/>
      <c r="V149" s="165"/>
    </row>
    <row r="150" spans="1:25" ht="27" customHeight="1">
      <c r="A150" s="38" t="str">
        <f>IF(ISBLANK(C150)," ",145-COUNTBLANK($C$6:C150))</f>
        <v xml:space="preserve"> </v>
      </c>
      <c r="B150" s="4"/>
      <c r="C150" s="5"/>
      <c r="D150" s="34"/>
      <c r="E150" s="34"/>
      <c r="F150" s="6"/>
      <c r="G150" s="6"/>
      <c r="H150" s="7"/>
      <c r="I150" s="7"/>
      <c r="J150" s="2"/>
      <c r="K150" s="2"/>
      <c r="L150" s="2"/>
      <c r="M150" s="8"/>
      <c r="N150" s="163" t="str">
        <f t="shared" si="9"/>
        <v/>
      </c>
      <c r="O150" s="126" t="str">
        <f t="shared" si="8"/>
        <v>-</v>
      </c>
      <c r="P150" s="164"/>
      <c r="Q150" s="164"/>
      <c r="R150" s="164"/>
      <c r="S150" s="164"/>
      <c r="T150" s="164"/>
      <c r="U150" s="164"/>
      <c r="V150" s="165"/>
    </row>
    <row r="151" spans="1:25" ht="27" customHeight="1">
      <c r="A151" s="39" t="str">
        <f>IF(ISBLANK(C151)," ",146-COUNTBLANK($C$6:C151))</f>
        <v xml:space="preserve"> </v>
      </c>
      <c r="B151" s="14"/>
      <c r="C151" s="15"/>
      <c r="D151" s="35"/>
      <c r="E151" s="35"/>
      <c r="F151" s="16"/>
      <c r="G151" s="16"/>
      <c r="H151" s="17"/>
      <c r="I151" s="17"/>
      <c r="J151" s="3"/>
      <c r="K151" s="3"/>
      <c r="L151" s="3"/>
      <c r="M151" s="18"/>
      <c r="N151" s="163" t="str">
        <f t="shared" si="9"/>
        <v/>
      </c>
      <c r="O151" s="126" t="str">
        <f t="shared" si="8"/>
        <v>-</v>
      </c>
      <c r="P151" s="164"/>
      <c r="Q151" s="164"/>
      <c r="R151" s="164"/>
      <c r="S151" s="164"/>
      <c r="T151" s="164"/>
      <c r="U151" s="164"/>
      <c r="V151" s="166"/>
      <c r="W151" s="164"/>
      <c r="X151" s="164"/>
      <c r="Y151" s="164"/>
    </row>
    <row r="152" spans="1:25" ht="27" customHeight="1">
      <c r="A152" s="172" t="s">
        <v>44</v>
      </c>
      <c r="B152" s="173"/>
      <c r="C152" s="174"/>
      <c r="D152" s="175"/>
      <c r="E152" s="175">
        <f>SUM(E132:E151)</f>
        <v>0</v>
      </c>
      <c r="F152" s="176"/>
      <c r="G152" s="176"/>
      <c r="H152" s="176"/>
      <c r="I152" s="176"/>
      <c r="J152" s="176"/>
      <c r="K152" s="176"/>
      <c r="L152" s="176"/>
      <c r="M152" s="177"/>
      <c r="N152" s="163" t="str">
        <f t="shared" si="9"/>
        <v/>
      </c>
      <c r="O152" s="126"/>
      <c r="P152" s="164"/>
      <c r="Q152" s="164"/>
      <c r="R152" s="164"/>
      <c r="S152" s="164"/>
      <c r="T152" s="164"/>
      <c r="U152" s="164"/>
      <c r="V152" s="166"/>
      <c r="W152" s="164"/>
      <c r="X152" s="164"/>
      <c r="Y152" s="164"/>
    </row>
    <row r="153" spans="1:25" ht="27" customHeight="1">
      <c r="A153" s="37" t="str">
        <f>IF(ISBLANK(C153)," ",148-COUNTBLANK($C$6:C153))</f>
        <v xml:space="preserve"> </v>
      </c>
      <c r="B153" s="9"/>
      <c r="C153" s="10"/>
      <c r="D153" s="33"/>
      <c r="E153" s="33"/>
      <c r="F153" s="11"/>
      <c r="G153" s="11"/>
      <c r="H153" s="12"/>
      <c r="I153" s="12"/>
      <c r="J153" s="32"/>
      <c r="K153" s="32"/>
      <c r="L153" s="32"/>
      <c r="M153" s="13"/>
      <c r="N153" s="163" t="str">
        <f t="shared" si="9"/>
        <v/>
      </c>
      <c r="O153" s="126" t="str">
        <f>IF(D153&gt;=E153,"-","ERR")</f>
        <v>-</v>
      </c>
      <c r="P153" s="164"/>
      <c r="Q153" s="164"/>
      <c r="R153" s="164"/>
      <c r="S153" s="164"/>
      <c r="T153" s="164"/>
      <c r="U153" s="164"/>
      <c r="V153" s="164"/>
    </row>
    <row r="154" spans="1:25" ht="27" customHeight="1">
      <c r="A154" s="38" t="str">
        <f>IF(ISBLANK(C154)," ",149-COUNTBLANK($C$6:C154))</f>
        <v xml:space="preserve"> </v>
      </c>
      <c r="B154" s="4"/>
      <c r="C154" s="5"/>
      <c r="D154" s="34"/>
      <c r="E154" s="34"/>
      <c r="F154" s="6"/>
      <c r="G154" s="6"/>
      <c r="H154" s="7"/>
      <c r="I154" s="7"/>
      <c r="J154" s="2"/>
      <c r="K154" s="2"/>
      <c r="L154" s="2"/>
      <c r="M154" s="8"/>
      <c r="N154" s="163" t="str">
        <f t="shared" si="9"/>
        <v/>
      </c>
      <c r="O154" s="126" t="str">
        <f t="shared" ref="O154:O172" si="10">IF(D154&gt;=E154,"-","ERR")</f>
        <v>-</v>
      </c>
      <c r="P154" s="164"/>
      <c r="Q154" s="164"/>
      <c r="R154" s="164"/>
      <c r="S154" s="164"/>
      <c r="T154" s="164"/>
      <c r="U154" s="164"/>
      <c r="V154" s="164"/>
    </row>
    <row r="155" spans="1:25" ht="27" customHeight="1">
      <c r="A155" s="38" t="str">
        <f>IF(ISBLANK(C155)," ",150-COUNTBLANK($C$6:C155))</f>
        <v xml:space="preserve"> </v>
      </c>
      <c r="B155" s="4"/>
      <c r="C155" s="5"/>
      <c r="D155" s="34"/>
      <c r="E155" s="34"/>
      <c r="F155" s="6"/>
      <c r="G155" s="6"/>
      <c r="H155" s="7"/>
      <c r="I155" s="7"/>
      <c r="J155" s="2"/>
      <c r="K155" s="2"/>
      <c r="L155" s="2"/>
      <c r="M155" s="8"/>
      <c r="N155" s="163" t="str">
        <f t="shared" si="9"/>
        <v/>
      </c>
      <c r="O155" s="126" t="str">
        <f t="shared" si="10"/>
        <v>-</v>
      </c>
      <c r="P155" s="164"/>
      <c r="Q155" s="164"/>
      <c r="R155" s="164"/>
      <c r="S155" s="164"/>
      <c r="T155" s="164"/>
      <c r="U155" s="164"/>
      <c r="V155" s="164"/>
    </row>
    <row r="156" spans="1:25" ht="27" customHeight="1">
      <c r="A156" s="38" t="str">
        <f>IF(ISBLANK(C156)," ",151-COUNTBLANK($C$6:C156))</f>
        <v xml:space="preserve"> </v>
      </c>
      <c r="B156" s="4"/>
      <c r="C156" s="5"/>
      <c r="D156" s="34"/>
      <c r="E156" s="34"/>
      <c r="F156" s="6"/>
      <c r="G156" s="6"/>
      <c r="H156" s="7"/>
      <c r="I156" s="7"/>
      <c r="J156" s="2"/>
      <c r="K156" s="2"/>
      <c r="L156" s="2"/>
      <c r="M156" s="8"/>
      <c r="N156" s="163" t="str">
        <f t="shared" si="9"/>
        <v/>
      </c>
      <c r="O156" s="126" t="str">
        <f t="shared" si="10"/>
        <v>-</v>
      </c>
      <c r="P156" s="164"/>
      <c r="Q156" s="164"/>
      <c r="R156" s="164"/>
      <c r="S156" s="164"/>
      <c r="T156" s="164"/>
      <c r="U156" s="164"/>
      <c r="V156" s="164"/>
    </row>
    <row r="157" spans="1:25" ht="27" customHeight="1">
      <c r="A157" s="38" t="str">
        <f>IF(ISBLANK(C157)," ",152-COUNTBLANK($C$6:C157))</f>
        <v xml:space="preserve"> </v>
      </c>
      <c r="B157" s="4"/>
      <c r="C157" s="5"/>
      <c r="D157" s="34"/>
      <c r="E157" s="34"/>
      <c r="F157" s="6"/>
      <c r="G157" s="6"/>
      <c r="H157" s="7"/>
      <c r="I157" s="7"/>
      <c r="J157" s="2"/>
      <c r="K157" s="2"/>
      <c r="L157" s="2"/>
      <c r="M157" s="8"/>
      <c r="N157" s="163" t="str">
        <f t="shared" si="9"/>
        <v/>
      </c>
      <c r="O157" s="126" t="str">
        <f t="shared" si="10"/>
        <v>-</v>
      </c>
      <c r="P157" s="164"/>
      <c r="Q157" s="164"/>
      <c r="R157" s="164"/>
      <c r="S157" s="164"/>
      <c r="T157" s="164"/>
      <c r="U157" s="164"/>
      <c r="V157" s="164"/>
    </row>
    <row r="158" spans="1:25" ht="27" customHeight="1">
      <c r="A158" s="38" t="str">
        <f>IF(ISBLANK(C158)," ",153-COUNTBLANK($C$6:C158))</f>
        <v xml:space="preserve"> </v>
      </c>
      <c r="B158" s="4"/>
      <c r="C158" s="5"/>
      <c r="D158" s="34"/>
      <c r="E158" s="34"/>
      <c r="F158" s="6"/>
      <c r="G158" s="6"/>
      <c r="H158" s="7"/>
      <c r="I158" s="7"/>
      <c r="J158" s="2"/>
      <c r="K158" s="2"/>
      <c r="L158" s="2"/>
      <c r="M158" s="8"/>
      <c r="N158" s="163" t="str">
        <f t="shared" si="9"/>
        <v/>
      </c>
      <c r="O158" s="126" t="str">
        <f t="shared" si="10"/>
        <v>-</v>
      </c>
      <c r="P158" s="164"/>
      <c r="Q158" s="164"/>
      <c r="R158" s="164"/>
      <c r="S158" s="164"/>
      <c r="T158" s="164"/>
      <c r="U158" s="164"/>
      <c r="V158" s="164"/>
    </row>
    <row r="159" spans="1:25" ht="27" customHeight="1">
      <c r="A159" s="38" t="str">
        <f>IF(ISBLANK(C159)," ",154-COUNTBLANK($C$6:C159))</f>
        <v xml:space="preserve"> </v>
      </c>
      <c r="B159" s="4"/>
      <c r="C159" s="5"/>
      <c r="D159" s="34"/>
      <c r="E159" s="34"/>
      <c r="F159" s="6"/>
      <c r="G159" s="6"/>
      <c r="H159" s="7"/>
      <c r="I159" s="7"/>
      <c r="J159" s="2"/>
      <c r="K159" s="2"/>
      <c r="L159" s="2"/>
      <c r="M159" s="8"/>
      <c r="N159" s="163" t="str">
        <f t="shared" si="9"/>
        <v/>
      </c>
      <c r="O159" s="126" t="str">
        <f t="shared" si="10"/>
        <v>-</v>
      </c>
      <c r="P159" s="164"/>
      <c r="Q159" s="164"/>
      <c r="R159" s="164"/>
      <c r="S159" s="164"/>
      <c r="T159" s="164"/>
      <c r="U159" s="164"/>
      <c r="V159" s="164"/>
    </row>
    <row r="160" spans="1:25" ht="27" customHeight="1">
      <c r="A160" s="38" t="str">
        <f>IF(ISBLANK(C160)," ",155-COUNTBLANK($C$6:C160))</f>
        <v xml:space="preserve"> </v>
      </c>
      <c r="B160" s="4"/>
      <c r="C160" s="5"/>
      <c r="D160" s="34"/>
      <c r="E160" s="34"/>
      <c r="F160" s="6"/>
      <c r="G160" s="6"/>
      <c r="H160" s="7"/>
      <c r="I160" s="7"/>
      <c r="J160" s="2"/>
      <c r="K160" s="2"/>
      <c r="L160" s="2"/>
      <c r="M160" s="8"/>
      <c r="N160" s="163" t="str">
        <f t="shared" si="9"/>
        <v/>
      </c>
      <c r="O160" s="126" t="str">
        <f t="shared" si="10"/>
        <v>-</v>
      </c>
      <c r="P160" s="164"/>
      <c r="Q160" s="164"/>
      <c r="R160" s="164"/>
      <c r="S160" s="164"/>
      <c r="T160" s="164"/>
      <c r="U160" s="164"/>
      <c r="V160" s="164"/>
    </row>
    <row r="161" spans="1:25" ht="27" customHeight="1">
      <c r="A161" s="38" t="str">
        <f>IF(ISBLANK(C161)," ",156-COUNTBLANK($C$6:C161))</f>
        <v xml:space="preserve"> </v>
      </c>
      <c r="B161" s="4"/>
      <c r="C161" s="5"/>
      <c r="D161" s="34"/>
      <c r="E161" s="34"/>
      <c r="F161" s="6"/>
      <c r="G161" s="6"/>
      <c r="H161" s="7"/>
      <c r="I161" s="7"/>
      <c r="J161" s="2"/>
      <c r="K161" s="2"/>
      <c r="L161" s="2"/>
      <c r="M161" s="8"/>
      <c r="N161" s="163" t="str">
        <f t="shared" si="9"/>
        <v/>
      </c>
      <c r="O161" s="126" t="str">
        <f t="shared" si="10"/>
        <v>-</v>
      </c>
      <c r="P161" s="164"/>
      <c r="Q161" s="164"/>
      <c r="R161" s="164"/>
      <c r="S161" s="164"/>
      <c r="T161" s="164"/>
      <c r="U161" s="164"/>
      <c r="V161" s="164"/>
    </row>
    <row r="162" spans="1:25" ht="27" customHeight="1">
      <c r="A162" s="38" t="str">
        <f>IF(ISBLANK(C162)," ",157-COUNTBLANK($C$6:C162))</f>
        <v xml:space="preserve"> </v>
      </c>
      <c r="B162" s="4"/>
      <c r="C162" s="5"/>
      <c r="D162" s="34"/>
      <c r="E162" s="34"/>
      <c r="F162" s="6"/>
      <c r="G162" s="6"/>
      <c r="H162" s="7"/>
      <c r="I162" s="7"/>
      <c r="J162" s="2"/>
      <c r="K162" s="2"/>
      <c r="L162" s="2"/>
      <c r="M162" s="8"/>
      <c r="N162" s="163" t="str">
        <f t="shared" si="9"/>
        <v/>
      </c>
      <c r="O162" s="126" t="str">
        <f t="shared" si="10"/>
        <v>-</v>
      </c>
      <c r="P162" s="164"/>
      <c r="Q162" s="164"/>
      <c r="R162" s="164"/>
      <c r="S162" s="164"/>
      <c r="T162" s="164"/>
      <c r="U162" s="164"/>
      <c r="V162" s="164"/>
    </row>
    <row r="163" spans="1:25" ht="27" customHeight="1">
      <c r="A163" s="38" t="str">
        <f>IF(ISBLANK(C163)," ",158-COUNTBLANK($C$6:C163))</f>
        <v xml:space="preserve"> </v>
      </c>
      <c r="B163" s="4"/>
      <c r="C163" s="5"/>
      <c r="D163" s="34"/>
      <c r="E163" s="34"/>
      <c r="F163" s="6"/>
      <c r="G163" s="6"/>
      <c r="H163" s="7"/>
      <c r="I163" s="7"/>
      <c r="J163" s="2"/>
      <c r="K163" s="2"/>
      <c r="L163" s="2"/>
      <c r="M163" s="8"/>
      <c r="N163" s="163" t="str">
        <f t="shared" si="9"/>
        <v/>
      </c>
      <c r="O163" s="126" t="str">
        <f t="shared" si="10"/>
        <v>-</v>
      </c>
      <c r="P163" s="164"/>
      <c r="Q163" s="164"/>
      <c r="R163" s="164"/>
      <c r="S163" s="164"/>
      <c r="T163" s="164"/>
      <c r="U163" s="164"/>
      <c r="V163" s="164"/>
    </row>
    <row r="164" spans="1:25" ht="27" customHeight="1">
      <c r="A164" s="38" t="str">
        <f>IF(ISBLANK(C164)," ",159-COUNTBLANK($C$6:C164))</f>
        <v xml:space="preserve"> </v>
      </c>
      <c r="B164" s="4"/>
      <c r="C164" s="5"/>
      <c r="D164" s="34"/>
      <c r="E164" s="34"/>
      <c r="F164" s="6"/>
      <c r="G164" s="6"/>
      <c r="H164" s="7"/>
      <c r="I164" s="7"/>
      <c r="J164" s="2"/>
      <c r="K164" s="2"/>
      <c r="L164" s="2"/>
      <c r="M164" s="8"/>
      <c r="N164" s="163" t="str">
        <f t="shared" si="9"/>
        <v/>
      </c>
      <c r="O164" s="126" t="str">
        <f t="shared" si="10"/>
        <v>-</v>
      </c>
      <c r="P164" s="164"/>
      <c r="Q164" s="164"/>
      <c r="R164" s="164"/>
      <c r="S164" s="164"/>
      <c r="T164" s="164"/>
      <c r="U164" s="164"/>
      <c r="V164" s="164"/>
    </row>
    <row r="165" spans="1:25" ht="27" customHeight="1">
      <c r="A165" s="38" t="str">
        <f>IF(ISBLANK(C165)," ",160-COUNTBLANK($C$6:C165))</f>
        <v xml:space="preserve"> </v>
      </c>
      <c r="B165" s="4"/>
      <c r="C165" s="5"/>
      <c r="D165" s="34"/>
      <c r="E165" s="34"/>
      <c r="F165" s="6"/>
      <c r="G165" s="6"/>
      <c r="H165" s="7"/>
      <c r="I165" s="7"/>
      <c r="J165" s="2"/>
      <c r="K165" s="2"/>
      <c r="L165" s="2"/>
      <c r="M165" s="8"/>
      <c r="N165" s="163" t="str">
        <f t="shared" si="9"/>
        <v/>
      </c>
      <c r="O165" s="126" t="str">
        <f t="shared" si="10"/>
        <v>-</v>
      </c>
      <c r="P165" s="164"/>
      <c r="Q165" s="164"/>
      <c r="R165" s="164"/>
      <c r="S165" s="164"/>
      <c r="T165" s="164"/>
      <c r="U165" s="164"/>
      <c r="V165" s="164"/>
    </row>
    <row r="166" spans="1:25" ht="27" customHeight="1">
      <c r="A166" s="38" t="str">
        <f>IF(ISBLANK(C166)," ",161-COUNTBLANK($C$6:C166))</f>
        <v xml:space="preserve"> </v>
      </c>
      <c r="B166" s="4"/>
      <c r="C166" s="5"/>
      <c r="D166" s="34"/>
      <c r="E166" s="34"/>
      <c r="F166" s="6"/>
      <c r="G166" s="6"/>
      <c r="H166" s="7"/>
      <c r="I166" s="7"/>
      <c r="J166" s="2"/>
      <c r="K166" s="2"/>
      <c r="L166" s="2"/>
      <c r="M166" s="8"/>
      <c r="N166" s="163" t="str">
        <f t="shared" si="9"/>
        <v/>
      </c>
      <c r="O166" s="126" t="str">
        <f t="shared" si="10"/>
        <v>-</v>
      </c>
      <c r="P166" s="164"/>
      <c r="Q166" s="164"/>
      <c r="R166" s="164"/>
      <c r="S166" s="164"/>
      <c r="T166" s="164"/>
      <c r="U166" s="164"/>
      <c r="V166" s="164"/>
    </row>
    <row r="167" spans="1:25" ht="27" customHeight="1">
      <c r="A167" s="38" t="str">
        <f>IF(ISBLANK(C167)," ",162-COUNTBLANK($C$6:C167))</f>
        <v xml:space="preserve"> </v>
      </c>
      <c r="B167" s="4"/>
      <c r="C167" s="5"/>
      <c r="D167" s="34"/>
      <c r="E167" s="34"/>
      <c r="F167" s="6"/>
      <c r="G167" s="6"/>
      <c r="H167" s="7"/>
      <c r="I167" s="7"/>
      <c r="J167" s="2"/>
      <c r="K167" s="2"/>
      <c r="L167" s="2"/>
      <c r="M167" s="8"/>
      <c r="N167" s="163" t="str">
        <f t="shared" si="9"/>
        <v/>
      </c>
      <c r="O167" s="126" t="str">
        <f t="shared" si="10"/>
        <v>-</v>
      </c>
      <c r="P167" s="164"/>
      <c r="Q167" s="164"/>
      <c r="R167" s="164"/>
      <c r="S167" s="164"/>
      <c r="T167" s="164"/>
      <c r="U167" s="164"/>
      <c r="V167" s="164"/>
    </row>
    <row r="168" spans="1:25" ht="27" customHeight="1">
      <c r="A168" s="38" t="str">
        <f>IF(ISBLANK(C168)," ",163-COUNTBLANK($C$6:C168))</f>
        <v xml:space="preserve"> </v>
      </c>
      <c r="B168" s="4"/>
      <c r="C168" s="5"/>
      <c r="D168" s="34"/>
      <c r="E168" s="34"/>
      <c r="F168" s="6"/>
      <c r="G168" s="6"/>
      <c r="H168" s="7"/>
      <c r="I168" s="7"/>
      <c r="J168" s="2"/>
      <c r="K168" s="2"/>
      <c r="L168" s="2"/>
      <c r="M168" s="8"/>
      <c r="N168" s="163" t="str">
        <f t="shared" si="9"/>
        <v/>
      </c>
      <c r="O168" s="126" t="str">
        <f t="shared" si="10"/>
        <v>-</v>
      </c>
      <c r="P168" s="164"/>
      <c r="Q168" s="164"/>
      <c r="R168" s="164"/>
      <c r="S168" s="164"/>
      <c r="T168" s="164"/>
      <c r="U168" s="164"/>
      <c r="V168" s="165"/>
    </row>
    <row r="169" spans="1:25" ht="27" customHeight="1">
      <c r="A169" s="38" t="str">
        <f>IF(ISBLANK(C169)," ",164-COUNTBLANK($C$6:C169))</f>
        <v xml:space="preserve"> </v>
      </c>
      <c r="B169" s="4"/>
      <c r="C169" s="5"/>
      <c r="D169" s="34"/>
      <c r="E169" s="34"/>
      <c r="F169" s="6"/>
      <c r="G169" s="6"/>
      <c r="H169" s="7"/>
      <c r="I169" s="7"/>
      <c r="J169" s="2"/>
      <c r="K169" s="2"/>
      <c r="L169" s="2"/>
      <c r="M169" s="8"/>
      <c r="N169" s="163" t="str">
        <f t="shared" si="9"/>
        <v/>
      </c>
      <c r="O169" s="126" t="str">
        <f t="shared" si="10"/>
        <v>-</v>
      </c>
      <c r="P169" s="164"/>
      <c r="Q169" s="164"/>
      <c r="R169" s="164"/>
      <c r="S169" s="164"/>
      <c r="T169" s="164"/>
      <c r="U169" s="164"/>
      <c r="V169" s="165"/>
    </row>
    <row r="170" spans="1:25" ht="27" customHeight="1">
      <c r="A170" s="38" t="str">
        <f>IF(ISBLANK(C170)," ",165-COUNTBLANK($C$6:C170))</f>
        <v xml:space="preserve"> </v>
      </c>
      <c r="B170" s="4"/>
      <c r="C170" s="5"/>
      <c r="D170" s="34"/>
      <c r="E170" s="34"/>
      <c r="F170" s="6"/>
      <c r="G170" s="6"/>
      <c r="H170" s="7"/>
      <c r="I170" s="7"/>
      <c r="J170" s="2"/>
      <c r="K170" s="2"/>
      <c r="L170" s="2"/>
      <c r="M170" s="8"/>
      <c r="N170" s="163" t="str">
        <f t="shared" si="9"/>
        <v/>
      </c>
      <c r="O170" s="126" t="str">
        <f t="shared" si="10"/>
        <v>-</v>
      </c>
      <c r="P170" s="164"/>
      <c r="Q170" s="164"/>
      <c r="R170" s="164"/>
      <c r="S170" s="164"/>
      <c r="T170" s="164"/>
      <c r="U170" s="164"/>
      <c r="V170" s="165"/>
    </row>
    <row r="171" spans="1:25" ht="27" customHeight="1">
      <c r="A171" s="38" t="str">
        <f>IF(ISBLANK(C171)," ",166-COUNTBLANK($C$6:C171))</f>
        <v xml:space="preserve"> </v>
      </c>
      <c r="B171" s="4"/>
      <c r="C171" s="5"/>
      <c r="D171" s="34"/>
      <c r="E171" s="34"/>
      <c r="F171" s="6"/>
      <c r="G171" s="6"/>
      <c r="H171" s="7"/>
      <c r="I171" s="7"/>
      <c r="J171" s="2"/>
      <c r="K171" s="2"/>
      <c r="L171" s="2"/>
      <c r="M171" s="8"/>
      <c r="N171" s="163" t="str">
        <f t="shared" si="9"/>
        <v/>
      </c>
      <c r="O171" s="126" t="str">
        <f t="shared" si="10"/>
        <v>-</v>
      </c>
      <c r="P171" s="164"/>
      <c r="Q171" s="164"/>
      <c r="R171" s="164"/>
      <c r="S171" s="164"/>
      <c r="T171" s="164"/>
      <c r="U171" s="164"/>
      <c r="V171" s="165"/>
    </row>
    <row r="172" spans="1:25" ht="27" customHeight="1">
      <c r="A172" s="39" t="str">
        <f>IF(ISBLANK(C172)," ",167-COUNTBLANK($C$6:C172))</f>
        <v xml:space="preserve"> </v>
      </c>
      <c r="B172" s="14"/>
      <c r="C172" s="15"/>
      <c r="D172" s="35"/>
      <c r="E172" s="35"/>
      <c r="F172" s="16"/>
      <c r="G172" s="16"/>
      <c r="H172" s="17"/>
      <c r="I172" s="17"/>
      <c r="J172" s="3"/>
      <c r="K172" s="3"/>
      <c r="L172" s="3"/>
      <c r="M172" s="18"/>
      <c r="N172" s="163" t="str">
        <f t="shared" si="9"/>
        <v/>
      </c>
      <c r="O172" s="126" t="str">
        <f t="shared" si="10"/>
        <v>-</v>
      </c>
      <c r="P172" s="164"/>
      <c r="Q172" s="164"/>
      <c r="R172" s="164"/>
      <c r="S172" s="164"/>
      <c r="T172" s="164"/>
      <c r="U172" s="164"/>
      <c r="V172" s="166"/>
      <c r="W172" s="164"/>
      <c r="X172" s="164"/>
      <c r="Y172" s="164"/>
    </row>
    <row r="173" spans="1:25" ht="27" customHeight="1">
      <c r="A173" s="172" t="s">
        <v>44</v>
      </c>
      <c r="B173" s="173"/>
      <c r="C173" s="174"/>
      <c r="D173" s="175"/>
      <c r="E173" s="175">
        <f>SUM(E153:E172)</f>
        <v>0</v>
      </c>
      <c r="F173" s="176"/>
      <c r="G173" s="176"/>
      <c r="H173" s="176"/>
      <c r="I173" s="176"/>
      <c r="J173" s="176"/>
      <c r="K173" s="176"/>
      <c r="L173" s="176"/>
      <c r="M173" s="177"/>
      <c r="N173" s="163" t="str">
        <f t="shared" si="9"/>
        <v/>
      </c>
      <c r="O173" s="126"/>
      <c r="P173" s="164"/>
      <c r="Q173" s="164"/>
      <c r="R173" s="164"/>
      <c r="S173" s="164"/>
      <c r="T173" s="164"/>
      <c r="U173" s="164"/>
      <c r="V173" s="166"/>
      <c r="W173" s="164"/>
      <c r="X173" s="164"/>
      <c r="Y173" s="164"/>
    </row>
    <row r="174" spans="1:25" ht="27" customHeight="1">
      <c r="A174" s="37" t="str">
        <f>IF(ISBLANK(C174)," ",169-COUNTBLANK($C$6:C174))</f>
        <v xml:space="preserve"> </v>
      </c>
      <c r="B174" s="9"/>
      <c r="C174" s="10"/>
      <c r="D174" s="33"/>
      <c r="E174" s="33"/>
      <c r="F174" s="11"/>
      <c r="G174" s="11"/>
      <c r="H174" s="12"/>
      <c r="I174" s="12"/>
      <c r="J174" s="32"/>
      <c r="K174" s="32"/>
      <c r="L174" s="32"/>
      <c r="M174" s="13"/>
      <c r="N174" s="163" t="str">
        <f t="shared" si="9"/>
        <v/>
      </c>
      <c r="O174" s="126" t="str">
        <f>IF(D174&gt;=E174,"-","ERR")</f>
        <v>-</v>
      </c>
      <c r="P174" s="164"/>
      <c r="Q174" s="164"/>
      <c r="R174" s="164"/>
      <c r="S174" s="164"/>
      <c r="T174" s="164"/>
      <c r="U174" s="164"/>
      <c r="V174" s="164"/>
    </row>
    <row r="175" spans="1:25" ht="27" customHeight="1">
      <c r="A175" s="38" t="str">
        <f>IF(ISBLANK(C175)," ",170-COUNTBLANK($C$6:C175))</f>
        <v xml:space="preserve"> </v>
      </c>
      <c r="B175" s="4"/>
      <c r="C175" s="5"/>
      <c r="D175" s="34"/>
      <c r="E175" s="34"/>
      <c r="F175" s="6"/>
      <c r="G175" s="6"/>
      <c r="H175" s="7"/>
      <c r="I175" s="7"/>
      <c r="J175" s="2"/>
      <c r="K175" s="2"/>
      <c r="L175" s="2"/>
      <c r="M175" s="8"/>
      <c r="N175" s="163" t="str">
        <f t="shared" si="9"/>
        <v/>
      </c>
      <c r="O175" s="126" t="str">
        <f t="shared" ref="O175:O193" si="11">IF(D175&gt;=E175,"-","ERR")</f>
        <v>-</v>
      </c>
      <c r="P175" s="164"/>
      <c r="Q175" s="164"/>
      <c r="R175" s="164"/>
      <c r="S175" s="164"/>
      <c r="T175" s="164"/>
      <c r="U175" s="164"/>
      <c r="V175" s="164"/>
    </row>
    <row r="176" spans="1:25" ht="27" customHeight="1">
      <c r="A176" s="38" t="str">
        <f>IF(ISBLANK(C176)," ",171-COUNTBLANK($C$6:C176))</f>
        <v xml:space="preserve"> </v>
      </c>
      <c r="B176" s="4"/>
      <c r="C176" s="5"/>
      <c r="D176" s="34"/>
      <c r="E176" s="34"/>
      <c r="F176" s="6"/>
      <c r="G176" s="6"/>
      <c r="H176" s="7"/>
      <c r="I176" s="7"/>
      <c r="J176" s="2"/>
      <c r="K176" s="2"/>
      <c r="L176" s="2"/>
      <c r="M176" s="8"/>
      <c r="N176" s="163" t="str">
        <f t="shared" si="9"/>
        <v/>
      </c>
      <c r="O176" s="126" t="str">
        <f t="shared" si="11"/>
        <v>-</v>
      </c>
      <c r="P176" s="164"/>
      <c r="Q176" s="164"/>
      <c r="R176" s="164"/>
      <c r="S176" s="164"/>
      <c r="T176" s="164"/>
      <c r="U176" s="164"/>
      <c r="V176" s="164"/>
    </row>
    <row r="177" spans="1:22" ht="27" customHeight="1">
      <c r="A177" s="38" t="str">
        <f>IF(ISBLANK(C177)," ",172-COUNTBLANK($C$6:C177))</f>
        <v xml:space="preserve"> </v>
      </c>
      <c r="B177" s="4"/>
      <c r="C177" s="5"/>
      <c r="D177" s="34"/>
      <c r="E177" s="34"/>
      <c r="F177" s="6"/>
      <c r="G177" s="6"/>
      <c r="H177" s="7"/>
      <c r="I177" s="7"/>
      <c r="J177" s="2"/>
      <c r="K177" s="2"/>
      <c r="L177" s="2"/>
      <c r="M177" s="8"/>
      <c r="N177" s="163" t="str">
        <f t="shared" si="9"/>
        <v/>
      </c>
      <c r="O177" s="126" t="str">
        <f t="shared" si="11"/>
        <v>-</v>
      </c>
      <c r="P177" s="164"/>
      <c r="Q177" s="164"/>
      <c r="R177" s="164"/>
      <c r="S177" s="164"/>
      <c r="T177" s="164"/>
      <c r="U177" s="164"/>
      <c r="V177" s="164"/>
    </row>
    <row r="178" spans="1:22" ht="27" customHeight="1">
      <c r="A178" s="38" t="str">
        <f>IF(ISBLANK(C178)," ",173-COUNTBLANK($C$6:C178))</f>
        <v xml:space="preserve"> </v>
      </c>
      <c r="B178" s="4"/>
      <c r="C178" s="5"/>
      <c r="D178" s="34"/>
      <c r="E178" s="34"/>
      <c r="F178" s="6"/>
      <c r="G178" s="6"/>
      <c r="H178" s="7"/>
      <c r="I178" s="7"/>
      <c r="J178" s="2"/>
      <c r="K178" s="2"/>
      <c r="L178" s="2"/>
      <c r="M178" s="8"/>
      <c r="N178" s="163" t="str">
        <f t="shared" si="9"/>
        <v/>
      </c>
      <c r="O178" s="126" t="str">
        <f t="shared" si="11"/>
        <v>-</v>
      </c>
      <c r="P178" s="164"/>
      <c r="Q178" s="164"/>
      <c r="R178" s="164"/>
      <c r="S178" s="164"/>
      <c r="T178" s="164"/>
      <c r="U178" s="164"/>
      <c r="V178" s="164"/>
    </row>
    <row r="179" spans="1:22" ht="27" customHeight="1">
      <c r="A179" s="38" t="str">
        <f>IF(ISBLANK(C179)," ",174-COUNTBLANK($C$6:C179))</f>
        <v xml:space="preserve"> </v>
      </c>
      <c r="B179" s="4"/>
      <c r="C179" s="5"/>
      <c r="D179" s="34"/>
      <c r="E179" s="34"/>
      <c r="F179" s="6"/>
      <c r="G179" s="6"/>
      <c r="H179" s="7"/>
      <c r="I179" s="7"/>
      <c r="J179" s="2"/>
      <c r="K179" s="2"/>
      <c r="L179" s="2"/>
      <c r="M179" s="8"/>
      <c r="N179" s="163" t="str">
        <f t="shared" si="9"/>
        <v/>
      </c>
      <c r="O179" s="126" t="str">
        <f t="shared" si="11"/>
        <v>-</v>
      </c>
      <c r="P179" s="164"/>
      <c r="Q179" s="164"/>
      <c r="R179" s="164"/>
      <c r="S179" s="164"/>
      <c r="T179" s="164"/>
      <c r="U179" s="164"/>
      <c r="V179" s="164"/>
    </row>
    <row r="180" spans="1:22" ht="27" customHeight="1">
      <c r="A180" s="38" t="str">
        <f>IF(ISBLANK(C180)," ",175-COUNTBLANK($C$6:C180))</f>
        <v xml:space="preserve"> </v>
      </c>
      <c r="B180" s="4"/>
      <c r="C180" s="5"/>
      <c r="D180" s="34"/>
      <c r="E180" s="34"/>
      <c r="F180" s="6"/>
      <c r="G180" s="6"/>
      <c r="H180" s="7"/>
      <c r="I180" s="7"/>
      <c r="J180" s="2"/>
      <c r="K180" s="2"/>
      <c r="L180" s="2"/>
      <c r="M180" s="8"/>
      <c r="N180" s="163" t="str">
        <f t="shared" si="9"/>
        <v/>
      </c>
      <c r="O180" s="126" t="str">
        <f t="shared" si="11"/>
        <v>-</v>
      </c>
      <c r="P180" s="164"/>
      <c r="Q180" s="164"/>
      <c r="R180" s="164"/>
      <c r="S180" s="164"/>
      <c r="T180" s="164"/>
      <c r="U180" s="164"/>
      <c r="V180" s="164"/>
    </row>
    <row r="181" spans="1:22" ht="27" customHeight="1">
      <c r="A181" s="38" t="str">
        <f>IF(ISBLANK(C181)," ",176-COUNTBLANK($C$6:C181))</f>
        <v xml:space="preserve"> </v>
      </c>
      <c r="B181" s="4"/>
      <c r="C181" s="5"/>
      <c r="D181" s="34"/>
      <c r="E181" s="34"/>
      <c r="F181" s="6"/>
      <c r="G181" s="6"/>
      <c r="H181" s="7"/>
      <c r="I181" s="7"/>
      <c r="J181" s="2"/>
      <c r="K181" s="2"/>
      <c r="L181" s="2"/>
      <c r="M181" s="8"/>
      <c r="N181" s="163" t="str">
        <f t="shared" si="9"/>
        <v/>
      </c>
      <c r="O181" s="126" t="str">
        <f t="shared" si="11"/>
        <v>-</v>
      </c>
      <c r="P181" s="164"/>
      <c r="Q181" s="164"/>
      <c r="R181" s="164"/>
      <c r="S181" s="164"/>
      <c r="T181" s="164"/>
      <c r="U181" s="164"/>
      <c r="V181" s="164"/>
    </row>
    <row r="182" spans="1:22" ht="27" customHeight="1">
      <c r="A182" s="38" t="str">
        <f>IF(ISBLANK(C182)," ",177-COUNTBLANK($C$6:C182))</f>
        <v xml:space="preserve"> </v>
      </c>
      <c r="B182" s="4"/>
      <c r="C182" s="5"/>
      <c r="D182" s="34"/>
      <c r="E182" s="34"/>
      <c r="F182" s="6"/>
      <c r="G182" s="6"/>
      <c r="H182" s="7"/>
      <c r="I182" s="7"/>
      <c r="J182" s="2"/>
      <c r="K182" s="2"/>
      <c r="L182" s="2"/>
      <c r="M182" s="8"/>
      <c r="N182" s="163" t="str">
        <f t="shared" si="9"/>
        <v/>
      </c>
      <c r="O182" s="126" t="str">
        <f t="shared" si="11"/>
        <v>-</v>
      </c>
      <c r="P182" s="164"/>
      <c r="Q182" s="164"/>
      <c r="R182" s="164"/>
      <c r="S182" s="164"/>
      <c r="T182" s="164"/>
      <c r="U182" s="164"/>
      <c r="V182" s="164"/>
    </row>
    <row r="183" spans="1:22" ht="27" customHeight="1">
      <c r="A183" s="38" t="str">
        <f>IF(ISBLANK(C183)," ",178-COUNTBLANK($C$6:C183))</f>
        <v xml:space="preserve"> </v>
      </c>
      <c r="B183" s="4"/>
      <c r="C183" s="5"/>
      <c r="D183" s="34"/>
      <c r="E183" s="34"/>
      <c r="F183" s="6"/>
      <c r="G183" s="6"/>
      <c r="H183" s="7"/>
      <c r="I183" s="7"/>
      <c r="J183" s="2"/>
      <c r="K183" s="2"/>
      <c r="L183" s="2"/>
      <c r="M183" s="8"/>
      <c r="N183" s="163" t="str">
        <f t="shared" si="9"/>
        <v/>
      </c>
      <c r="O183" s="126" t="str">
        <f t="shared" si="11"/>
        <v>-</v>
      </c>
      <c r="P183" s="164"/>
      <c r="Q183" s="164"/>
      <c r="R183" s="164"/>
      <c r="S183" s="164"/>
      <c r="T183" s="164"/>
      <c r="U183" s="164"/>
      <c r="V183" s="164"/>
    </row>
    <row r="184" spans="1:22" ht="27" customHeight="1">
      <c r="A184" s="38" t="str">
        <f>IF(ISBLANK(C184)," ",179-COUNTBLANK($C$6:C184))</f>
        <v xml:space="preserve"> </v>
      </c>
      <c r="B184" s="4"/>
      <c r="C184" s="5"/>
      <c r="D184" s="34"/>
      <c r="E184" s="34"/>
      <c r="F184" s="6"/>
      <c r="G184" s="6"/>
      <c r="H184" s="7"/>
      <c r="I184" s="7"/>
      <c r="J184" s="2"/>
      <c r="K184" s="2"/>
      <c r="L184" s="2"/>
      <c r="M184" s="8"/>
      <c r="N184" s="163" t="str">
        <f t="shared" si="9"/>
        <v/>
      </c>
      <c r="O184" s="126" t="str">
        <f t="shared" si="11"/>
        <v>-</v>
      </c>
      <c r="P184" s="164"/>
      <c r="Q184" s="164"/>
      <c r="R184" s="164"/>
      <c r="S184" s="164"/>
      <c r="T184" s="164"/>
      <c r="U184" s="164"/>
      <c r="V184" s="164"/>
    </row>
    <row r="185" spans="1:22" ht="27" customHeight="1">
      <c r="A185" s="38" t="str">
        <f>IF(ISBLANK(C185)," ",180-COUNTBLANK($C$6:C185))</f>
        <v xml:space="preserve"> </v>
      </c>
      <c r="B185" s="4"/>
      <c r="C185" s="5"/>
      <c r="D185" s="34"/>
      <c r="E185" s="34"/>
      <c r="F185" s="6"/>
      <c r="G185" s="6"/>
      <c r="H185" s="7"/>
      <c r="I185" s="7"/>
      <c r="J185" s="2"/>
      <c r="K185" s="2"/>
      <c r="L185" s="2"/>
      <c r="M185" s="8"/>
      <c r="N185" s="163" t="str">
        <f t="shared" si="9"/>
        <v/>
      </c>
      <c r="O185" s="126" t="str">
        <f t="shared" si="11"/>
        <v>-</v>
      </c>
      <c r="P185" s="164"/>
      <c r="Q185" s="164"/>
      <c r="R185" s="164"/>
      <c r="S185" s="164"/>
      <c r="T185" s="164"/>
      <c r="U185" s="164"/>
      <c r="V185" s="164"/>
    </row>
    <row r="186" spans="1:22" ht="27" customHeight="1">
      <c r="A186" s="38" t="str">
        <f>IF(ISBLANK(C186)," ",181-COUNTBLANK($C$6:C186))</f>
        <v xml:space="preserve"> </v>
      </c>
      <c r="B186" s="4"/>
      <c r="C186" s="5"/>
      <c r="D186" s="34"/>
      <c r="E186" s="34"/>
      <c r="F186" s="6"/>
      <c r="G186" s="6"/>
      <c r="H186" s="7"/>
      <c r="I186" s="7"/>
      <c r="J186" s="2"/>
      <c r="K186" s="2"/>
      <c r="L186" s="2"/>
      <c r="M186" s="8"/>
      <c r="N186" s="163" t="str">
        <f t="shared" si="9"/>
        <v/>
      </c>
      <c r="O186" s="126" t="str">
        <f t="shared" si="11"/>
        <v>-</v>
      </c>
      <c r="P186" s="164"/>
      <c r="Q186" s="164"/>
      <c r="R186" s="164"/>
      <c r="S186" s="164"/>
      <c r="T186" s="164"/>
      <c r="U186" s="164"/>
      <c r="V186" s="164"/>
    </row>
    <row r="187" spans="1:22" ht="27" customHeight="1">
      <c r="A187" s="38" t="str">
        <f>IF(ISBLANK(C187)," ",182-COUNTBLANK($C$6:C187))</f>
        <v xml:space="preserve"> </v>
      </c>
      <c r="B187" s="4"/>
      <c r="C187" s="5"/>
      <c r="D187" s="34"/>
      <c r="E187" s="34"/>
      <c r="F187" s="6"/>
      <c r="G187" s="6"/>
      <c r="H187" s="7"/>
      <c r="I187" s="7"/>
      <c r="J187" s="2"/>
      <c r="K187" s="2"/>
      <c r="L187" s="2"/>
      <c r="M187" s="8"/>
      <c r="N187" s="163" t="str">
        <f t="shared" si="9"/>
        <v/>
      </c>
      <c r="O187" s="126" t="str">
        <f t="shared" si="11"/>
        <v>-</v>
      </c>
      <c r="P187" s="164"/>
      <c r="Q187" s="164"/>
      <c r="R187" s="164"/>
      <c r="S187" s="164"/>
      <c r="T187" s="164"/>
      <c r="U187" s="164"/>
      <c r="V187" s="164"/>
    </row>
    <row r="188" spans="1:22" ht="27" customHeight="1">
      <c r="A188" s="38" t="str">
        <f>IF(ISBLANK(C188)," ",183-COUNTBLANK($C$6:C188))</f>
        <v xml:space="preserve"> </v>
      </c>
      <c r="B188" s="4"/>
      <c r="C188" s="5"/>
      <c r="D188" s="34"/>
      <c r="E188" s="34"/>
      <c r="F188" s="6"/>
      <c r="G188" s="6"/>
      <c r="H188" s="7"/>
      <c r="I188" s="7"/>
      <c r="J188" s="2"/>
      <c r="K188" s="2"/>
      <c r="L188" s="2"/>
      <c r="M188" s="8"/>
      <c r="N188" s="163" t="str">
        <f t="shared" si="9"/>
        <v/>
      </c>
      <c r="O188" s="126" t="str">
        <f t="shared" si="11"/>
        <v>-</v>
      </c>
      <c r="P188" s="164"/>
      <c r="Q188" s="164"/>
      <c r="R188" s="164"/>
      <c r="S188" s="164"/>
      <c r="T188" s="164"/>
      <c r="U188" s="164"/>
      <c r="V188" s="164"/>
    </row>
    <row r="189" spans="1:22" ht="27" customHeight="1">
      <c r="A189" s="38" t="str">
        <f>IF(ISBLANK(C189)," ",184-COUNTBLANK($C$6:C189))</f>
        <v xml:space="preserve"> </v>
      </c>
      <c r="B189" s="4"/>
      <c r="C189" s="5"/>
      <c r="D189" s="34"/>
      <c r="E189" s="34"/>
      <c r="F189" s="6"/>
      <c r="G189" s="6"/>
      <c r="H189" s="7"/>
      <c r="I189" s="7"/>
      <c r="J189" s="2"/>
      <c r="K189" s="2"/>
      <c r="L189" s="2"/>
      <c r="M189" s="8"/>
      <c r="N189" s="163" t="str">
        <f t="shared" si="9"/>
        <v/>
      </c>
      <c r="O189" s="126" t="str">
        <f t="shared" si="11"/>
        <v>-</v>
      </c>
      <c r="P189" s="164"/>
      <c r="Q189" s="164"/>
      <c r="R189" s="164"/>
      <c r="S189" s="164"/>
      <c r="T189" s="164"/>
      <c r="U189" s="164"/>
      <c r="V189" s="165"/>
    </row>
    <row r="190" spans="1:22" ht="27" customHeight="1">
      <c r="A190" s="38" t="str">
        <f>IF(ISBLANK(C190)," ",185-COUNTBLANK($C$6:C190))</f>
        <v xml:space="preserve"> </v>
      </c>
      <c r="B190" s="4"/>
      <c r="C190" s="5"/>
      <c r="D190" s="34"/>
      <c r="E190" s="34"/>
      <c r="F190" s="6"/>
      <c r="G190" s="6"/>
      <c r="H190" s="7"/>
      <c r="I190" s="7"/>
      <c r="J190" s="2"/>
      <c r="K190" s="2"/>
      <c r="L190" s="2"/>
      <c r="M190" s="8"/>
      <c r="N190" s="163" t="str">
        <f t="shared" si="9"/>
        <v/>
      </c>
      <c r="O190" s="126" t="str">
        <f t="shared" si="11"/>
        <v>-</v>
      </c>
      <c r="P190" s="164"/>
      <c r="Q190" s="164"/>
      <c r="R190" s="164"/>
      <c r="S190" s="164"/>
      <c r="T190" s="164"/>
      <c r="U190" s="164"/>
      <c r="V190" s="165"/>
    </row>
    <row r="191" spans="1:22" ht="27" customHeight="1">
      <c r="A191" s="38" t="str">
        <f>IF(ISBLANK(C191)," ",186-COUNTBLANK($C$6:C191))</f>
        <v xml:space="preserve"> </v>
      </c>
      <c r="B191" s="4"/>
      <c r="C191" s="5"/>
      <c r="D191" s="34"/>
      <c r="E191" s="34"/>
      <c r="F191" s="6"/>
      <c r="G191" s="6"/>
      <c r="H191" s="7"/>
      <c r="I191" s="7"/>
      <c r="J191" s="2"/>
      <c r="K191" s="2"/>
      <c r="L191" s="2"/>
      <c r="M191" s="8"/>
      <c r="N191" s="163" t="str">
        <f t="shared" si="9"/>
        <v/>
      </c>
      <c r="O191" s="126" t="str">
        <f t="shared" si="11"/>
        <v>-</v>
      </c>
      <c r="P191" s="164"/>
      <c r="Q191" s="164"/>
      <c r="R191" s="164"/>
      <c r="S191" s="164"/>
      <c r="T191" s="164"/>
      <c r="U191" s="164"/>
      <c r="V191" s="165"/>
    </row>
    <row r="192" spans="1:22" ht="27" customHeight="1">
      <c r="A192" s="38" t="str">
        <f>IF(ISBLANK(C192)," ",187-COUNTBLANK($C$6:C192))</f>
        <v xml:space="preserve"> </v>
      </c>
      <c r="B192" s="4"/>
      <c r="C192" s="5"/>
      <c r="D192" s="34"/>
      <c r="E192" s="34"/>
      <c r="F192" s="6"/>
      <c r="G192" s="6"/>
      <c r="H192" s="7"/>
      <c r="I192" s="7"/>
      <c r="J192" s="2"/>
      <c r="K192" s="2"/>
      <c r="L192" s="2"/>
      <c r="M192" s="8"/>
      <c r="N192" s="163" t="str">
        <f t="shared" si="9"/>
        <v/>
      </c>
      <c r="O192" s="126" t="str">
        <f t="shared" si="11"/>
        <v>-</v>
      </c>
      <c r="P192" s="164"/>
      <c r="Q192" s="164"/>
      <c r="R192" s="164"/>
      <c r="S192" s="164"/>
      <c r="T192" s="164"/>
      <c r="U192" s="164"/>
      <c r="V192" s="165"/>
    </row>
    <row r="193" spans="1:25" ht="27" customHeight="1">
      <c r="A193" s="39" t="str">
        <f>IF(ISBLANK(C193)," ",188-COUNTBLANK($C$6:C193))</f>
        <v xml:space="preserve"> </v>
      </c>
      <c r="B193" s="14"/>
      <c r="C193" s="15"/>
      <c r="D193" s="35"/>
      <c r="E193" s="35"/>
      <c r="F193" s="16"/>
      <c r="G193" s="16"/>
      <c r="H193" s="17"/>
      <c r="I193" s="17"/>
      <c r="J193" s="3"/>
      <c r="K193" s="3"/>
      <c r="L193" s="3"/>
      <c r="M193" s="18"/>
      <c r="N193" s="163" t="str">
        <f t="shared" si="9"/>
        <v/>
      </c>
      <c r="O193" s="126" t="str">
        <f t="shared" si="11"/>
        <v>-</v>
      </c>
      <c r="P193" s="164"/>
      <c r="Q193" s="164"/>
      <c r="R193" s="164"/>
      <c r="S193" s="164"/>
      <c r="T193" s="164"/>
      <c r="U193" s="164"/>
      <c r="V193" s="166"/>
      <c r="W193" s="164"/>
      <c r="X193" s="164"/>
      <c r="Y193" s="164"/>
    </row>
    <row r="194" spans="1:25" ht="27" customHeight="1">
      <c r="A194" s="172" t="s">
        <v>44</v>
      </c>
      <c r="B194" s="173"/>
      <c r="C194" s="174"/>
      <c r="D194" s="175"/>
      <c r="E194" s="175">
        <f>SUM(E174:E193)</f>
        <v>0</v>
      </c>
      <c r="F194" s="176"/>
      <c r="G194" s="176"/>
      <c r="H194" s="176"/>
      <c r="I194" s="176"/>
      <c r="J194" s="176"/>
      <c r="K194" s="176"/>
      <c r="L194" s="176"/>
      <c r="M194" s="177"/>
      <c r="N194" s="163" t="str">
        <f t="shared" si="9"/>
        <v/>
      </c>
      <c r="O194" s="126"/>
      <c r="P194" s="164"/>
      <c r="Q194" s="164"/>
      <c r="R194" s="164"/>
      <c r="S194" s="164"/>
      <c r="T194" s="164"/>
      <c r="U194" s="164"/>
      <c r="V194" s="166"/>
      <c r="W194" s="164"/>
      <c r="X194" s="164"/>
      <c r="Y194" s="164"/>
    </row>
    <row r="195" spans="1:25" ht="27" customHeight="1">
      <c r="A195" s="37" t="str">
        <f>IF(ISBLANK(C195)," ",190-COUNTBLANK($C$6:C195))</f>
        <v xml:space="preserve"> </v>
      </c>
      <c r="B195" s="9"/>
      <c r="C195" s="10"/>
      <c r="D195" s="33"/>
      <c r="E195" s="33"/>
      <c r="F195" s="11"/>
      <c r="G195" s="11"/>
      <c r="H195" s="12"/>
      <c r="I195" s="12"/>
      <c r="J195" s="32"/>
      <c r="K195" s="32"/>
      <c r="L195" s="32"/>
      <c r="M195" s="13"/>
      <c r="N195" s="163" t="str">
        <f t="shared" si="9"/>
        <v/>
      </c>
      <c r="O195" s="126" t="str">
        <f>IF(D195&gt;=E195,"-","ERR")</f>
        <v>-</v>
      </c>
      <c r="P195" s="164"/>
      <c r="Q195" s="164"/>
      <c r="R195" s="164"/>
      <c r="S195" s="164"/>
      <c r="T195" s="164"/>
      <c r="U195" s="164"/>
      <c r="V195" s="164"/>
    </row>
    <row r="196" spans="1:25" ht="27" customHeight="1">
      <c r="A196" s="38" t="str">
        <f>IF(ISBLANK(C196)," ",191-COUNTBLANK($C$6:C196))</f>
        <v xml:space="preserve"> </v>
      </c>
      <c r="B196" s="4"/>
      <c r="C196" s="5"/>
      <c r="D196" s="34"/>
      <c r="E196" s="34"/>
      <c r="F196" s="6"/>
      <c r="G196" s="6"/>
      <c r="H196" s="7"/>
      <c r="I196" s="7"/>
      <c r="J196" s="2"/>
      <c r="K196" s="2"/>
      <c r="L196" s="2"/>
      <c r="M196" s="8"/>
      <c r="N196" s="163" t="str">
        <f t="shared" si="9"/>
        <v/>
      </c>
      <c r="O196" s="126" t="str">
        <f t="shared" ref="O196:O214" si="12">IF(D196&gt;=E196,"-","ERR")</f>
        <v>-</v>
      </c>
      <c r="P196" s="164"/>
      <c r="Q196" s="164"/>
      <c r="R196" s="164"/>
      <c r="S196" s="164"/>
      <c r="T196" s="164"/>
      <c r="U196" s="164"/>
      <c r="V196" s="164"/>
    </row>
    <row r="197" spans="1:25" ht="27" customHeight="1">
      <c r="A197" s="38" t="str">
        <f>IF(ISBLANK(C197)," ",192-COUNTBLANK($C$6:C197))</f>
        <v xml:space="preserve"> </v>
      </c>
      <c r="B197" s="4"/>
      <c r="C197" s="5"/>
      <c r="D197" s="34"/>
      <c r="E197" s="34"/>
      <c r="F197" s="6"/>
      <c r="G197" s="6"/>
      <c r="H197" s="7"/>
      <c r="I197" s="7"/>
      <c r="J197" s="2"/>
      <c r="K197" s="2"/>
      <c r="L197" s="2"/>
      <c r="M197" s="8"/>
      <c r="N197" s="163" t="str">
        <f t="shared" si="9"/>
        <v/>
      </c>
      <c r="O197" s="126" t="str">
        <f t="shared" si="12"/>
        <v>-</v>
      </c>
      <c r="P197" s="164"/>
      <c r="Q197" s="164"/>
      <c r="R197" s="164"/>
      <c r="S197" s="164"/>
      <c r="T197" s="164"/>
      <c r="U197" s="164"/>
      <c r="V197" s="164"/>
    </row>
    <row r="198" spans="1:25" ht="27" customHeight="1">
      <c r="A198" s="38" t="str">
        <f>IF(ISBLANK(C198)," ",193-COUNTBLANK($C$6:C198))</f>
        <v xml:space="preserve"> </v>
      </c>
      <c r="B198" s="4"/>
      <c r="C198" s="5"/>
      <c r="D198" s="34"/>
      <c r="E198" s="34"/>
      <c r="F198" s="6"/>
      <c r="G198" s="6"/>
      <c r="H198" s="7"/>
      <c r="I198" s="7"/>
      <c r="J198" s="2"/>
      <c r="K198" s="2"/>
      <c r="L198" s="2"/>
      <c r="M198" s="8"/>
      <c r="N198" s="163" t="str">
        <f t="shared" si="9"/>
        <v/>
      </c>
      <c r="O198" s="126" t="str">
        <f t="shared" si="12"/>
        <v>-</v>
      </c>
      <c r="P198" s="164"/>
      <c r="Q198" s="164"/>
      <c r="R198" s="164"/>
      <c r="S198" s="164"/>
      <c r="T198" s="164"/>
      <c r="U198" s="164"/>
      <c r="V198" s="164"/>
    </row>
    <row r="199" spans="1:25" ht="27" customHeight="1">
      <c r="A199" s="38" t="str">
        <f>IF(ISBLANK(C199)," ",194-COUNTBLANK($C$6:C199))</f>
        <v xml:space="preserve"> </v>
      </c>
      <c r="B199" s="4"/>
      <c r="C199" s="5"/>
      <c r="D199" s="34"/>
      <c r="E199" s="34"/>
      <c r="F199" s="6"/>
      <c r="G199" s="6"/>
      <c r="H199" s="7"/>
      <c r="I199" s="7"/>
      <c r="J199" s="2"/>
      <c r="K199" s="2"/>
      <c r="L199" s="2"/>
      <c r="M199" s="8"/>
      <c r="N199" s="163" t="str">
        <f t="shared" ref="N199:N232" si="13">CONCATENATE(C199,H199)</f>
        <v/>
      </c>
      <c r="O199" s="126" t="str">
        <f t="shared" si="12"/>
        <v>-</v>
      </c>
      <c r="P199" s="164"/>
      <c r="Q199" s="164"/>
      <c r="R199" s="164"/>
      <c r="S199" s="164"/>
      <c r="T199" s="164"/>
      <c r="U199" s="164"/>
      <c r="V199" s="164"/>
    </row>
    <row r="200" spans="1:25" ht="27" customHeight="1">
      <c r="A200" s="38" t="str">
        <f>IF(ISBLANK(C200)," ",195-COUNTBLANK($C$6:C200))</f>
        <v xml:space="preserve"> </v>
      </c>
      <c r="B200" s="4"/>
      <c r="C200" s="5"/>
      <c r="D200" s="34"/>
      <c r="E200" s="34"/>
      <c r="F200" s="6"/>
      <c r="G200" s="6"/>
      <c r="H200" s="7"/>
      <c r="I200" s="7"/>
      <c r="J200" s="2"/>
      <c r="K200" s="2"/>
      <c r="L200" s="2"/>
      <c r="M200" s="8"/>
      <c r="N200" s="163" t="str">
        <f t="shared" si="13"/>
        <v/>
      </c>
      <c r="O200" s="126" t="str">
        <f t="shared" si="12"/>
        <v>-</v>
      </c>
      <c r="P200" s="164"/>
      <c r="Q200" s="164"/>
      <c r="R200" s="164"/>
      <c r="S200" s="164"/>
      <c r="T200" s="164"/>
      <c r="U200" s="164"/>
      <c r="V200" s="164"/>
    </row>
    <row r="201" spans="1:25" ht="27" customHeight="1">
      <c r="A201" s="38" t="str">
        <f>IF(ISBLANK(C201)," ",196-COUNTBLANK($C$6:C201))</f>
        <v xml:space="preserve"> </v>
      </c>
      <c r="B201" s="4"/>
      <c r="C201" s="5"/>
      <c r="D201" s="34"/>
      <c r="E201" s="34"/>
      <c r="F201" s="6"/>
      <c r="G201" s="6"/>
      <c r="H201" s="7"/>
      <c r="I201" s="7"/>
      <c r="J201" s="2"/>
      <c r="K201" s="2"/>
      <c r="L201" s="2"/>
      <c r="M201" s="8"/>
      <c r="N201" s="163" t="str">
        <f t="shared" si="13"/>
        <v/>
      </c>
      <c r="O201" s="126" t="str">
        <f t="shared" si="12"/>
        <v>-</v>
      </c>
      <c r="P201" s="164"/>
      <c r="Q201" s="164"/>
      <c r="R201" s="164"/>
      <c r="S201" s="164"/>
      <c r="T201" s="164"/>
      <c r="U201" s="164"/>
      <c r="V201" s="164"/>
    </row>
    <row r="202" spans="1:25" ht="27" customHeight="1">
      <c r="A202" s="38" t="str">
        <f>IF(ISBLANK(C202)," ",197-COUNTBLANK($C$6:C202))</f>
        <v xml:space="preserve"> </v>
      </c>
      <c r="B202" s="4"/>
      <c r="C202" s="5"/>
      <c r="D202" s="34"/>
      <c r="E202" s="34"/>
      <c r="F202" s="6"/>
      <c r="G202" s="6"/>
      <c r="H202" s="7"/>
      <c r="I202" s="7"/>
      <c r="J202" s="2"/>
      <c r="K202" s="2"/>
      <c r="L202" s="2"/>
      <c r="M202" s="8"/>
      <c r="N202" s="163" t="str">
        <f t="shared" si="13"/>
        <v/>
      </c>
      <c r="O202" s="126" t="str">
        <f t="shared" si="12"/>
        <v>-</v>
      </c>
      <c r="P202" s="164"/>
      <c r="Q202" s="164"/>
      <c r="R202" s="164"/>
      <c r="S202" s="164"/>
      <c r="T202" s="164"/>
      <c r="U202" s="164"/>
      <c r="V202" s="164"/>
    </row>
    <row r="203" spans="1:25" ht="27" customHeight="1">
      <c r="A203" s="38" t="str">
        <f>IF(ISBLANK(C203)," ",198-COUNTBLANK($C$6:C203))</f>
        <v xml:space="preserve"> </v>
      </c>
      <c r="B203" s="4"/>
      <c r="C203" s="5"/>
      <c r="D203" s="34"/>
      <c r="E203" s="34"/>
      <c r="F203" s="6"/>
      <c r="G203" s="6"/>
      <c r="H203" s="7"/>
      <c r="I203" s="7"/>
      <c r="J203" s="2"/>
      <c r="K203" s="2"/>
      <c r="L203" s="2"/>
      <c r="M203" s="8"/>
      <c r="N203" s="163" t="str">
        <f t="shared" si="13"/>
        <v/>
      </c>
      <c r="O203" s="126" t="str">
        <f t="shared" si="12"/>
        <v>-</v>
      </c>
      <c r="P203" s="164"/>
      <c r="Q203" s="164"/>
      <c r="R203" s="164"/>
      <c r="S203" s="164"/>
      <c r="T203" s="164"/>
      <c r="U203" s="164"/>
      <c r="V203" s="164"/>
    </row>
    <row r="204" spans="1:25" ht="27" customHeight="1">
      <c r="A204" s="38" t="str">
        <f>IF(ISBLANK(C204)," ",199-COUNTBLANK($C$6:C204))</f>
        <v xml:space="preserve"> </v>
      </c>
      <c r="B204" s="4"/>
      <c r="C204" s="5"/>
      <c r="D204" s="34"/>
      <c r="E204" s="34"/>
      <c r="F204" s="6"/>
      <c r="G204" s="6"/>
      <c r="H204" s="7"/>
      <c r="I204" s="7"/>
      <c r="J204" s="2"/>
      <c r="K204" s="2"/>
      <c r="L204" s="2"/>
      <c r="M204" s="8"/>
      <c r="N204" s="163" t="str">
        <f t="shared" si="13"/>
        <v/>
      </c>
      <c r="O204" s="126" t="str">
        <f t="shared" si="12"/>
        <v>-</v>
      </c>
      <c r="P204" s="164"/>
      <c r="Q204" s="164"/>
      <c r="R204" s="164"/>
      <c r="S204" s="164"/>
      <c r="T204" s="164"/>
      <c r="U204" s="164"/>
      <c r="V204" s="164"/>
    </row>
    <row r="205" spans="1:25" ht="27" customHeight="1">
      <c r="A205" s="38" t="str">
        <f>IF(ISBLANK(C205)," ",200-COUNTBLANK($C$6:C205))</f>
        <v xml:space="preserve"> </v>
      </c>
      <c r="B205" s="4"/>
      <c r="C205" s="5"/>
      <c r="D205" s="34"/>
      <c r="E205" s="34"/>
      <c r="F205" s="6"/>
      <c r="G205" s="6"/>
      <c r="H205" s="7"/>
      <c r="I205" s="7"/>
      <c r="J205" s="2"/>
      <c r="K205" s="2"/>
      <c r="L205" s="2"/>
      <c r="M205" s="8"/>
      <c r="N205" s="163" t="str">
        <f t="shared" si="13"/>
        <v/>
      </c>
      <c r="O205" s="126" t="str">
        <f t="shared" si="12"/>
        <v>-</v>
      </c>
      <c r="P205" s="164"/>
      <c r="Q205" s="164"/>
      <c r="R205" s="164"/>
      <c r="S205" s="164"/>
      <c r="T205" s="164"/>
      <c r="U205" s="164"/>
      <c r="V205" s="164"/>
    </row>
    <row r="206" spans="1:25" ht="27" customHeight="1">
      <c r="A206" s="38" t="str">
        <f>IF(ISBLANK(C206)," ",201-COUNTBLANK($C$6:C206))</f>
        <v xml:space="preserve"> </v>
      </c>
      <c r="B206" s="4"/>
      <c r="C206" s="5"/>
      <c r="D206" s="34"/>
      <c r="E206" s="34"/>
      <c r="F206" s="6"/>
      <c r="G206" s="6"/>
      <c r="H206" s="7"/>
      <c r="I206" s="7"/>
      <c r="J206" s="2"/>
      <c r="K206" s="2"/>
      <c r="L206" s="2"/>
      <c r="M206" s="8"/>
      <c r="N206" s="163" t="str">
        <f t="shared" si="13"/>
        <v/>
      </c>
      <c r="O206" s="126" t="str">
        <f t="shared" si="12"/>
        <v>-</v>
      </c>
      <c r="P206" s="164"/>
      <c r="Q206" s="164"/>
      <c r="R206" s="164"/>
      <c r="S206" s="164"/>
      <c r="T206" s="164"/>
      <c r="U206" s="164"/>
      <c r="V206" s="164"/>
    </row>
    <row r="207" spans="1:25" ht="27" customHeight="1">
      <c r="A207" s="38" t="str">
        <f>IF(ISBLANK(C207)," ",202-COUNTBLANK($C$6:C207))</f>
        <v xml:space="preserve"> </v>
      </c>
      <c r="B207" s="4"/>
      <c r="C207" s="5"/>
      <c r="D207" s="34"/>
      <c r="E207" s="34"/>
      <c r="F207" s="6"/>
      <c r="G207" s="6"/>
      <c r="H207" s="7"/>
      <c r="I207" s="7"/>
      <c r="J207" s="2"/>
      <c r="K207" s="2"/>
      <c r="L207" s="2"/>
      <c r="M207" s="8"/>
      <c r="N207" s="163" t="str">
        <f t="shared" si="13"/>
        <v/>
      </c>
      <c r="O207" s="126" t="str">
        <f t="shared" si="12"/>
        <v>-</v>
      </c>
      <c r="P207" s="164"/>
      <c r="Q207" s="164"/>
      <c r="R207" s="164"/>
      <c r="S207" s="164"/>
      <c r="T207" s="164"/>
      <c r="U207" s="164"/>
      <c r="V207" s="164"/>
    </row>
    <row r="208" spans="1:25" ht="27" customHeight="1">
      <c r="A208" s="38" t="str">
        <f>IF(ISBLANK(C208)," ",203-COUNTBLANK($C$6:C208))</f>
        <v xml:space="preserve"> </v>
      </c>
      <c r="B208" s="4"/>
      <c r="C208" s="5"/>
      <c r="D208" s="34"/>
      <c r="E208" s="34"/>
      <c r="F208" s="6"/>
      <c r="G208" s="6"/>
      <c r="H208" s="7"/>
      <c r="I208" s="7"/>
      <c r="J208" s="2"/>
      <c r="K208" s="2"/>
      <c r="L208" s="2"/>
      <c r="M208" s="8"/>
      <c r="N208" s="163" t="str">
        <f t="shared" si="13"/>
        <v/>
      </c>
      <c r="O208" s="126" t="str">
        <f t="shared" si="12"/>
        <v>-</v>
      </c>
      <c r="P208" s="164"/>
      <c r="Q208" s="164"/>
      <c r="R208" s="164"/>
      <c r="S208" s="164"/>
      <c r="T208" s="164"/>
      <c r="U208" s="164"/>
      <c r="V208" s="164"/>
    </row>
    <row r="209" spans="1:25" ht="27" customHeight="1">
      <c r="A209" s="38" t="str">
        <f>IF(ISBLANK(C209)," ",204-COUNTBLANK($C$6:C209))</f>
        <v xml:space="preserve"> </v>
      </c>
      <c r="B209" s="4"/>
      <c r="C209" s="5"/>
      <c r="D209" s="34"/>
      <c r="E209" s="34"/>
      <c r="F209" s="6"/>
      <c r="G209" s="6"/>
      <c r="H209" s="7"/>
      <c r="I209" s="7"/>
      <c r="J209" s="2"/>
      <c r="K209" s="2"/>
      <c r="L209" s="2"/>
      <c r="M209" s="8"/>
      <c r="N209" s="163" t="str">
        <f t="shared" si="13"/>
        <v/>
      </c>
      <c r="O209" s="126" t="str">
        <f t="shared" si="12"/>
        <v>-</v>
      </c>
      <c r="P209" s="164"/>
      <c r="Q209" s="164"/>
      <c r="R209" s="164"/>
      <c r="S209" s="164"/>
      <c r="T209" s="164"/>
      <c r="U209" s="164"/>
      <c r="V209" s="164"/>
    </row>
    <row r="210" spans="1:25" ht="27" customHeight="1">
      <c r="A210" s="38" t="str">
        <f>IF(ISBLANK(C210)," ",205-COUNTBLANK($C$6:C210))</f>
        <v xml:space="preserve"> </v>
      </c>
      <c r="B210" s="4"/>
      <c r="C210" s="5"/>
      <c r="D210" s="34"/>
      <c r="E210" s="34"/>
      <c r="F210" s="6"/>
      <c r="G210" s="6"/>
      <c r="H210" s="7"/>
      <c r="I210" s="7"/>
      <c r="J210" s="2"/>
      <c r="K210" s="2"/>
      <c r="L210" s="2"/>
      <c r="M210" s="8"/>
      <c r="N210" s="163" t="str">
        <f t="shared" si="13"/>
        <v/>
      </c>
      <c r="O210" s="126" t="str">
        <f t="shared" si="12"/>
        <v>-</v>
      </c>
      <c r="P210" s="164"/>
      <c r="Q210" s="164"/>
      <c r="R210" s="164"/>
      <c r="S210" s="164"/>
      <c r="T210" s="164"/>
      <c r="U210" s="164"/>
      <c r="V210" s="165"/>
    </row>
    <row r="211" spans="1:25" ht="27" customHeight="1">
      <c r="A211" s="38" t="str">
        <f>IF(ISBLANK(C211)," ",206-COUNTBLANK($C$6:C211))</f>
        <v xml:space="preserve"> </v>
      </c>
      <c r="B211" s="4"/>
      <c r="C211" s="5"/>
      <c r="D211" s="34"/>
      <c r="E211" s="34"/>
      <c r="F211" s="6"/>
      <c r="G211" s="6"/>
      <c r="H211" s="7"/>
      <c r="I211" s="7"/>
      <c r="J211" s="2"/>
      <c r="K211" s="2"/>
      <c r="L211" s="2"/>
      <c r="M211" s="8"/>
      <c r="N211" s="163" t="str">
        <f t="shared" si="13"/>
        <v/>
      </c>
      <c r="O211" s="126" t="str">
        <f t="shared" si="12"/>
        <v>-</v>
      </c>
      <c r="P211" s="164"/>
      <c r="Q211" s="164"/>
      <c r="R211" s="164"/>
      <c r="S211" s="164"/>
      <c r="T211" s="164"/>
      <c r="U211" s="164"/>
      <c r="V211" s="165"/>
    </row>
    <row r="212" spans="1:25" ht="27" customHeight="1">
      <c r="A212" s="38" t="str">
        <f>IF(ISBLANK(C212)," ",207-COUNTBLANK($C$6:C212))</f>
        <v xml:space="preserve"> </v>
      </c>
      <c r="B212" s="178"/>
      <c r="C212" s="178"/>
      <c r="D212" s="179"/>
      <c r="E212" s="179"/>
      <c r="F212" s="180"/>
      <c r="G212" s="180"/>
      <c r="H212" s="180"/>
      <c r="I212" s="180"/>
      <c r="J212" s="180"/>
      <c r="K212" s="180"/>
      <c r="L212" s="180"/>
      <c r="M212" s="181"/>
      <c r="N212" s="163" t="str">
        <f t="shared" si="13"/>
        <v/>
      </c>
      <c r="O212" s="126" t="str">
        <f t="shared" si="12"/>
        <v>-</v>
      </c>
      <c r="P212" s="164"/>
      <c r="Q212" s="164"/>
      <c r="R212" s="164"/>
      <c r="S212" s="164"/>
      <c r="T212" s="164"/>
      <c r="U212" s="164"/>
      <c r="V212" s="165"/>
    </row>
    <row r="213" spans="1:25" ht="27" customHeight="1">
      <c r="A213" s="38" t="str">
        <f>IF(ISBLANK(C213)," ",208-COUNTBLANK($C$6:C213))</f>
        <v xml:space="preserve"> </v>
      </c>
      <c r="B213" s="178"/>
      <c r="C213" s="178"/>
      <c r="D213" s="179"/>
      <c r="E213" s="179"/>
      <c r="F213" s="180"/>
      <c r="G213" s="180"/>
      <c r="H213" s="180"/>
      <c r="I213" s="180"/>
      <c r="J213" s="180"/>
      <c r="K213" s="180"/>
      <c r="L213" s="180"/>
      <c r="M213" s="181"/>
      <c r="N213" s="163" t="str">
        <f t="shared" si="13"/>
        <v/>
      </c>
      <c r="O213" s="126" t="str">
        <f t="shared" si="12"/>
        <v>-</v>
      </c>
      <c r="P213" s="164"/>
      <c r="Q213" s="164"/>
      <c r="R213" s="164"/>
      <c r="S213" s="164"/>
      <c r="T213" s="164"/>
      <c r="U213" s="164"/>
      <c r="V213" s="165"/>
    </row>
    <row r="214" spans="1:25" ht="27" customHeight="1">
      <c r="A214" s="182" t="str">
        <f>IF(ISBLANK(C214)," ",209-COUNTBLANK($C$6:C214))</f>
        <v xml:space="preserve"> </v>
      </c>
      <c r="B214" s="183"/>
      <c r="C214" s="183"/>
      <c r="D214" s="184"/>
      <c r="E214" s="184"/>
      <c r="F214" s="185"/>
      <c r="G214" s="185"/>
      <c r="H214" s="180"/>
      <c r="I214" s="180"/>
      <c r="J214" s="185"/>
      <c r="K214" s="185"/>
      <c r="L214" s="185"/>
      <c r="M214" s="186"/>
      <c r="N214" s="163" t="str">
        <f t="shared" si="13"/>
        <v/>
      </c>
      <c r="O214" s="126" t="str">
        <f t="shared" si="12"/>
        <v>-</v>
      </c>
      <c r="P214" s="164"/>
      <c r="Q214" s="164"/>
      <c r="R214" s="164"/>
      <c r="S214" s="164"/>
      <c r="T214" s="164"/>
      <c r="U214" s="164"/>
      <c r="V214" s="166"/>
      <c r="W214" s="164"/>
      <c r="X214" s="164"/>
      <c r="Y214" s="164"/>
    </row>
    <row r="215" spans="1:25" ht="27" customHeight="1">
      <c r="A215" s="172" t="s">
        <v>44</v>
      </c>
      <c r="B215" s="173"/>
      <c r="C215" s="174"/>
      <c r="D215" s="175"/>
      <c r="E215" s="175">
        <f>SUM(E195:E214)</f>
        <v>0</v>
      </c>
      <c r="F215" s="176"/>
      <c r="G215" s="176"/>
      <c r="H215" s="176"/>
      <c r="I215" s="176"/>
      <c r="J215" s="176"/>
      <c r="K215" s="176"/>
      <c r="L215" s="176"/>
      <c r="M215" s="177"/>
      <c r="N215" s="163" t="str">
        <f t="shared" si="13"/>
        <v/>
      </c>
      <c r="O215" s="126"/>
      <c r="P215" s="164"/>
      <c r="Q215" s="164"/>
      <c r="R215" s="164"/>
      <c r="S215" s="164"/>
      <c r="T215" s="164"/>
      <c r="U215" s="164"/>
      <c r="V215" s="166"/>
      <c r="W215" s="164"/>
      <c r="X215" s="164"/>
      <c r="Y215" s="164"/>
    </row>
    <row r="216" spans="1:25" ht="27" customHeight="1">
      <c r="A216" s="187" t="str">
        <f>IF(ISBLANK(C216)," ",211-COUNTBLANK($C$6:C216))</f>
        <v xml:space="preserve"> </v>
      </c>
      <c r="B216" s="188"/>
      <c r="C216" s="188"/>
      <c r="D216" s="189"/>
      <c r="E216" s="189"/>
      <c r="F216" s="190"/>
      <c r="G216" s="190"/>
      <c r="H216" s="190"/>
      <c r="I216" s="190"/>
      <c r="J216" s="190"/>
      <c r="K216" s="190"/>
      <c r="L216" s="190"/>
      <c r="M216" s="191"/>
      <c r="N216" s="163" t="str">
        <f t="shared" si="13"/>
        <v/>
      </c>
      <c r="O216" s="126" t="str">
        <f>IF(D216&gt;=E216,"-","ERR")</f>
        <v>-</v>
      </c>
      <c r="P216" s="164"/>
      <c r="Q216" s="164"/>
      <c r="R216" s="164"/>
      <c r="S216" s="164"/>
      <c r="T216" s="164"/>
      <c r="U216" s="164"/>
      <c r="V216" s="164"/>
    </row>
    <row r="217" spans="1:25" ht="27" customHeight="1">
      <c r="A217" s="192" t="str">
        <f>IF(ISBLANK(C217)," ",212-COUNTBLANK($C$6:C217))</f>
        <v xml:space="preserve"> </v>
      </c>
      <c r="B217" s="178"/>
      <c r="C217" s="178"/>
      <c r="D217" s="193"/>
      <c r="E217" s="193"/>
      <c r="F217" s="180"/>
      <c r="G217" s="180"/>
      <c r="H217" s="180"/>
      <c r="I217" s="180"/>
      <c r="J217" s="180"/>
      <c r="K217" s="180"/>
      <c r="L217" s="180"/>
      <c r="M217" s="181"/>
      <c r="N217" s="163" t="str">
        <f t="shared" si="13"/>
        <v/>
      </c>
      <c r="O217" s="126" t="str">
        <f t="shared" ref="O217:O235" si="14">IF(D217&gt;=E217,"-","ERR")</f>
        <v>-</v>
      </c>
      <c r="P217" s="164"/>
      <c r="Q217" s="164"/>
      <c r="R217" s="164"/>
      <c r="S217" s="164"/>
      <c r="T217" s="164"/>
      <c r="U217" s="164"/>
      <c r="V217" s="164"/>
    </row>
    <row r="218" spans="1:25" ht="27" customHeight="1">
      <c r="A218" s="192" t="str">
        <f>IF(ISBLANK(C218)," ",213-COUNTBLANK($C$6:C218))</f>
        <v xml:space="preserve"> </v>
      </c>
      <c r="B218" s="178"/>
      <c r="C218" s="178"/>
      <c r="D218" s="193"/>
      <c r="E218" s="193"/>
      <c r="F218" s="180"/>
      <c r="G218" s="180"/>
      <c r="H218" s="180"/>
      <c r="I218" s="180"/>
      <c r="J218" s="180"/>
      <c r="K218" s="180"/>
      <c r="L218" s="180"/>
      <c r="M218" s="181"/>
      <c r="N218" s="163" t="str">
        <f t="shared" si="13"/>
        <v/>
      </c>
      <c r="O218" s="126" t="str">
        <f t="shared" si="14"/>
        <v>-</v>
      </c>
      <c r="P218" s="164"/>
      <c r="Q218" s="164"/>
      <c r="R218" s="164"/>
      <c r="S218" s="164"/>
      <c r="T218" s="164"/>
      <c r="U218" s="164"/>
      <c r="V218" s="164"/>
    </row>
    <row r="219" spans="1:25" ht="27" customHeight="1">
      <c r="A219" s="192" t="str">
        <f>IF(ISBLANK(C219)," ",214-COUNTBLANK($C$6:C219))</f>
        <v xml:space="preserve"> </v>
      </c>
      <c r="B219" s="178"/>
      <c r="C219" s="178"/>
      <c r="D219" s="193"/>
      <c r="E219" s="193"/>
      <c r="F219" s="180"/>
      <c r="G219" s="180"/>
      <c r="H219" s="180"/>
      <c r="I219" s="180"/>
      <c r="J219" s="180"/>
      <c r="K219" s="180"/>
      <c r="L219" s="180"/>
      <c r="M219" s="181"/>
      <c r="N219" s="163" t="str">
        <f t="shared" si="13"/>
        <v/>
      </c>
      <c r="O219" s="126" t="str">
        <f t="shared" si="14"/>
        <v>-</v>
      </c>
      <c r="P219" s="164"/>
      <c r="Q219" s="164"/>
      <c r="R219" s="164"/>
      <c r="S219" s="164"/>
      <c r="T219" s="164"/>
      <c r="U219" s="164"/>
      <c r="V219" s="164"/>
    </row>
    <row r="220" spans="1:25" ht="27" customHeight="1">
      <c r="A220" s="192" t="str">
        <f>IF(ISBLANK(C220)," ",215-COUNTBLANK($C$6:C220))</f>
        <v xml:space="preserve"> </v>
      </c>
      <c r="B220" s="178"/>
      <c r="C220" s="178"/>
      <c r="D220" s="193"/>
      <c r="E220" s="193"/>
      <c r="F220" s="180"/>
      <c r="G220" s="180"/>
      <c r="H220" s="180"/>
      <c r="I220" s="180"/>
      <c r="J220" s="180"/>
      <c r="K220" s="180"/>
      <c r="L220" s="180"/>
      <c r="M220" s="181"/>
      <c r="N220" s="163" t="str">
        <f t="shared" si="13"/>
        <v/>
      </c>
      <c r="O220" s="126" t="str">
        <f t="shared" si="14"/>
        <v>-</v>
      </c>
      <c r="P220" s="164"/>
      <c r="Q220" s="164"/>
      <c r="R220" s="164"/>
      <c r="S220" s="164"/>
      <c r="T220" s="164"/>
      <c r="U220" s="164"/>
      <c r="V220" s="164"/>
    </row>
    <row r="221" spans="1:25" ht="27" customHeight="1">
      <c r="A221" s="192" t="str">
        <f>IF(ISBLANK(C221)," ",216-COUNTBLANK($C$6:C221))</f>
        <v xml:space="preserve"> </v>
      </c>
      <c r="B221" s="178"/>
      <c r="C221" s="178"/>
      <c r="D221" s="193"/>
      <c r="E221" s="193"/>
      <c r="F221" s="180"/>
      <c r="G221" s="180"/>
      <c r="H221" s="180"/>
      <c r="I221" s="180"/>
      <c r="J221" s="180"/>
      <c r="K221" s="180"/>
      <c r="L221" s="180"/>
      <c r="M221" s="181"/>
      <c r="N221" s="163" t="str">
        <f t="shared" si="13"/>
        <v/>
      </c>
      <c r="O221" s="126" t="str">
        <f t="shared" si="14"/>
        <v>-</v>
      </c>
      <c r="P221" s="164"/>
      <c r="Q221" s="164"/>
      <c r="R221" s="164"/>
      <c r="S221" s="164"/>
      <c r="T221" s="164"/>
      <c r="U221" s="164"/>
      <c r="V221" s="164"/>
    </row>
    <row r="222" spans="1:25" ht="27" customHeight="1">
      <c r="A222" s="192" t="str">
        <f>IF(ISBLANK(C222)," ",217-COUNTBLANK($C$6:C222))</f>
        <v xml:space="preserve"> </v>
      </c>
      <c r="B222" s="178"/>
      <c r="C222" s="178"/>
      <c r="D222" s="193"/>
      <c r="E222" s="193"/>
      <c r="F222" s="180"/>
      <c r="G222" s="180"/>
      <c r="H222" s="180"/>
      <c r="I222" s="180"/>
      <c r="J222" s="180"/>
      <c r="K222" s="180"/>
      <c r="L222" s="180"/>
      <c r="M222" s="181"/>
      <c r="N222" s="163" t="str">
        <f t="shared" si="13"/>
        <v/>
      </c>
      <c r="O222" s="126" t="str">
        <f t="shared" si="14"/>
        <v>-</v>
      </c>
      <c r="P222" s="164"/>
      <c r="Q222" s="164"/>
      <c r="R222" s="164"/>
      <c r="S222" s="164"/>
      <c r="T222" s="164"/>
      <c r="U222" s="164"/>
      <c r="V222" s="164"/>
    </row>
    <row r="223" spans="1:25" ht="27" customHeight="1">
      <c r="A223" s="192" t="str">
        <f>IF(ISBLANK(C223)," ",218-COUNTBLANK($C$6:C223))</f>
        <v xml:space="preserve"> </v>
      </c>
      <c r="B223" s="178"/>
      <c r="C223" s="178"/>
      <c r="D223" s="193"/>
      <c r="E223" s="193"/>
      <c r="F223" s="180"/>
      <c r="G223" s="180"/>
      <c r="H223" s="180"/>
      <c r="I223" s="180"/>
      <c r="J223" s="180"/>
      <c r="K223" s="180"/>
      <c r="L223" s="180"/>
      <c r="M223" s="181"/>
      <c r="N223" s="163" t="str">
        <f t="shared" si="13"/>
        <v/>
      </c>
      <c r="O223" s="126" t="str">
        <f t="shared" si="14"/>
        <v>-</v>
      </c>
      <c r="P223" s="164"/>
      <c r="Q223" s="164"/>
      <c r="R223" s="164"/>
      <c r="S223" s="164"/>
      <c r="T223" s="164"/>
      <c r="U223" s="164"/>
      <c r="V223" s="164"/>
    </row>
    <row r="224" spans="1:25" ht="27" customHeight="1">
      <c r="A224" s="192" t="str">
        <f>IF(ISBLANK(C224)," ",219-COUNTBLANK($C$6:C224))</f>
        <v xml:space="preserve"> </v>
      </c>
      <c r="B224" s="178"/>
      <c r="C224" s="178"/>
      <c r="D224" s="193"/>
      <c r="E224" s="193"/>
      <c r="F224" s="180"/>
      <c r="G224" s="180"/>
      <c r="H224" s="180"/>
      <c r="I224" s="180"/>
      <c r="J224" s="180"/>
      <c r="K224" s="180"/>
      <c r="L224" s="180"/>
      <c r="M224" s="181"/>
      <c r="N224" s="163" t="str">
        <f t="shared" si="13"/>
        <v/>
      </c>
      <c r="O224" s="126" t="str">
        <f t="shared" si="14"/>
        <v>-</v>
      </c>
      <c r="P224" s="164"/>
      <c r="Q224" s="164"/>
      <c r="R224" s="164"/>
      <c r="S224" s="164"/>
      <c r="T224" s="164"/>
      <c r="U224" s="164"/>
      <c r="V224" s="164"/>
    </row>
    <row r="225" spans="1:25" ht="27" customHeight="1">
      <c r="A225" s="192" t="str">
        <f>IF(ISBLANK(C225)," ",220-COUNTBLANK($C$6:C225))</f>
        <v xml:space="preserve"> </v>
      </c>
      <c r="B225" s="178"/>
      <c r="C225" s="178"/>
      <c r="D225" s="193"/>
      <c r="E225" s="193"/>
      <c r="F225" s="180"/>
      <c r="G225" s="180"/>
      <c r="H225" s="180"/>
      <c r="I225" s="180"/>
      <c r="J225" s="180"/>
      <c r="K225" s="180"/>
      <c r="L225" s="180"/>
      <c r="M225" s="181"/>
      <c r="N225" s="163" t="str">
        <f t="shared" si="13"/>
        <v/>
      </c>
      <c r="O225" s="126" t="str">
        <f t="shared" si="14"/>
        <v>-</v>
      </c>
      <c r="P225" s="164"/>
      <c r="Q225" s="164"/>
      <c r="R225" s="164"/>
      <c r="S225" s="164"/>
      <c r="T225" s="164"/>
      <c r="U225" s="164"/>
      <c r="V225" s="164"/>
    </row>
    <row r="226" spans="1:25" ht="27" customHeight="1">
      <c r="A226" s="192" t="str">
        <f>IF(ISBLANK(C226)," ",221-COUNTBLANK($C$6:C226))</f>
        <v xml:space="preserve"> </v>
      </c>
      <c r="B226" s="178"/>
      <c r="C226" s="178"/>
      <c r="D226" s="193"/>
      <c r="E226" s="193"/>
      <c r="F226" s="180"/>
      <c r="G226" s="180"/>
      <c r="H226" s="180"/>
      <c r="I226" s="180"/>
      <c r="J226" s="180"/>
      <c r="K226" s="180"/>
      <c r="L226" s="180"/>
      <c r="M226" s="181"/>
      <c r="N226" s="163" t="str">
        <f t="shared" si="13"/>
        <v/>
      </c>
      <c r="O226" s="126" t="str">
        <f t="shared" si="14"/>
        <v>-</v>
      </c>
      <c r="P226" s="164"/>
      <c r="Q226" s="164"/>
      <c r="R226" s="164"/>
      <c r="S226" s="164"/>
      <c r="T226" s="164"/>
      <c r="U226" s="164"/>
      <c r="V226" s="164"/>
    </row>
    <row r="227" spans="1:25" ht="27" customHeight="1">
      <c r="A227" s="192" t="str">
        <f>IF(ISBLANK(C227)," ",222-COUNTBLANK($C$6:C227))</f>
        <v xml:space="preserve"> </v>
      </c>
      <c r="B227" s="178"/>
      <c r="C227" s="178"/>
      <c r="D227" s="193"/>
      <c r="E227" s="193"/>
      <c r="F227" s="180"/>
      <c r="G227" s="180"/>
      <c r="H227" s="180"/>
      <c r="I227" s="180"/>
      <c r="J227" s="180"/>
      <c r="K227" s="180"/>
      <c r="L227" s="180"/>
      <c r="M227" s="181"/>
      <c r="N227" s="163" t="str">
        <f t="shared" si="13"/>
        <v/>
      </c>
      <c r="O227" s="126" t="str">
        <f t="shared" si="14"/>
        <v>-</v>
      </c>
      <c r="P227" s="164"/>
      <c r="Q227" s="164"/>
      <c r="R227" s="164"/>
      <c r="S227" s="164"/>
      <c r="T227" s="164"/>
      <c r="U227" s="164"/>
      <c r="V227" s="164"/>
    </row>
    <row r="228" spans="1:25" ht="27" customHeight="1">
      <c r="A228" s="192" t="str">
        <f>IF(ISBLANK(C228)," ",223-COUNTBLANK($C$6:C228))</f>
        <v xml:space="preserve"> </v>
      </c>
      <c r="B228" s="178"/>
      <c r="C228" s="178"/>
      <c r="D228" s="193"/>
      <c r="E228" s="193"/>
      <c r="F228" s="180"/>
      <c r="G228" s="180"/>
      <c r="H228" s="180"/>
      <c r="I228" s="180"/>
      <c r="J228" s="180"/>
      <c r="K228" s="180"/>
      <c r="L228" s="180"/>
      <c r="M228" s="181"/>
      <c r="N228" s="163" t="str">
        <f t="shared" si="13"/>
        <v/>
      </c>
      <c r="O228" s="126" t="str">
        <f t="shared" si="14"/>
        <v>-</v>
      </c>
      <c r="P228" s="164"/>
      <c r="Q228" s="164"/>
      <c r="R228" s="164"/>
      <c r="S228" s="164"/>
      <c r="T228" s="164"/>
      <c r="U228" s="164"/>
      <c r="V228" s="164"/>
    </row>
    <row r="229" spans="1:25" ht="27" customHeight="1">
      <c r="A229" s="192" t="str">
        <f>IF(ISBLANK(C229)," ",224-COUNTBLANK($C$6:C229))</f>
        <v xml:space="preserve"> </v>
      </c>
      <c r="B229" s="178"/>
      <c r="C229" s="178"/>
      <c r="D229" s="193"/>
      <c r="E229" s="193"/>
      <c r="F229" s="180"/>
      <c r="G229" s="180"/>
      <c r="H229" s="180"/>
      <c r="I229" s="180"/>
      <c r="J229" s="180"/>
      <c r="K229" s="180"/>
      <c r="L229" s="180"/>
      <c r="M229" s="181"/>
      <c r="N229" s="163" t="str">
        <f t="shared" si="13"/>
        <v/>
      </c>
      <c r="O229" s="126" t="str">
        <f t="shared" si="14"/>
        <v>-</v>
      </c>
      <c r="P229" s="164"/>
      <c r="Q229" s="164"/>
      <c r="R229" s="164"/>
      <c r="S229" s="164"/>
      <c r="T229" s="164"/>
      <c r="U229" s="164"/>
      <c r="V229" s="164"/>
    </row>
    <row r="230" spans="1:25" ht="27" customHeight="1">
      <c r="A230" s="192" t="str">
        <f>IF(ISBLANK(C230)," ",225-COUNTBLANK($C$6:C230))</f>
        <v xml:space="preserve"> </v>
      </c>
      <c r="B230" s="178"/>
      <c r="C230" s="178"/>
      <c r="D230" s="193"/>
      <c r="E230" s="193"/>
      <c r="F230" s="180"/>
      <c r="G230" s="180"/>
      <c r="H230" s="180"/>
      <c r="I230" s="180"/>
      <c r="J230" s="180"/>
      <c r="K230" s="180"/>
      <c r="L230" s="180"/>
      <c r="M230" s="181"/>
      <c r="N230" s="163" t="str">
        <f t="shared" si="13"/>
        <v/>
      </c>
      <c r="O230" s="126" t="str">
        <f t="shared" si="14"/>
        <v>-</v>
      </c>
      <c r="P230" s="164"/>
      <c r="Q230" s="164"/>
      <c r="R230" s="164"/>
      <c r="S230" s="164"/>
      <c r="T230" s="164"/>
      <c r="U230" s="164"/>
      <c r="V230" s="164"/>
    </row>
    <row r="231" spans="1:25" ht="27" customHeight="1">
      <c r="A231" s="192" t="str">
        <f>IF(ISBLANK(C231)," ",226-COUNTBLANK($C$6:C231))</f>
        <v xml:space="preserve"> </v>
      </c>
      <c r="B231" s="178"/>
      <c r="C231" s="178"/>
      <c r="D231" s="193"/>
      <c r="E231" s="193"/>
      <c r="F231" s="180"/>
      <c r="G231" s="180"/>
      <c r="H231" s="180"/>
      <c r="I231" s="180"/>
      <c r="J231" s="180"/>
      <c r="K231" s="180"/>
      <c r="L231" s="180"/>
      <c r="M231" s="181"/>
      <c r="N231" s="163" t="str">
        <f t="shared" si="13"/>
        <v/>
      </c>
      <c r="O231" s="126" t="str">
        <f t="shared" si="14"/>
        <v>-</v>
      </c>
      <c r="P231" s="164"/>
      <c r="Q231" s="164"/>
      <c r="R231" s="164"/>
      <c r="S231" s="164"/>
      <c r="T231" s="164"/>
      <c r="U231" s="164"/>
      <c r="V231" s="165"/>
    </row>
    <row r="232" spans="1:25" ht="27" customHeight="1">
      <c r="A232" s="192" t="str">
        <f>IF(ISBLANK(C232)," ",227-COUNTBLANK($C$6:C232))</f>
        <v xml:space="preserve"> </v>
      </c>
      <c r="B232" s="178"/>
      <c r="C232" s="178"/>
      <c r="D232" s="193"/>
      <c r="E232" s="193"/>
      <c r="F232" s="180"/>
      <c r="G232" s="180"/>
      <c r="H232" s="180"/>
      <c r="I232" s="180"/>
      <c r="J232" s="180"/>
      <c r="K232" s="180"/>
      <c r="L232" s="180"/>
      <c r="M232" s="181"/>
      <c r="N232" s="163" t="str">
        <f t="shared" si="13"/>
        <v/>
      </c>
      <c r="O232" s="126" t="str">
        <f t="shared" si="14"/>
        <v>-</v>
      </c>
      <c r="P232" s="164"/>
      <c r="Q232" s="164"/>
      <c r="R232" s="164"/>
      <c r="S232" s="164"/>
      <c r="T232" s="164"/>
      <c r="U232" s="164"/>
      <c r="V232" s="165"/>
    </row>
    <row r="233" spans="1:25" ht="27" customHeight="1">
      <c r="A233" s="192" t="str">
        <f>IF(ISBLANK(C233)," ",228-COUNTBLANK($C$6:C233))</f>
        <v xml:space="preserve"> </v>
      </c>
      <c r="B233" s="178"/>
      <c r="C233" s="178"/>
      <c r="D233" s="193"/>
      <c r="E233" s="193"/>
      <c r="F233" s="180"/>
      <c r="G233" s="180"/>
      <c r="H233" s="180"/>
      <c r="I233" s="180"/>
      <c r="J233" s="180"/>
      <c r="K233" s="180"/>
      <c r="L233" s="180"/>
      <c r="M233" s="181"/>
      <c r="N233" s="163" t="str">
        <f>CONCATENATE(C233,H233)</f>
        <v/>
      </c>
      <c r="O233" s="126" t="str">
        <f t="shared" si="14"/>
        <v>-</v>
      </c>
      <c r="P233" s="164"/>
      <c r="Q233" s="164"/>
      <c r="R233" s="164"/>
      <c r="S233" s="164"/>
      <c r="T233" s="164"/>
      <c r="U233" s="164"/>
      <c r="V233" s="165"/>
    </row>
    <row r="234" spans="1:25" ht="27" customHeight="1">
      <c r="A234" s="192" t="str">
        <f>IF(ISBLANK(C234)," ",229-COUNTBLANK($C$6:C234))</f>
        <v xml:space="preserve"> </v>
      </c>
      <c r="B234" s="178"/>
      <c r="C234" s="178"/>
      <c r="D234" s="193"/>
      <c r="E234" s="193"/>
      <c r="F234" s="180"/>
      <c r="G234" s="180"/>
      <c r="H234" s="180"/>
      <c r="I234" s="180"/>
      <c r="J234" s="180"/>
      <c r="K234" s="180"/>
      <c r="L234" s="180"/>
      <c r="M234" s="181"/>
      <c r="N234" s="163" t="str">
        <f>CONCATENATE(C234,H234)</f>
        <v/>
      </c>
      <c r="O234" s="126" t="str">
        <f t="shared" si="14"/>
        <v>-</v>
      </c>
      <c r="P234" s="164"/>
      <c r="Q234" s="164"/>
      <c r="R234" s="164"/>
      <c r="S234" s="164"/>
      <c r="T234" s="164"/>
      <c r="U234" s="164"/>
      <c r="V234" s="165"/>
    </row>
    <row r="235" spans="1:25" ht="27" customHeight="1">
      <c r="A235" s="192" t="str">
        <f>IF(ISBLANK(C235)," ",230-COUNTBLANK($C$6:C235))</f>
        <v xml:space="preserve"> </v>
      </c>
      <c r="B235" s="178"/>
      <c r="C235" s="178"/>
      <c r="D235" s="193"/>
      <c r="E235" s="193"/>
      <c r="F235" s="180"/>
      <c r="G235" s="180"/>
      <c r="H235" s="180"/>
      <c r="I235" s="180"/>
      <c r="J235" s="180"/>
      <c r="K235" s="180"/>
      <c r="L235" s="180"/>
      <c r="M235" s="181"/>
      <c r="N235" s="163" t="str">
        <f>CONCATENATE(C235,H235)</f>
        <v/>
      </c>
      <c r="O235" s="126" t="str">
        <f t="shared" si="14"/>
        <v>-</v>
      </c>
      <c r="P235" s="164"/>
      <c r="Q235" s="164"/>
      <c r="R235" s="164"/>
      <c r="S235" s="164"/>
      <c r="T235" s="164"/>
      <c r="U235" s="164"/>
      <c r="V235" s="166"/>
      <c r="W235" s="164"/>
      <c r="X235" s="164"/>
      <c r="Y235" s="164"/>
    </row>
    <row r="236" spans="1:25" ht="27" customHeight="1">
      <c r="A236" s="172" t="s">
        <v>44</v>
      </c>
      <c r="B236" s="173"/>
      <c r="C236" s="174"/>
      <c r="D236" s="194"/>
      <c r="E236" s="194">
        <f>SUM(E216:E235)</f>
        <v>0</v>
      </c>
      <c r="F236" s="176"/>
      <c r="G236" s="176"/>
      <c r="H236" s="176"/>
      <c r="I236" s="176"/>
      <c r="J236" s="176"/>
      <c r="K236" s="176"/>
      <c r="L236" s="176"/>
      <c r="M236" s="177"/>
      <c r="N236" s="163" t="str">
        <f>CONCATENATE(C236,H236)</f>
        <v/>
      </c>
      <c r="O236" s="126"/>
      <c r="P236" s="164"/>
      <c r="Q236" s="164"/>
      <c r="R236" s="164"/>
      <c r="S236" s="164"/>
      <c r="T236" s="164"/>
      <c r="U236" s="164"/>
      <c r="V236" s="166"/>
      <c r="W236" s="164"/>
      <c r="X236" s="164"/>
      <c r="Y236" s="164"/>
    </row>
    <row r="237" spans="1:25" ht="27" customHeight="1">
      <c r="A237" s="187" t="str">
        <f>IF(ISBLANK(C237)," ",232-COUNTBLANK($C$6:C237))</f>
        <v xml:space="preserve"> </v>
      </c>
      <c r="B237" s="188"/>
      <c r="C237" s="188"/>
      <c r="D237" s="189"/>
      <c r="E237" s="189"/>
      <c r="F237" s="190"/>
      <c r="G237" s="190"/>
      <c r="H237" s="190"/>
      <c r="I237" s="190"/>
      <c r="J237" s="190"/>
      <c r="K237" s="190"/>
      <c r="L237" s="190"/>
      <c r="M237" s="191"/>
      <c r="N237" s="163" t="str">
        <f>CONCATENATE(C237,H237)</f>
        <v/>
      </c>
      <c r="O237" s="126" t="str">
        <f>IF(D237&gt;=E237,"-","ERR")</f>
        <v>-</v>
      </c>
      <c r="P237" s="164"/>
      <c r="Q237" s="164"/>
      <c r="R237" s="164"/>
      <c r="S237" s="164"/>
      <c r="T237" s="164"/>
      <c r="U237" s="164"/>
      <c r="V237" s="164"/>
    </row>
    <row r="238" spans="1:25" ht="27" customHeight="1">
      <c r="A238" s="192" t="str">
        <f>IF(ISBLANK(C238)," ",233-COUNTBLANK($C$6:C238))</f>
        <v xml:space="preserve"> </v>
      </c>
      <c r="B238" s="178"/>
      <c r="C238" s="178"/>
      <c r="D238" s="193"/>
      <c r="E238" s="193"/>
      <c r="F238" s="180"/>
      <c r="G238" s="180"/>
      <c r="H238" s="180"/>
      <c r="I238" s="180"/>
      <c r="J238" s="180"/>
      <c r="K238" s="180"/>
      <c r="L238" s="180"/>
      <c r="M238" s="181"/>
      <c r="N238" s="163" t="str">
        <f t="shared" ref="N238:N257" si="15">CONCATENATE(C238,H238)</f>
        <v/>
      </c>
      <c r="O238" s="126" t="str">
        <f t="shared" ref="O238:O256" si="16">IF(D238&gt;=E238,"-","ERR")</f>
        <v>-</v>
      </c>
      <c r="P238" s="164"/>
      <c r="Q238" s="164"/>
      <c r="R238" s="164"/>
      <c r="S238" s="164"/>
      <c r="T238" s="164"/>
      <c r="U238" s="164"/>
      <c r="V238" s="164"/>
    </row>
    <row r="239" spans="1:25" ht="27" customHeight="1">
      <c r="A239" s="192" t="str">
        <f>IF(ISBLANK(C239)," ",234-COUNTBLANK($C$6:C239))</f>
        <v xml:space="preserve"> </v>
      </c>
      <c r="B239" s="178"/>
      <c r="C239" s="178"/>
      <c r="D239" s="193"/>
      <c r="E239" s="193"/>
      <c r="F239" s="180"/>
      <c r="G239" s="180"/>
      <c r="H239" s="180"/>
      <c r="I239" s="180"/>
      <c r="J239" s="180"/>
      <c r="K239" s="180"/>
      <c r="L239" s="180"/>
      <c r="M239" s="181"/>
      <c r="N239" s="163" t="str">
        <f t="shared" si="15"/>
        <v/>
      </c>
      <c r="O239" s="126" t="str">
        <f t="shared" si="16"/>
        <v>-</v>
      </c>
      <c r="P239" s="164"/>
      <c r="Q239" s="164"/>
      <c r="R239" s="164"/>
      <c r="S239" s="164"/>
      <c r="T239" s="164"/>
      <c r="U239" s="164"/>
      <c r="V239" s="164"/>
    </row>
    <row r="240" spans="1:25" ht="27" customHeight="1">
      <c r="A240" s="192" t="str">
        <f>IF(ISBLANK(C240)," ",235-COUNTBLANK($C$6:C240))</f>
        <v xml:space="preserve"> </v>
      </c>
      <c r="B240" s="178"/>
      <c r="C240" s="178"/>
      <c r="D240" s="193"/>
      <c r="E240" s="193"/>
      <c r="F240" s="180"/>
      <c r="G240" s="180"/>
      <c r="H240" s="180"/>
      <c r="I240" s="180"/>
      <c r="J240" s="180"/>
      <c r="K240" s="180"/>
      <c r="L240" s="180"/>
      <c r="M240" s="181"/>
      <c r="N240" s="163" t="str">
        <f t="shared" si="15"/>
        <v/>
      </c>
      <c r="O240" s="126" t="str">
        <f t="shared" si="16"/>
        <v>-</v>
      </c>
      <c r="P240" s="164"/>
      <c r="Q240" s="164"/>
      <c r="R240" s="164"/>
      <c r="S240" s="164"/>
      <c r="T240" s="164"/>
      <c r="U240" s="164"/>
      <c r="V240" s="164"/>
    </row>
    <row r="241" spans="1:25" ht="27" customHeight="1">
      <c r="A241" s="192" t="str">
        <f>IF(ISBLANK(C241)," ",236-COUNTBLANK($C$6:C241))</f>
        <v xml:space="preserve"> </v>
      </c>
      <c r="B241" s="178"/>
      <c r="C241" s="178"/>
      <c r="D241" s="193"/>
      <c r="E241" s="193"/>
      <c r="F241" s="180"/>
      <c r="G241" s="180"/>
      <c r="H241" s="180"/>
      <c r="I241" s="180"/>
      <c r="J241" s="180"/>
      <c r="K241" s="180"/>
      <c r="L241" s="180"/>
      <c r="M241" s="181"/>
      <c r="N241" s="163" t="str">
        <f t="shared" si="15"/>
        <v/>
      </c>
      <c r="O241" s="126" t="str">
        <f t="shared" si="16"/>
        <v>-</v>
      </c>
      <c r="P241" s="164"/>
      <c r="Q241" s="164"/>
      <c r="R241" s="164"/>
      <c r="S241" s="164"/>
      <c r="T241" s="164"/>
      <c r="U241" s="164"/>
      <c r="V241" s="164"/>
    </row>
    <row r="242" spans="1:25" ht="27" customHeight="1">
      <c r="A242" s="192" t="str">
        <f>IF(ISBLANK(C242)," ",237-COUNTBLANK($C$6:C242))</f>
        <v xml:space="preserve"> </v>
      </c>
      <c r="B242" s="178"/>
      <c r="C242" s="178"/>
      <c r="D242" s="193"/>
      <c r="E242" s="193"/>
      <c r="F242" s="180"/>
      <c r="G242" s="180"/>
      <c r="H242" s="180"/>
      <c r="I242" s="180"/>
      <c r="J242" s="180"/>
      <c r="K242" s="180"/>
      <c r="L242" s="180"/>
      <c r="M242" s="181"/>
      <c r="N242" s="163" t="str">
        <f t="shared" si="15"/>
        <v/>
      </c>
      <c r="O242" s="126" t="str">
        <f t="shared" si="16"/>
        <v>-</v>
      </c>
      <c r="P242" s="164"/>
      <c r="Q242" s="164"/>
      <c r="R242" s="164"/>
      <c r="S242" s="164"/>
      <c r="T242" s="164"/>
      <c r="U242" s="164"/>
      <c r="V242" s="164"/>
    </row>
    <row r="243" spans="1:25" ht="27" customHeight="1">
      <c r="A243" s="192" t="str">
        <f>IF(ISBLANK(C243)," ",238-COUNTBLANK($C$6:C243))</f>
        <v xml:space="preserve"> </v>
      </c>
      <c r="B243" s="178"/>
      <c r="C243" s="178"/>
      <c r="D243" s="193"/>
      <c r="E243" s="193"/>
      <c r="F243" s="180"/>
      <c r="G243" s="180"/>
      <c r="H243" s="180"/>
      <c r="I243" s="180"/>
      <c r="J243" s="180"/>
      <c r="K243" s="180"/>
      <c r="L243" s="180"/>
      <c r="M243" s="181"/>
      <c r="N243" s="163" t="str">
        <f t="shared" si="15"/>
        <v/>
      </c>
      <c r="O243" s="126" t="str">
        <f t="shared" si="16"/>
        <v>-</v>
      </c>
      <c r="P243" s="164"/>
      <c r="Q243" s="164"/>
      <c r="R243" s="164"/>
      <c r="S243" s="164"/>
      <c r="T243" s="164"/>
      <c r="U243" s="164"/>
      <c r="V243" s="164"/>
    </row>
    <row r="244" spans="1:25" ht="27" customHeight="1">
      <c r="A244" s="192" t="str">
        <f>IF(ISBLANK(C244)," ",239-COUNTBLANK($C$6:C244))</f>
        <v xml:space="preserve"> </v>
      </c>
      <c r="B244" s="178"/>
      <c r="C244" s="178"/>
      <c r="D244" s="193"/>
      <c r="E244" s="193"/>
      <c r="F244" s="180"/>
      <c r="G244" s="180"/>
      <c r="H244" s="180"/>
      <c r="I244" s="180"/>
      <c r="J244" s="180"/>
      <c r="K244" s="180"/>
      <c r="L244" s="180"/>
      <c r="M244" s="181"/>
      <c r="N244" s="163" t="str">
        <f t="shared" si="15"/>
        <v/>
      </c>
      <c r="O244" s="126" t="str">
        <f t="shared" si="16"/>
        <v>-</v>
      </c>
      <c r="P244" s="164"/>
      <c r="Q244" s="164"/>
      <c r="R244" s="164"/>
      <c r="S244" s="164"/>
      <c r="T244" s="164"/>
      <c r="U244" s="164"/>
      <c r="V244" s="164"/>
    </row>
    <row r="245" spans="1:25" ht="27" customHeight="1">
      <c r="A245" s="192" t="str">
        <f>IF(ISBLANK(C245)," ",240-COUNTBLANK($C$6:C245))</f>
        <v xml:space="preserve"> </v>
      </c>
      <c r="B245" s="178"/>
      <c r="C245" s="178"/>
      <c r="D245" s="193"/>
      <c r="E245" s="193"/>
      <c r="F245" s="180"/>
      <c r="G245" s="180"/>
      <c r="H245" s="180"/>
      <c r="I245" s="180"/>
      <c r="J245" s="180"/>
      <c r="K245" s="180"/>
      <c r="L245" s="180"/>
      <c r="M245" s="181"/>
      <c r="N245" s="163" t="str">
        <f t="shared" si="15"/>
        <v/>
      </c>
      <c r="O245" s="126" t="str">
        <f t="shared" si="16"/>
        <v>-</v>
      </c>
      <c r="P245" s="164"/>
      <c r="Q245" s="164"/>
      <c r="R245" s="164"/>
      <c r="S245" s="164"/>
      <c r="T245" s="164"/>
      <c r="U245" s="164"/>
      <c r="V245" s="164"/>
    </row>
    <row r="246" spans="1:25" ht="27" customHeight="1">
      <c r="A246" s="192" t="str">
        <f>IF(ISBLANK(C246)," ",241-COUNTBLANK($C$6:C246))</f>
        <v xml:space="preserve"> </v>
      </c>
      <c r="B246" s="178"/>
      <c r="C246" s="178"/>
      <c r="D246" s="193"/>
      <c r="E246" s="193"/>
      <c r="F246" s="180"/>
      <c r="G246" s="180"/>
      <c r="H246" s="180"/>
      <c r="I246" s="180"/>
      <c r="J246" s="180"/>
      <c r="K246" s="180"/>
      <c r="L246" s="180"/>
      <c r="M246" s="181"/>
      <c r="N246" s="163" t="str">
        <f t="shared" si="15"/>
        <v/>
      </c>
      <c r="O246" s="126" t="str">
        <f t="shared" si="16"/>
        <v>-</v>
      </c>
      <c r="P246" s="164"/>
      <c r="Q246" s="164"/>
      <c r="R246" s="164"/>
      <c r="S246" s="164"/>
      <c r="T246" s="164"/>
      <c r="U246" s="164"/>
      <c r="V246" s="164"/>
    </row>
    <row r="247" spans="1:25" ht="27" customHeight="1">
      <c r="A247" s="192" t="str">
        <f>IF(ISBLANK(C247)," ",242-COUNTBLANK($C$6:C247))</f>
        <v xml:space="preserve"> </v>
      </c>
      <c r="B247" s="178"/>
      <c r="C247" s="178"/>
      <c r="D247" s="193"/>
      <c r="E247" s="193"/>
      <c r="F247" s="180"/>
      <c r="G247" s="180"/>
      <c r="H247" s="180"/>
      <c r="I247" s="180"/>
      <c r="J247" s="180"/>
      <c r="K247" s="180"/>
      <c r="L247" s="180"/>
      <c r="M247" s="181"/>
      <c r="N247" s="163" t="str">
        <f t="shared" si="15"/>
        <v/>
      </c>
      <c r="O247" s="126" t="str">
        <f t="shared" si="16"/>
        <v>-</v>
      </c>
      <c r="P247" s="164"/>
      <c r="Q247" s="164"/>
      <c r="R247" s="164"/>
      <c r="S247" s="164"/>
      <c r="T247" s="164"/>
      <c r="U247" s="164"/>
      <c r="V247" s="164"/>
    </row>
    <row r="248" spans="1:25" ht="27" customHeight="1">
      <c r="A248" s="192" t="str">
        <f>IF(ISBLANK(C248)," ",243-COUNTBLANK($C$6:C248))</f>
        <v xml:space="preserve"> </v>
      </c>
      <c r="B248" s="178"/>
      <c r="C248" s="178"/>
      <c r="D248" s="193"/>
      <c r="E248" s="193"/>
      <c r="F248" s="180"/>
      <c r="G248" s="180"/>
      <c r="H248" s="180"/>
      <c r="I248" s="180"/>
      <c r="J248" s="180"/>
      <c r="K248" s="180"/>
      <c r="L248" s="180"/>
      <c r="M248" s="181"/>
      <c r="N248" s="163" t="str">
        <f t="shared" si="15"/>
        <v/>
      </c>
      <c r="O248" s="126" t="str">
        <f t="shared" si="16"/>
        <v>-</v>
      </c>
      <c r="P248" s="164"/>
      <c r="Q248" s="164"/>
      <c r="R248" s="164"/>
      <c r="S248" s="164"/>
      <c r="T248" s="164"/>
      <c r="U248" s="164"/>
      <c r="V248" s="164"/>
    </row>
    <row r="249" spans="1:25" ht="27" customHeight="1">
      <c r="A249" s="192" t="str">
        <f>IF(ISBLANK(C249)," ",244-COUNTBLANK($C$6:C249))</f>
        <v xml:space="preserve"> </v>
      </c>
      <c r="B249" s="178"/>
      <c r="C249" s="178"/>
      <c r="D249" s="193"/>
      <c r="E249" s="193"/>
      <c r="F249" s="180"/>
      <c r="G249" s="180"/>
      <c r="H249" s="180"/>
      <c r="I249" s="180"/>
      <c r="J249" s="180"/>
      <c r="K249" s="180"/>
      <c r="L249" s="180"/>
      <c r="M249" s="181"/>
      <c r="N249" s="163" t="str">
        <f t="shared" si="15"/>
        <v/>
      </c>
      <c r="O249" s="126" t="str">
        <f t="shared" si="16"/>
        <v>-</v>
      </c>
      <c r="P249" s="164"/>
      <c r="Q249" s="164"/>
      <c r="R249" s="164"/>
      <c r="S249" s="164"/>
      <c r="T249" s="164"/>
      <c r="U249" s="164"/>
      <c r="V249" s="164"/>
    </row>
    <row r="250" spans="1:25" ht="27" customHeight="1">
      <c r="A250" s="192" t="str">
        <f>IF(ISBLANK(C250)," ",245-COUNTBLANK($C$6:C250))</f>
        <v xml:space="preserve"> </v>
      </c>
      <c r="B250" s="178"/>
      <c r="C250" s="178"/>
      <c r="D250" s="193"/>
      <c r="E250" s="193"/>
      <c r="F250" s="180"/>
      <c r="G250" s="180"/>
      <c r="H250" s="180"/>
      <c r="I250" s="180"/>
      <c r="J250" s="180"/>
      <c r="K250" s="180"/>
      <c r="L250" s="180"/>
      <c r="M250" s="181"/>
      <c r="N250" s="163" t="str">
        <f t="shared" si="15"/>
        <v/>
      </c>
      <c r="O250" s="126" t="str">
        <f t="shared" si="16"/>
        <v>-</v>
      </c>
      <c r="P250" s="164"/>
      <c r="Q250" s="164"/>
      <c r="R250" s="164"/>
      <c r="S250" s="164"/>
      <c r="T250" s="164"/>
      <c r="U250" s="164"/>
      <c r="V250" s="164"/>
    </row>
    <row r="251" spans="1:25" ht="27" customHeight="1">
      <c r="A251" s="192" t="str">
        <f>IF(ISBLANK(C251)," ",246-COUNTBLANK($C$6:C251))</f>
        <v xml:space="preserve"> </v>
      </c>
      <c r="B251" s="178"/>
      <c r="C251" s="178"/>
      <c r="D251" s="193"/>
      <c r="E251" s="193"/>
      <c r="F251" s="180"/>
      <c r="G251" s="180"/>
      <c r="H251" s="180"/>
      <c r="I251" s="180"/>
      <c r="J251" s="180"/>
      <c r="K251" s="180"/>
      <c r="L251" s="180"/>
      <c r="M251" s="181"/>
      <c r="N251" s="163" t="str">
        <f t="shared" si="15"/>
        <v/>
      </c>
      <c r="O251" s="126" t="str">
        <f t="shared" si="16"/>
        <v>-</v>
      </c>
      <c r="P251" s="164"/>
      <c r="Q251" s="164"/>
      <c r="R251" s="164"/>
      <c r="S251" s="164"/>
      <c r="T251" s="164"/>
      <c r="U251" s="164"/>
      <c r="V251" s="164"/>
    </row>
    <row r="252" spans="1:25" ht="27" customHeight="1">
      <c r="A252" s="192" t="str">
        <f>IF(ISBLANK(C252)," ",247-COUNTBLANK($C$6:C252))</f>
        <v xml:space="preserve"> </v>
      </c>
      <c r="B252" s="178"/>
      <c r="C252" s="178"/>
      <c r="D252" s="193"/>
      <c r="E252" s="193"/>
      <c r="F252" s="180"/>
      <c r="G252" s="180"/>
      <c r="H252" s="180"/>
      <c r="I252" s="180"/>
      <c r="J252" s="180"/>
      <c r="K252" s="180"/>
      <c r="L252" s="180"/>
      <c r="M252" s="181"/>
      <c r="N252" s="163" t="str">
        <f t="shared" si="15"/>
        <v/>
      </c>
      <c r="O252" s="126" t="str">
        <f t="shared" si="16"/>
        <v>-</v>
      </c>
      <c r="P252" s="164"/>
      <c r="Q252" s="164"/>
      <c r="R252" s="164"/>
      <c r="S252" s="164"/>
      <c r="T252" s="164"/>
      <c r="U252" s="164"/>
      <c r="V252" s="165"/>
    </row>
    <row r="253" spans="1:25" ht="27" customHeight="1">
      <c r="A253" s="192" t="str">
        <f>IF(ISBLANK(C253)," ",248-COUNTBLANK($C$6:C253))</f>
        <v xml:space="preserve"> </v>
      </c>
      <c r="B253" s="178"/>
      <c r="C253" s="178"/>
      <c r="D253" s="193"/>
      <c r="E253" s="193"/>
      <c r="F253" s="180"/>
      <c r="G253" s="180"/>
      <c r="H253" s="180"/>
      <c r="I253" s="180"/>
      <c r="J253" s="180"/>
      <c r="K253" s="180"/>
      <c r="L253" s="180"/>
      <c r="M253" s="181"/>
      <c r="N253" s="163" t="str">
        <f t="shared" si="15"/>
        <v/>
      </c>
      <c r="O253" s="126" t="str">
        <f t="shared" si="16"/>
        <v>-</v>
      </c>
      <c r="P253" s="164"/>
      <c r="Q253" s="164"/>
      <c r="R253" s="164"/>
      <c r="S253" s="164"/>
      <c r="T253" s="164"/>
      <c r="U253" s="164"/>
      <c r="V253" s="165"/>
    </row>
    <row r="254" spans="1:25" ht="27" customHeight="1">
      <c r="A254" s="192" t="str">
        <f>IF(ISBLANK(C254)," ",249-COUNTBLANK($C$6:C254))</f>
        <v xml:space="preserve"> </v>
      </c>
      <c r="B254" s="178"/>
      <c r="C254" s="178"/>
      <c r="D254" s="193"/>
      <c r="E254" s="193"/>
      <c r="F254" s="180"/>
      <c r="G254" s="180"/>
      <c r="H254" s="180"/>
      <c r="I254" s="180"/>
      <c r="J254" s="180"/>
      <c r="K254" s="180"/>
      <c r="L254" s="180"/>
      <c r="M254" s="181"/>
      <c r="N254" s="163" t="str">
        <f t="shared" si="15"/>
        <v/>
      </c>
      <c r="O254" s="126" t="str">
        <f t="shared" si="16"/>
        <v>-</v>
      </c>
      <c r="P254" s="164"/>
      <c r="Q254" s="164"/>
      <c r="R254" s="164"/>
      <c r="S254" s="164"/>
      <c r="T254" s="164"/>
      <c r="U254" s="164"/>
      <c r="V254" s="165"/>
    </row>
    <row r="255" spans="1:25" ht="27" customHeight="1">
      <c r="A255" s="192" t="str">
        <f>IF(ISBLANK(C255)," ",250-COUNTBLANK($C$6:C255))</f>
        <v xml:space="preserve"> </v>
      </c>
      <c r="B255" s="178"/>
      <c r="C255" s="178"/>
      <c r="D255" s="193"/>
      <c r="E255" s="193"/>
      <c r="F255" s="180"/>
      <c r="G255" s="180"/>
      <c r="H255" s="180"/>
      <c r="I255" s="180"/>
      <c r="J255" s="180"/>
      <c r="K255" s="180"/>
      <c r="L255" s="180"/>
      <c r="M255" s="181"/>
      <c r="N255" s="163" t="str">
        <f t="shared" si="15"/>
        <v/>
      </c>
      <c r="O255" s="126" t="str">
        <f t="shared" si="16"/>
        <v>-</v>
      </c>
      <c r="P255" s="164"/>
      <c r="Q255" s="164"/>
      <c r="R255" s="164"/>
      <c r="S255" s="164"/>
      <c r="T255" s="164"/>
      <c r="U255" s="164"/>
      <c r="V255" s="165"/>
    </row>
    <row r="256" spans="1:25" ht="27" customHeight="1">
      <c r="A256" s="192" t="str">
        <f>IF(ISBLANK(C256)," ",251-COUNTBLANK($C$6:C256))</f>
        <v xml:space="preserve"> </v>
      </c>
      <c r="B256" s="178"/>
      <c r="C256" s="178"/>
      <c r="D256" s="193"/>
      <c r="E256" s="193"/>
      <c r="F256" s="180"/>
      <c r="G256" s="180"/>
      <c r="H256" s="180"/>
      <c r="I256" s="180"/>
      <c r="J256" s="180"/>
      <c r="K256" s="180"/>
      <c r="L256" s="180"/>
      <c r="M256" s="181"/>
      <c r="N256" s="163" t="str">
        <f t="shared" si="15"/>
        <v/>
      </c>
      <c r="O256" s="126" t="str">
        <f t="shared" si="16"/>
        <v>-</v>
      </c>
      <c r="P256" s="164"/>
      <c r="Q256" s="164"/>
      <c r="R256" s="164"/>
      <c r="S256" s="164"/>
      <c r="T256" s="164"/>
      <c r="U256" s="164"/>
      <c r="V256" s="166"/>
      <c r="W256" s="164"/>
      <c r="X256" s="164"/>
      <c r="Y256" s="164"/>
    </row>
    <row r="257" spans="1:25" ht="27" customHeight="1">
      <c r="A257" s="172" t="s">
        <v>44</v>
      </c>
      <c r="B257" s="173"/>
      <c r="C257" s="174"/>
      <c r="D257" s="194"/>
      <c r="E257" s="194">
        <f>SUM(E237:E256)</f>
        <v>0</v>
      </c>
      <c r="F257" s="176"/>
      <c r="G257" s="176"/>
      <c r="H257" s="176"/>
      <c r="I257" s="176"/>
      <c r="J257" s="176"/>
      <c r="K257" s="176"/>
      <c r="L257" s="176"/>
      <c r="M257" s="177"/>
      <c r="N257" s="163" t="str">
        <f t="shared" si="15"/>
        <v/>
      </c>
      <c r="O257" s="126"/>
      <c r="P257" s="164"/>
      <c r="Q257" s="164"/>
      <c r="R257" s="164"/>
      <c r="S257" s="164"/>
      <c r="T257" s="164"/>
      <c r="U257" s="164"/>
      <c r="V257" s="166"/>
      <c r="W257" s="164"/>
      <c r="X257" s="164"/>
      <c r="Y257" s="164"/>
    </row>
    <row r="258" spans="1:25" ht="27" customHeight="1">
      <c r="A258" s="187" t="str">
        <f>IF(ISBLANK(C258)," ",253-COUNTBLANK($C$6:C258))</f>
        <v xml:space="preserve"> </v>
      </c>
      <c r="B258" s="188"/>
      <c r="C258" s="188"/>
      <c r="D258" s="189"/>
      <c r="E258" s="189"/>
      <c r="F258" s="190"/>
      <c r="G258" s="190"/>
      <c r="H258" s="190"/>
      <c r="I258" s="190"/>
      <c r="J258" s="190"/>
      <c r="K258" s="190"/>
      <c r="L258" s="190"/>
      <c r="M258" s="191"/>
      <c r="N258" s="163" t="str">
        <f>CONCATENATE(C258,H258)</f>
        <v/>
      </c>
      <c r="O258" s="126" t="str">
        <f>IF(D258&gt;=E258,"-","ERR")</f>
        <v>-</v>
      </c>
      <c r="P258" s="164"/>
      <c r="Q258" s="164"/>
      <c r="R258" s="164"/>
      <c r="S258" s="164"/>
      <c r="T258" s="164"/>
      <c r="U258" s="164"/>
      <c r="V258" s="164"/>
    </row>
    <row r="259" spans="1:25" ht="27" customHeight="1">
      <c r="A259" s="192" t="str">
        <f>IF(ISBLANK(C259)," ",254-COUNTBLANK($C$6:C259))</f>
        <v xml:space="preserve"> </v>
      </c>
      <c r="B259" s="178"/>
      <c r="C259" s="178"/>
      <c r="D259" s="193"/>
      <c r="E259" s="193"/>
      <c r="F259" s="180"/>
      <c r="G259" s="180"/>
      <c r="H259" s="180"/>
      <c r="I259" s="180"/>
      <c r="J259" s="180"/>
      <c r="K259" s="180"/>
      <c r="L259" s="180"/>
      <c r="M259" s="181"/>
      <c r="N259" s="163" t="str">
        <f t="shared" ref="N259:N278" si="17">CONCATENATE(C259,H259)</f>
        <v/>
      </c>
      <c r="O259" s="126" t="str">
        <f t="shared" ref="O259:O277" si="18">IF(D259&gt;=E259,"-","ERR")</f>
        <v>-</v>
      </c>
      <c r="P259" s="164"/>
      <c r="Q259" s="164"/>
      <c r="R259" s="164"/>
      <c r="S259" s="164"/>
      <c r="T259" s="164"/>
      <c r="U259" s="164"/>
      <c r="V259" s="164"/>
    </row>
    <row r="260" spans="1:25" ht="27" customHeight="1">
      <c r="A260" s="192" t="str">
        <f>IF(ISBLANK(C260)," ",255-COUNTBLANK($C$6:C260))</f>
        <v xml:space="preserve"> </v>
      </c>
      <c r="B260" s="178"/>
      <c r="C260" s="178"/>
      <c r="D260" s="193"/>
      <c r="E260" s="193"/>
      <c r="F260" s="180"/>
      <c r="G260" s="180"/>
      <c r="H260" s="180"/>
      <c r="I260" s="180"/>
      <c r="J260" s="180"/>
      <c r="K260" s="180"/>
      <c r="L260" s="180"/>
      <c r="M260" s="181"/>
      <c r="N260" s="163" t="str">
        <f t="shared" si="17"/>
        <v/>
      </c>
      <c r="O260" s="126" t="str">
        <f t="shared" si="18"/>
        <v>-</v>
      </c>
      <c r="P260" s="164"/>
      <c r="Q260" s="164"/>
      <c r="R260" s="164"/>
      <c r="S260" s="164"/>
      <c r="T260" s="164"/>
      <c r="U260" s="164"/>
      <c r="V260" s="164"/>
    </row>
    <row r="261" spans="1:25" ht="27" customHeight="1">
      <c r="A261" s="192" t="str">
        <f>IF(ISBLANK(C261)," ",256-COUNTBLANK($C$6:C261))</f>
        <v xml:space="preserve"> </v>
      </c>
      <c r="B261" s="178"/>
      <c r="C261" s="178"/>
      <c r="D261" s="193"/>
      <c r="E261" s="193"/>
      <c r="F261" s="180"/>
      <c r="G261" s="180"/>
      <c r="H261" s="180"/>
      <c r="I261" s="180"/>
      <c r="J261" s="180"/>
      <c r="K261" s="180"/>
      <c r="L261" s="180"/>
      <c r="M261" s="181"/>
      <c r="N261" s="163" t="str">
        <f t="shared" si="17"/>
        <v/>
      </c>
      <c r="O261" s="126" t="str">
        <f t="shared" si="18"/>
        <v>-</v>
      </c>
      <c r="P261" s="164"/>
      <c r="Q261" s="164"/>
      <c r="R261" s="164"/>
      <c r="S261" s="164"/>
      <c r="T261" s="164"/>
      <c r="U261" s="164"/>
      <c r="V261" s="164"/>
    </row>
    <row r="262" spans="1:25" ht="27" customHeight="1">
      <c r="A262" s="192" t="str">
        <f>IF(ISBLANK(C262)," ",257-COUNTBLANK($C$6:C262))</f>
        <v xml:space="preserve"> </v>
      </c>
      <c r="B262" s="178"/>
      <c r="C262" s="178"/>
      <c r="D262" s="193"/>
      <c r="E262" s="193"/>
      <c r="F262" s="180"/>
      <c r="G262" s="180"/>
      <c r="H262" s="180"/>
      <c r="I262" s="180"/>
      <c r="J262" s="180"/>
      <c r="K262" s="180"/>
      <c r="L262" s="180"/>
      <c r="M262" s="181"/>
      <c r="N262" s="163" t="str">
        <f t="shared" si="17"/>
        <v/>
      </c>
      <c r="O262" s="126" t="str">
        <f t="shared" si="18"/>
        <v>-</v>
      </c>
      <c r="P262" s="164"/>
      <c r="Q262" s="164"/>
      <c r="R262" s="164"/>
      <c r="S262" s="164"/>
      <c r="T262" s="164"/>
      <c r="U262" s="164"/>
      <c r="V262" s="164"/>
    </row>
    <row r="263" spans="1:25" ht="27" customHeight="1">
      <c r="A263" s="192" t="str">
        <f>IF(ISBLANK(C263)," ",258-COUNTBLANK($C$6:C263))</f>
        <v xml:space="preserve"> </v>
      </c>
      <c r="B263" s="178"/>
      <c r="C263" s="178"/>
      <c r="D263" s="193"/>
      <c r="E263" s="193"/>
      <c r="F263" s="180"/>
      <c r="G263" s="180"/>
      <c r="H263" s="180"/>
      <c r="I263" s="180"/>
      <c r="J263" s="180"/>
      <c r="K263" s="180"/>
      <c r="L263" s="180"/>
      <c r="M263" s="181"/>
      <c r="N263" s="163" t="str">
        <f t="shared" si="17"/>
        <v/>
      </c>
      <c r="O263" s="126" t="str">
        <f t="shared" si="18"/>
        <v>-</v>
      </c>
      <c r="P263" s="164"/>
      <c r="Q263" s="164"/>
      <c r="R263" s="164"/>
      <c r="S263" s="164"/>
      <c r="T263" s="164"/>
      <c r="U263" s="164"/>
      <c r="V263" s="164"/>
    </row>
    <row r="264" spans="1:25" ht="27" customHeight="1">
      <c r="A264" s="192" t="str">
        <f>IF(ISBLANK(C264)," ",259-COUNTBLANK($C$6:C264))</f>
        <v xml:space="preserve"> </v>
      </c>
      <c r="B264" s="178"/>
      <c r="C264" s="178"/>
      <c r="D264" s="193"/>
      <c r="E264" s="193"/>
      <c r="F264" s="180"/>
      <c r="G264" s="180"/>
      <c r="H264" s="180"/>
      <c r="I264" s="180"/>
      <c r="J264" s="180"/>
      <c r="K264" s="180"/>
      <c r="L264" s="180"/>
      <c r="M264" s="181"/>
      <c r="N264" s="163" t="str">
        <f t="shared" si="17"/>
        <v/>
      </c>
      <c r="O264" s="126" t="str">
        <f t="shared" si="18"/>
        <v>-</v>
      </c>
      <c r="P264" s="164"/>
      <c r="Q264" s="164"/>
      <c r="R264" s="164"/>
      <c r="S264" s="164"/>
      <c r="T264" s="164"/>
      <c r="U264" s="164"/>
      <c r="V264" s="164"/>
    </row>
    <row r="265" spans="1:25" ht="27" customHeight="1">
      <c r="A265" s="192" t="str">
        <f>IF(ISBLANK(C265)," ",260-COUNTBLANK($C$6:C265))</f>
        <v xml:space="preserve"> </v>
      </c>
      <c r="B265" s="178"/>
      <c r="C265" s="178"/>
      <c r="D265" s="193"/>
      <c r="E265" s="193"/>
      <c r="F265" s="180"/>
      <c r="G265" s="180"/>
      <c r="H265" s="180"/>
      <c r="I265" s="180"/>
      <c r="J265" s="180"/>
      <c r="K265" s="180"/>
      <c r="L265" s="180"/>
      <c r="M265" s="181"/>
      <c r="N265" s="163" t="str">
        <f t="shared" si="17"/>
        <v/>
      </c>
      <c r="O265" s="126" t="str">
        <f t="shared" si="18"/>
        <v>-</v>
      </c>
      <c r="P265" s="164"/>
      <c r="Q265" s="164"/>
      <c r="R265" s="164"/>
      <c r="S265" s="164"/>
      <c r="T265" s="164"/>
      <c r="U265" s="164"/>
      <c r="V265" s="164"/>
    </row>
    <row r="266" spans="1:25" ht="27" customHeight="1">
      <c r="A266" s="192" t="str">
        <f>IF(ISBLANK(C266)," ",261-COUNTBLANK($C$6:C266))</f>
        <v xml:space="preserve"> </v>
      </c>
      <c r="B266" s="178"/>
      <c r="C266" s="178"/>
      <c r="D266" s="193"/>
      <c r="E266" s="193"/>
      <c r="F266" s="180"/>
      <c r="G266" s="180"/>
      <c r="H266" s="180"/>
      <c r="I266" s="180"/>
      <c r="J266" s="180"/>
      <c r="K266" s="180"/>
      <c r="L266" s="180"/>
      <c r="M266" s="181"/>
      <c r="N266" s="163" t="str">
        <f t="shared" si="17"/>
        <v/>
      </c>
      <c r="O266" s="126" t="str">
        <f t="shared" si="18"/>
        <v>-</v>
      </c>
      <c r="P266" s="164"/>
      <c r="Q266" s="164"/>
      <c r="R266" s="164"/>
      <c r="S266" s="164"/>
      <c r="T266" s="164"/>
      <c r="U266" s="164"/>
      <c r="V266" s="164"/>
    </row>
    <row r="267" spans="1:25" ht="27" customHeight="1">
      <c r="A267" s="192" t="str">
        <f>IF(ISBLANK(C267)," ",262-COUNTBLANK($C$6:C267))</f>
        <v xml:space="preserve"> </v>
      </c>
      <c r="B267" s="178"/>
      <c r="C267" s="178"/>
      <c r="D267" s="193"/>
      <c r="E267" s="193"/>
      <c r="F267" s="180"/>
      <c r="G267" s="180"/>
      <c r="H267" s="180"/>
      <c r="I267" s="180"/>
      <c r="J267" s="180"/>
      <c r="K267" s="180"/>
      <c r="L267" s="180"/>
      <c r="M267" s="181"/>
      <c r="N267" s="163" t="str">
        <f t="shared" si="17"/>
        <v/>
      </c>
      <c r="O267" s="126" t="str">
        <f t="shared" si="18"/>
        <v>-</v>
      </c>
      <c r="P267" s="164"/>
      <c r="Q267" s="164"/>
      <c r="R267" s="164"/>
      <c r="S267" s="164"/>
      <c r="T267" s="164"/>
      <c r="U267" s="164"/>
      <c r="V267" s="164"/>
    </row>
    <row r="268" spans="1:25" ht="27" customHeight="1">
      <c r="A268" s="192" t="str">
        <f>IF(ISBLANK(C268)," ",263-COUNTBLANK($C$6:C268))</f>
        <v xml:space="preserve"> </v>
      </c>
      <c r="B268" s="178"/>
      <c r="C268" s="178"/>
      <c r="D268" s="193"/>
      <c r="E268" s="193"/>
      <c r="F268" s="180"/>
      <c r="G268" s="180"/>
      <c r="H268" s="180"/>
      <c r="I268" s="180"/>
      <c r="J268" s="180"/>
      <c r="K268" s="180"/>
      <c r="L268" s="180"/>
      <c r="M268" s="181"/>
      <c r="N268" s="163" t="str">
        <f t="shared" si="17"/>
        <v/>
      </c>
      <c r="O268" s="126" t="str">
        <f t="shared" si="18"/>
        <v>-</v>
      </c>
      <c r="P268" s="164"/>
      <c r="Q268" s="164"/>
      <c r="R268" s="164"/>
      <c r="S268" s="164"/>
      <c r="T268" s="164"/>
      <c r="U268" s="164"/>
      <c r="V268" s="164"/>
    </row>
    <row r="269" spans="1:25" ht="27" customHeight="1">
      <c r="A269" s="192" t="str">
        <f>IF(ISBLANK(C269)," ",264-COUNTBLANK($C$6:C269))</f>
        <v xml:space="preserve"> </v>
      </c>
      <c r="B269" s="178"/>
      <c r="C269" s="178"/>
      <c r="D269" s="193"/>
      <c r="E269" s="193"/>
      <c r="F269" s="180"/>
      <c r="G269" s="180"/>
      <c r="H269" s="180"/>
      <c r="I269" s="180"/>
      <c r="J269" s="180"/>
      <c r="K269" s="180"/>
      <c r="L269" s="180"/>
      <c r="M269" s="181"/>
      <c r="N269" s="163" t="str">
        <f t="shared" si="17"/>
        <v/>
      </c>
      <c r="O269" s="126" t="str">
        <f t="shared" si="18"/>
        <v>-</v>
      </c>
      <c r="P269" s="164"/>
      <c r="Q269" s="164"/>
      <c r="R269" s="164"/>
      <c r="S269" s="164"/>
      <c r="T269" s="164"/>
      <c r="U269" s="164"/>
      <c r="V269" s="164"/>
    </row>
    <row r="270" spans="1:25" ht="27" customHeight="1">
      <c r="A270" s="192" t="str">
        <f>IF(ISBLANK(C270)," ",265-COUNTBLANK($C$6:C270))</f>
        <v xml:space="preserve"> </v>
      </c>
      <c r="B270" s="178"/>
      <c r="C270" s="178"/>
      <c r="D270" s="193"/>
      <c r="E270" s="193"/>
      <c r="F270" s="180"/>
      <c r="G270" s="180"/>
      <c r="H270" s="180"/>
      <c r="I270" s="180"/>
      <c r="J270" s="180"/>
      <c r="K270" s="180"/>
      <c r="L270" s="180"/>
      <c r="M270" s="181"/>
      <c r="N270" s="163" t="str">
        <f t="shared" si="17"/>
        <v/>
      </c>
      <c r="O270" s="126" t="str">
        <f t="shared" si="18"/>
        <v>-</v>
      </c>
      <c r="P270" s="164"/>
      <c r="Q270" s="164"/>
      <c r="R270" s="164"/>
      <c r="S270" s="164"/>
      <c r="T270" s="164"/>
      <c r="U270" s="164"/>
      <c r="V270" s="164"/>
    </row>
    <row r="271" spans="1:25" ht="27" customHeight="1">
      <c r="A271" s="192" t="str">
        <f>IF(ISBLANK(C271)," ",266-COUNTBLANK($C$6:C271))</f>
        <v xml:space="preserve"> </v>
      </c>
      <c r="B271" s="178"/>
      <c r="C271" s="178"/>
      <c r="D271" s="193"/>
      <c r="E271" s="193"/>
      <c r="F271" s="180"/>
      <c r="G271" s="180"/>
      <c r="H271" s="180"/>
      <c r="I271" s="180"/>
      <c r="J271" s="180"/>
      <c r="K271" s="180"/>
      <c r="L271" s="180"/>
      <c r="M271" s="181"/>
      <c r="N271" s="163" t="str">
        <f t="shared" si="17"/>
        <v/>
      </c>
      <c r="O271" s="126" t="str">
        <f t="shared" si="18"/>
        <v>-</v>
      </c>
      <c r="P271" s="164"/>
      <c r="Q271" s="164"/>
      <c r="R271" s="164"/>
      <c r="S271" s="164"/>
      <c r="T271" s="164"/>
      <c r="U271" s="164"/>
      <c r="V271" s="164"/>
    </row>
    <row r="272" spans="1:25" ht="27" customHeight="1">
      <c r="A272" s="192" t="str">
        <f>IF(ISBLANK(C272)," ",267-COUNTBLANK($C$6:C272))</f>
        <v xml:space="preserve"> </v>
      </c>
      <c r="B272" s="178"/>
      <c r="C272" s="178"/>
      <c r="D272" s="193"/>
      <c r="E272" s="193"/>
      <c r="F272" s="180"/>
      <c r="G272" s="180"/>
      <c r="H272" s="180"/>
      <c r="I272" s="180"/>
      <c r="J272" s="180"/>
      <c r="K272" s="180"/>
      <c r="L272" s="180"/>
      <c r="M272" s="181"/>
      <c r="N272" s="163" t="str">
        <f t="shared" si="17"/>
        <v/>
      </c>
      <c r="O272" s="126" t="str">
        <f t="shared" si="18"/>
        <v>-</v>
      </c>
      <c r="P272" s="164"/>
      <c r="Q272" s="164"/>
      <c r="R272" s="164"/>
      <c r="S272" s="164"/>
      <c r="T272" s="164"/>
      <c r="U272" s="164"/>
      <c r="V272" s="164"/>
    </row>
    <row r="273" spans="1:25" ht="27" customHeight="1">
      <c r="A273" s="192" t="str">
        <f>IF(ISBLANK(C273)," ",268-COUNTBLANK($C$6:C273))</f>
        <v xml:space="preserve"> </v>
      </c>
      <c r="B273" s="178"/>
      <c r="C273" s="178"/>
      <c r="D273" s="193"/>
      <c r="E273" s="193"/>
      <c r="F273" s="180"/>
      <c r="G273" s="180"/>
      <c r="H273" s="180"/>
      <c r="I273" s="180"/>
      <c r="J273" s="180"/>
      <c r="K273" s="180"/>
      <c r="L273" s="180"/>
      <c r="M273" s="181"/>
      <c r="N273" s="163" t="str">
        <f t="shared" si="17"/>
        <v/>
      </c>
      <c r="O273" s="126" t="str">
        <f t="shared" si="18"/>
        <v>-</v>
      </c>
      <c r="P273" s="164"/>
      <c r="Q273" s="164"/>
      <c r="R273" s="164"/>
      <c r="S273" s="164"/>
      <c r="T273" s="164"/>
      <c r="U273" s="164"/>
      <c r="V273" s="165"/>
    </row>
    <row r="274" spans="1:25" ht="27" customHeight="1">
      <c r="A274" s="192" t="str">
        <f>IF(ISBLANK(C274)," ",269-COUNTBLANK($C$6:C274))</f>
        <v xml:space="preserve"> </v>
      </c>
      <c r="B274" s="178"/>
      <c r="C274" s="178"/>
      <c r="D274" s="193"/>
      <c r="E274" s="193"/>
      <c r="F274" s="180"/>
      <c r="G274" s="180"/>
      <c r="H274" s="180"/>
      <c r="I274" s="180"/>
      <c r="J274" s="180"/>
      <c r="K274" s="180"/>
      <c r="L274" s="180"/>
      <c r="M274" s="181"/>
      <c r="N274" s="163" t="str">
        <f t="shared" si="17"/>
        <v/>
      </c>
      <c r="O274" s="126" t="str">
        <f t="shared" si="18"/>
        <v>-</v>
      </c>
      <c r="P274" s="164"/>
      <c r="Q274" s="164"/>
      <c r="R274" s="164"/>
      <c r="S274" s="164"/>
      <c r="T274" s="164"/>
      <c r="U274" s="164"/>
      <c r="V274" s="165"/>
    </row>
    <row r="275" spans="1:25" ht="27" customHeight="1">
      <c r="A275" s="192" t="str">
        <f>IF(ISBLANK(C275)," ",270-COUNTBLANK($C$6:C275))</f>
        <v xml:space="preserve"> </v>
      </c>
      <c r="B275" s="178"/>
      <c r="C275" s="178"/>
      <c r="D275" s="193"/>
      <c r="E275" s="193"/>
      <c r="F275" s="180"/>
      <c r="G275" s="180"/>
      <c r="H275" s="180"/>
      <c r="I275" s="180"/>
      <c r="J275" s="180"/>
      <c r="K275" s="180"/>
      <c r="L275" s="180"/>
      <c r="M275" s="181"/>
      <c r="N275" s="163" t="str">
        <f t="shared" si="17"/>
        <v/>
      </c>
      <c r="O275" s="126" t="str">
        <f t="shared" si="18"/>
        <v>-</v>
      </c>
      <c r="P275" s="164"/>
      <c r="Q275" s="164"/>
      <c r="R275" s="164"/>
      <c r="S275" s="164"/>
      <c r="T275" s="164"/>
      <c r="U275" s="164"/>
      <c r="V275" s="165"/>
    </row>
    <row r="276" spans="1:25" ht="27" customHeight="1">
      <c r="A276" s="192" t="str">
        <f>IF(ISBLANK(C276)," ",271-COUNTBLANK($C$6:C276))</f>
        <v xml:space="preserve"> </v>
      </c>
      <c r="B276" s="178"/>
      <c r="C276" s="178"/>
      <c r="D276" s="193"/>
      <c r="E276" s="193"/>
      <c r="F276" s="180"/>
      <c r="G276" s="180"/>
      <c r="H276" s="180"/>
      <c r="I276" s="180"/>
      <c r="J276" s="180"/>
      <c r="K276" s="180"/>
      <c r="L276" s="180"/>
      <c r="M276" s="181"/>
      <c r="N276" s="163" t="str">
        <f t="shared" si="17"/>
        <v/>
      </c>
      <c r="O276" s="126" t="str">
        <f t="shared" si="18"/>
        <v>-</v>
      </c>
      <c r="P276" s="164"/>
      <c r="Q276" s="164"/>
      <c r="R276" s="164"/>
      <c r="S276" s="164"/>
      <c r="T276" s="164"/>
      <c r="U276" s="164"/>
      <c r="V276" s="165"/>
    </row>
    <row r="277" spans="1:25" ht="27" customHeight="1">
      <c r="A277" s="192" t="str">
        <f>IF(ISBLANK(C277)," ",272-COUNTBLANK($C$6:C277))</f>
        <v xml:space="preserve"> </v>
      </c>
      <c r="B277" s="178"/>
      <c r="C277" s="178"/>
      <c r="D277" s="193"/>
      <c r="E277" s="193"/>
      <c r="F277" s="180"/>
      <c r="G277" s="180"/>
      <c r="H277" s="180"/>
      <c r="I277" s="180"/>
      <c r="J277" s="180"/>
      <c r="K277" s="180"/>
      <c r="L277" s="180"/>
      <c r="M277" s="181"/>
      <c r="N277" s="163" t="str">
        <f t="shared" si="17"/>
        <v/>
      </c>
      <c r="O277" s="126" t="str">
        <f t="shared" si="18"/>
        <v>-</v>
      </c>
      <c r="P277" s="164"/>
      <c r="Q277" s="164"/>
      <c r="R277" s="164"/>
      <c r="S277" s="164"/>
      <c r="T277" s="164"/>
      <c r="U277" s="164"/>
      <c r="V277" s="166"/>
      <c r="W277" s="164"/>
      <c r="X277" s="164"/>
      <c r="Y277" s="164"/>
    </row>
    <row r="278" spans="1:25" ht="27" customHeight="1">
      <c r="A278" s="172" t="s">
        <v>44</v>
      </c>
      <c r="B278" s="173"/>
      <c r="C278" s="174"/>
      <c r="D278" s="194"/>
      <c r="E278" s="194">
        <f>SUM(E258:E277)</f>
        <v>0</v>
      </c>
      <c r="F278" s="176"/>
      <c r="G278" s="176"/>
      <c r="H278" s="176"/>
      <c r="I278" s="176"/>
      <c r="J278" s="176"/>
      <c r="K278" s="176"/>
      <c r="L278" s="176"/>
      <c r="M278" s="177"/>
      <c r="N278" s="163" t="str">
        <f t="shared" si="17"/>
        <v/>
      </c>
      <c r="O278" s="126"/>
      <c r="P278" s="164"/>
      <c r="Q278" s="164"/>
      <c r="R278" s="164"/>
      <c r="S278" s="164"/>
      <c r="T278" s="164"/>
      <c r="U278" s="164"/>
      <c r="V278" s="166"/>
      <c r="W278" s="164"/>
      <c r="X278" s="164"/>
      <c r="Y278" s="164"/>
    </row>
    <row r="279" spans="1:25" ht="27" customHeight="1">
      <c r="A279" s="187" t="str">
        <f>IF(ISBLANK(C279)," ",274-COUNTBLANK($C$6:C279))</f>
        <v xml:space="preserve"> </v>
      </c>
      <c r="B279" s="188"/>
      <c r="C279" s="188"/>
      <c r="D279" s="189"/>
      <c r="E279" s="189"/>
      <c r="F279" s="190"/>
      <c r="G279" s="190"/>
      <c r="H279" s="190"/>
      <c r="I279" s="190"/>
      <c r="J279" s="190"/>
      <c r="K279" s="190"/>
      <c r="L279" s="190"/>
      <c r="M279" s="191"/>
      <c r="N279" s="163" t="str">
        <f>CONCATENATE(C279,H279)</f>
        <v/>
      </c>
      <c r="O279" s="126" t="str">
        <f>IF(D279&gt;=E279,"-","ERR")</f>
        <v>-</v>
      </c>
      <c r="P279" s="164"/>
      <c r="Q279" s="164"/>
      <c r="R279" s="164"/>
      <c r="S279" s="164"/>
      <c r="T279" s="164"/>
      <c r="U279" s="164"/>
      <c r="V279" s="164"/>
    </row>
    <row r="280" spans="1:25" ht="27" customHeight="1">
      <c r="A280" s="192" t="str">
        <f>IF(ISBLANK(C280)," ",275-COUNTBLANK($C$6:C280))</f>
        <v xml:space="preserve"> </v>
      </c>
      <c r="B280" s="178"/>
      <c r="C280" s="178"/>
      <c r="D280" s="193"/>
      <c r="E280" s="193"/>
      <c r="F280" s="180"/>
      <c r="G280" s="180"/>
      <c r="H280" s="180"/>
      <c r="I280" s="180"/>
      <c r="J280" s="180"/>
      <c r="K280" s="180"/>
      <c r="L280" s="180"/>
      <c r="M280" s="181"/>
      <c r="N280" s="163" t="str">
        <f t="shared" ref="N280:N299" si="19">CONCATENATE(C280,H280)</f>
        <v/>
      </c>
      <c r="O280" s="126" t="str">
        <f t="shared" ref="O280:O298" si="20">IF(D280&gt;=E280,"-","ERR")</f>
        <v>-</v>
      </c>
      <c r="P280" s="164"/>
      <c r="Q280" s="164"/>
      <c r="R280" s="164"/>
      <c r="S280" s="164"/>
      <c r="T280" s="164"/>
      <c r="U280" s="164"/>
      <c r="V280" s="164"/>
    </row>
    <row r="281" spans="1:25" ht="27" customHeight="1">
      <c r="A281" s="192" t="str">
        <f>IF(ISBLANK(C281)," ",276-COUNTBLANK($C$6:C281))</f>
        <v xml:space="preserve"> </v>
      </c>
      <c r="B281" s="178"/>
      <c r="C281" s="178"/>
      <c r="D281" s="193"/>
      <c r="E281" s="193"/>
      <c r="F281" s="180"/>
      <c r="G281" s="180"/>
      <c r="H281" s="180"/>
      <c r="I281" s="180"/>
      <c r="J281" s="180"/>
      <c r="K281" s="180"/>
      <c r="L281" s="180"/>
      <c r="M281" s="181"/>
      <c r="N281" s="163" t="str">
        <f t="shared" si="19"/>
        <v/>
      </c>
      <c r="O281" s="126" t="str">
        <f t="shared" si="20"/>
        <v>-</v>
      </c>
      <c r="P281" s="164"/>
      <c r="Q281" s="164"/>
      <c r="R281" s="164"/>
      <c r="S281" s="164"/>
      <c r="T281" s="164"/>
      <c r="U281" s="164"/>
      <c r="V281" s="164"/>
    </row>
    <row r="282" spans="1:25" ht="27" customHeight="1">
      <c r="A282" s="192" t="str">
        <f>IF(ISBLANK(C282)," ",277-COUNTBLANK($C$6:C282))</f>
        <v xml:space="preserve"> </v>
      </c>
      <c r="B282" s="178"/>
      <c r="C282" s="178"/>
      <c r="D282" s="193"/>
      <c r="E282" s="193"/>
      <c r="F282" s="180"/>
      <c r="G282" s="180"/>
      <c r="H282" s="180"/>
      <c r="I282" s="180"/>
      <c r="J282" s="180"/>
      <c r="K282" s="180"/>
      <c r="L282" s="180"/>
      <c r="M282" s="181"/>
      <c r="N282" s="163" t="str">
        <f t="shared" si="19"/>
        <v/>
      </c>
      <c r="O282" s="126" t="str">
        <f t="shared" si="20"/>
        <v>-</v>
      </c>
      <c r="P282" s="164"/>
      <c r="Q282" s="164"/>
      <c r="R282" s="164"/>
      <c r="S282" s="164"/>
      <c r="T282" s="164"/>
      <c r="U282" s="164"/>
      <c r="V282" s="164"/>
    </row>
    <row r="283" spans="1:25" ht="27" customHeight="1">
      <c r="A283" s="192" t="str">
        <f>IF(ISBLANK(C283)," ",278-COUNTBLANK($C$6:C283))</f>
        <v xml:space="preserve"> </v>
      </c>
      <c r="B283" s="178"/>
      <c r="C283" s="178"/>
      <c r="D283" s="193"/>
      <c r="E283" s="193"/>
      <c r="F283" s="180"/>
      <c r="G283" s="180"/>
      <c r="H283" s="180"/>
      <c r="I283" s="180"/>
      <c r="J283" s="180"/>
      <c r="K283" s="180"/>
      <c r="L283" s="180"/>
      <c r="M283" s="181"/>
      <c r="N283" s="163" t="str">
        <f t="shared" si="19"/>
        <v/>
      </c>
      <c r="O283" s="126" t="str">
        <f t="shared" si="20"/>
        <v>-</v>
      </c>
      <c r="P283" s="164"/>
      <c r="Q283" s="164"/>
      <c r="R283" s="164"/>
      <c r="S283" s="164"/>
      <c r="T283" s="164"/>
      <c r="U283" s="164"/>
      <c r="V283" s="164"/>
    </row>
    <row r="284" spans="1:25" ht="27" customHeight="1">
      <c r="A284" s="192" t="str">
        <f>IF(ISBLANK(C284)," ",279-COUNTBLANK($C$6:C284))</f>
        <v xml:space="preserve"> </v>
      </c>
      <c r="B284" s="178"/>
      <c r="C284" s="178"/>
      <c r="D284" s="193"/>
      <c r="E284" s="193"/>
      <c r="F284" s="180"/>
      <c r="G284" s="180"/>
      <c r="H284" s="180"/>
      <c r="I284" s="180"/>
      <c r="J284" s="180"/>
      <c r="K284" s="180"/>
      <c r="L284" s="180"/>
      <c r="M284" s="181"/>
      <c r="N284" s="163" t="str">
        <f t="shared" si="19"/>
        <v/>
      </c>
      <c r="O284" s="126" t="str">
        <f t="shared" si="20"/>
        <v>-</v>
      </c>
      <c r="P284" s="164"/>
      <c r="Q284" s="164"/>
      <c r="R284" s="164"/>
      <c r="S284" s="164"/>
      <c r="T284" s="164"/>
      <c r="U284" s="164"/>
      <c r="V284" s="164"/>
    </row>
    <row r="285" spans="1:25" ht="27" customHeight="1">
      <c r="A285" s="192" t="str">
        <f>IF(ISBLANK(C285)," ",280-COUNTBLANK($C$6:C285))</f>
        <v xml:space="preserve"> </v>
      </c>
      <c r="B285" s="178"/>
      <c r="C285" s="178"/>
      <c r="D285" s="193"/>
      <c r="E285" s="193"/>
      <c r="F285" s="180"/>
      <c r="G285" s="180"/>
      <c r="H285" s="180"/>
      <c r="I285" s="180"/>
      <c r="J285" s="180"/>
      <c r="K285" s="180"/>
      <c r="L285" s="180"/>
      <c r="M285" s="181"/>
      <c r="N285" s="163" t="str">
        <f t="shared" si="19"/>
        <v/>
      </c>
      <c r="O285" s="126" t="str">
        <f t="shared" si="20"/>
        <v>-</v>
      </c>
      <c r="P285" s="164"/>
      <c r="Q285" s="164"/>
      <c r="R285" s="164"/>
      <c r="S285" s="164"/>
      <c r="T285" s="164"/>
      <c r="U285" s="164"/>
      <c r="V285" s="164"/>
    </row>
    <row r="286" spans="1:25" ht="27" customHeight="1">
      <c r="A286" s="192" t="str">
        <f>IF(ISBLANK(C286)," ",281-COUNTBLANK($C$6:C286))</f>
        <v xml:space="preserve"> </v>
      </c>
      <c r="B286" s="178"/>
      <c r="C286" s="178"/>
      <c r="D286" s="193"/>
      <c r="E286" s="193"/>
      <c r="F286" s="180"/>
      <c r="G286" s="180"/>
      <c r="H286" s="180"/>
      <c r="I286" s="180"/>
      <c r="J286" s="180"/>
      <c r="K286" s="180"/>
      <c r="L286" s="180"/>
      <c r="M286" s="181"/>
      <c r="N286" s="163" t="str">
        <f t="shared" si="19"/>
        <v/>
      </c>
      <c r="O286" s="126" t="str">
        <f t="shared" si="20"/>
        <v>-</v>
      </c>
      <c r="P286" s="164"/>
      <c r="Q286" s="164"/>
      <c r="R286" s="164"/>
      <c r="S286" s="164"/>
      <c r="T286" s="164"/>
      <c r="U286" s="164"/>
      <c r="V286" s="164"/>
    </row>
    <row r="287" spans="1:25" ht="27" customHeight="1">
      <c r="A287" s="192" t="str">
        <f>IF(ISBLANK(C287)," ",282-COUNTBLANK($C$6:C287))</f>
        <v xml:space="preserve"> </v>
      </c>
      <c r="B287" s="178"/>
      <c r="C287" s="178"/>
      <c r="D287" s="193"/>
      <c r="E287" s="193"/>
      <c r="F287" s="180"/>
      <c r="G287" s="180"/>
      <c r="H287" s="180"/>
      <c r="I287" s="180"/>
      <c r="J287" s="180"/>
      <c r="K287" s="180"/>
      <c r="L287" s="180"/>
      <c r="M287" s="181"/>
      <c r="N287" s="163" t="str">
        <f t="shared" si="19"/>
        <v/>
      </c>
      <c r="O287" s="126" t="str">
        <f t="shared" si="20"/>
        <v>-</v>
      </c>
      <c r="P287" s="164"/>
      <c r="Q287" s="164"/>
      <c r="R287" s="164"/>
      <c r="S287" s="164"/>
      <c r="T287" s="164"/>
      <c r="U287" s="164"/>
      <c r="V287" s="164"/>
    </row>
    <row r="288" spans="1:25" ht="27" customHeight="1">
      <c r="A288" s="192" t="str">
        <f>IF(ISBLANK(C288)," ",283-COUNTBLANK($C$6:C288))</f>
        <v xml:space="preserve"> </v>
      </c>
      <c r="B288" s="178"/>
      <c r="C288" s="178"/>
      <c r="D288" s="193"/>
      <c r="E288" s="193"/>
      <c r="F288" s="180"/>
      <c r="G288" s="180"/>
      <c r="H288" s="180"/>
      <c r="I288" s="180"/>
      <c r="J288" s="180"/>
      <c r="K288" s="180"/>
      <c r="L288" s="180"/>
      <c r="M288" s="181"/>
      <c r="N288" s="163" t="str">
        <f t="shared" si="19"/>
        <v/>
      </c>
      <c r="O288" s="126" t="str">
        <f t="shared" si="20"/>
        <v>-</v>
      </c>
      <c r="P288" s="164"/>
      <c r="Q288" s="164"/>
      <c r="R288" s="164"/>
      <c r="S288" s="164"/>
      <c r="T288" s="164"/>
      <c r="U288" s="164"/>
      <c r="V288" s="164"/>
    </row>
    <row r="289" spans="1:25" ht="27" customHeight="1">
      <c r="A289" s="192" t="str">
        <f>IF(ISBLANK(C289)," ",284-COUNTBLANK($C$6:C289))</f>
        <v xml:space="preserve"> </v>
      </c>
      <c r="B289" s="178"/>
      <c r="C289" s="178"/>
      <c r="D289" s="193"/>
      <c r="E289" s="193"/>
      <c r="F289" s="180"/>
      <c r="G289" s="180"/>
      <c r="H289" s="180"/>
      <c r="I289" s="180"/>
      <c r="J289" s="180"/>
      <c r="K289" s="180"/>
      <c r="L289" s="180"/>
      <c r="M289" s="181"/>
      <c r="N289" s="163" t="str">
        <f t="shared" si="19"/>
        <v/>
      </c>
      <c r="O289" s="126" t="str">
        <f t="shared" si="20"/>
        <v>-</v>
      </c>
      <c r="P289" s="164"/>
      <c r="Q289" s="164"/>
      <c r="R289" s="164"/>
      <c r="S289" s="164"/>
      <c r="T289" s="164"/>
      <c r="U289" s="164"/>
      <c r="V289" s="164"/>
    </row>
    <row r="290" spans="1:25" ht="27" customHeight="1">
      <c r="A290" s="192" t="str">
        <f>IF(ISBLANK(C290)," ",285-COUNTBLANK($C$6:C290))</f>
        <v xml:space="preserve"> </v>
      </c>
      <c r="B290" s="178"/>
      <c r="C290" s="178"/>
      <c r="D290" s="193"/>
      <c r="E290" s="193"/>
      <c r="F290" s="180"/>
      <c r="G290" s="180"/>
      <c r="H290" s="180"/>
      <c r="I290" s="180"/>
      <c r="J290" s="180"/>
      <c r="K290" s="180"/>
      <c r="L290" s="180"/>
      <c r="M290" s="181"/>
      <c r="N290" s="163" t="str">
        <f t="shared" si="19"/>
        <v/>
      </c>
      <c r="O290" s="126" t="str">
        <f t="shared" si="20"/>
        <v>-</v>
      </c>
      <c r="P290" s="164"/>
      <c r="Q290" s="164"/>
      <c r="R290" s="164"/>
      <c r="S290" s="164"/>
      <c r="T290" s="164"/>
      <c r="U290" s="164"/>
      <c r="V290" s="164"/>
    </row>
    <row r="291" spans="1:25" ht="27" customHeight="1">
      <c r="A291" s="192" t="str">
        <f>IF(ISBLANK(C291)," ",286-COUNTBLANK($C$6:C291))</f>
        <v xml:space="preserve"> </v>
      </c>
      <c r="B291" s="178"/>
      <c r="C291" s="178"/>
      <c r="D291" s="193"/>
      <c r="E291" s="193"/>
      <c r="F291" s="180"/>
      <c r="G291" s="180"/>
      <c r="H291" s="180"/>
      <c r="I291" s="180"/>
      <c r="J291" s="180"/>
      <c r="K291" s="180"/>
      <c r="L291" s="180"/>
      <c r="M291" s="181"/>
      <c r="N291" s="163" t="str">
        <f t="shared" si="19"/>
        <v/>
      </c>
      <c r="O291" s="126" t="str">
        <f t="shared" si="20"/>
        <v>-</v>
      </c>
      <c r="P291" s="164"/>
      <c r="Q291" s="164"/>
      <c r="R291" s="164"/>
      <c r="S291" s="164"/>
      <c r="T291" s="164"/>
      <c r="U291" s="164"/>
      <c r="V291" s="164"/>
    </row>
    <row r="292" spans="1:25" ht="27" customHeight="1">
      <c r="A292" s="192" t="str">
        <f>IF(ISBLANK(C292)," ",287-COUNTBLANK($C$6:C292))</f>
        <v xml:space="preserve"> </v>
      </c>
      <c r="B292" s="178"/>
      <c r="C292" s="178"/>
      <c r="D292" s="193"/>
      <c r="E292" s="193"/>
      <c r="F292" s="180"/>
      <c r="G292" s="180"/>
      <c r="H292" s="180"/>
      <c r="I292" s="180"/>
      <c r="J292" s="180"/>
      <c r="K292" s="180"/>
      <c r="L292" s="180"/>
      <c r="M292" s="181"/>
      <c r="N292" s="163" t="str">
        <f t="shared" si="19"/>
        <v/>
      </c>
      <c r="O292" s="126" t="str">
        <f t="shared" si="20"/>
        <v>-</v>
      </c>
      <c r="P292" s="164"/>
      <c r="Q292" s="164"/>
      <c r="R292" s="164"/>
      <c r="S292" s="164"/>
      <c r="T292" s="164"/>
      <c r="U292" s="164"/>
      <c r="V292" s="164"/>
    </row>
    <row r="293" spans="1:25" ht="27" customHeight="1">
      <c r="A293" s="192" t="str">
        <f>IF(ISBLANK(C293)," ",288-COUNTBLANK($C$6:C293))</f>
        <v xml:space="preserve"> </v>
      </c>
      <c r="B293" s="178"/>
      <c r="C293" s="178"/>
      <c r="D293" s="193"/>
      <c r="E293" s="193"/>
      <c r="F293" s="180"/>
      <c r="G293" s="180"/>
      <c r="H293" s="180"/>
      <c r="I293" s="180"/>
      <c r="J293" s="180"/>
      <c r="K293" s="180"/>
      <c r="L293" s="180"/>
      <c r="M293" s="181"/>
      <c r="N293" s="163" t="str">
        <f t="shared" si="19"/>
        <v/>
      </c>
      <c r="O293" s="126" t="str">
        <f t="shared" si="20"/>
        <v>-</v>
      </c>
      <c r="P293" s="164"/>
      <c r="Q293" s="164"/>
      <c r="R293" s="164"/>
      <c r="S293" s="164"/>
      <c r="T293" s="164"/>
      <c r="U293" s="164"/>
      <c r="V293" s="164"/>
    </row>
    <row r="294" spans="1:25" ht="27" customHeight="1">
      <c r="A294" s="192" t="str">
        <f>IF(ISBLANK(C294)," ",289-COUNTBLANK($C$6:C294))</f>
        <v xml:space="preserve"> </v>
      </c>
      <c r="B294" s="178"/>
      <c r="C294" s="178"/>
      <c r="D294" s="193"/>
      <c r="E294" s="193"/>
      <c r="F294" s="180"/>
      <c r="G294" s="180"/>
      <c r="H294" s="180"/>
      <c r="I294" s="180"/>
      <c r="J294" s="180"/>
      <c r="K294" s="180"/>
      <c r="L294" s="180"/>
      <c r="M294" s="181"/>
      <c r="N294" s="163" t="str">
        <f t="shared" si="19"/>
        <v/>
      </c>
      <c r="O294" s="126" t="str">
        <f t="shared" si="20"/>
        <v>-</v>
      </c>
      <c r="P294" s="164"/>
      <c r="Q294" s="164"/>
      <c r="R294" s="164"/>
      <c r="S294" s="164"/>
      <c r="T294" s="164"/>
      <c r="U294" s="164"/>
      <c r="V294" s="165"/>
    </row>
    <row r="295" spans="1:25" ht="27" customHeight="1">
      <c r="A295" s="192" t="str">
        <f>IF(ISBLANK(C295)," ",290-COUNTBLANK($C$6:C295))</f>
        <v xml:space="preserve"> </v>
      </c>
      <c r="B295" s="178"/>
      <c r="C295" s="178"/>
      <c r="D295" s="193"/>
      <c r="E295" s="193"/>
      <c r="F295" s="180"/>
      <c r="G295" s="180"/>
      <c r="H295" s="180"/>
      <c r="I295" s="180"/>
      <c r="J295" s="180"/>
      <c r="K295" s="180"/>
      <c r="L295" s="180"/>
      <c r="M295" s="181"/>
      <c r="N295" s="163" t="str">
        <f t="shared" si="19"/>
        <v/>
      </c>
      <c r="O295" s="126" t="str">
        <f t="shared" si="20"/>
        <v>-</v>
      </c>
      <c r="P295" s="164"/>
      <c r="Q295" s="164"/>
      <c r="R295" s="164"/>
      <c r="S295" s="164"/>
      <c r="T295" s="164"/>
      <c r="U295" s="164"/>
      <c r="V295" s="165"/>
    </row>
    <row r="296" spans="1:25" ht="27" customHeight="1">
      <c r="A296" s="192" t="str">
        <f>IF(ISBLANK(C296)," ",291-COUNTBLANK($C$6:C296))</f>
        <v xml:space="preserve"> </v>
      </c>
      <c r="B296" s="178"/>
      <c r="C296" s="178"/>
      <c r="D296" s="193"/>
      <c r="E296" s="193"/>
      <c r="F296" s="180"/>
      <c r="G296" s="180"/>
      <c r="H296" s="180"/>
      <c r="I296" s="180"/>
      <c r="J296" s="180"/>
      <c r="K296" s="180"/>
      <c r="L296" s="180"/>
      <c r="M296" s="181"/>
      <c r="N296" s="163" t="str">
        <f t="shared" si="19"/>
        <v/>
      </c>
      <c r="O296" s="126" t="str">
        <f t="shared" si="20"/>
        <v>-</v>
      </c>
      <c r="P296" s="164"/>
      <c r="Q296" s="164"/>
      <c r="R296" s="164"/>
      <c r="S296" s="164"/>
      <c r="T296" s="164"/>
      <c r="U296" s="164"/>
      <c r="V296" s="165"/>
    </row>
    <row r="297" spans="1:25" ht="27" customHeight="1">
      <c r="A297" s="192" t="str">
        <f>IF(ISBLANK(C297)," ",292-COUNTBLANK($C$6:C297))</f>
        <v xml:space="preserve"> </v>
      </c>
      <c r="B297" s="178"/>
      <c r="C297" s="178"/>
      <c r="D297" s="193"/>
      <c r="E297" s="193"/>
      <c r="F297" s="180"/>
      <c r="G297" s="180"/>
      <c r="H297" s="180"/>
      <c r="I297" s="180"/>
      <c r="J297" s="180"/>
      <c r="K297" s="180"/>
      <c r="L297" s="180"/>
      <c r="M297" s="181"/>
      <c r="N297" s="163" t="str">
        <f t="shared" si="19"/>
        <v/>
      </c>
      <c r="O297" s="126" t="str">
        <f t="shared" si="20"/>
        <v>-</v>
      </c>
      <c r="P297" s="164"/>
      <c r="Q297" s="164"/>
      <c r="R297" s="164"/>
      <c r="S297" s="164"/>
      <c r="T297" s="164"/>
      <c r="U297" s="164"/>
      <c r="V297" s="165"/>
    </row>
    <row r="298" spans="1:25" ht="27" customHeight="1">
      <c r="A298" s="192" t="str">
        <f>IF(ISBLANK(C298)," ",293-COUNTBLANK($C$6:C298))</f>
        <v xml:space="preserve"> </v>
      </c>
      <c r="B298" s="178"/>
      <c r="C298" s="178"/>
      <c r="D298" s="193"/>
      <c r="E298" s="193"/>
      <c r="F298" s="180"/>
      <c r="G298" s="180"/>
      <c r="H298" s="180"/>
      <c r="I298" s="180"/>
      <c r="J298" s="180"/>
      <c r="K298" s="180"/>
      <c r="L298" s="180"/>
      <c r="M298" s="181"/>
      <c r="N298" s="163" t="str">
        <f t="shared" si="19"/>
        <v/>
      </c>
      <c r="O298" s="126" t="str">
        <f t="shared" si="20"/>
        <v>-</v>
      </c>
      <c r="P298" s="164"/>
      <c r="Q298" s="164"/>
      <c r="R298" s="164"/>
      <c r="S298" s="164"/>
      <c r="T298" s="164"/>
      <c r="U298" s="164"/>
      <c r="V298" s="166"/>
      <c r="W298" s="164"/>
      <c r="X298" s="164"/>
      <c r="Y298" s="164"/>
    </row>
    <row r="299" spans="1:25" ht="27" customHeight="1">
      <c r="A299" s="172" t="s">
        <v>44</v>
      </c>
      <c r="B299" s="173"/>
      <c r="C299" s="174"/>
      <c r="D299" s="194"/>
      <c r="E299" s="194">
        <f>SUM(E279:E298)</f>
        <v>0</v>
      </c>
      <c r="F299" s="176"/>
      <c r="G299" s="176"/>
      <c r="H299" s="176"/>
      <c r="I299" s="176"/>
      <c r="J299" s="176"/>
      <c r="K299" s="176"/>
      <c r="L299" s="176"/>
      <c r="M299" s="177"/>
      <c r="N299" s="163" t="str">
        <f t="shared" si="19"/>
        <v/>
      </c>
      <c r="O299" s="126"/>
      <c r="P299" s="164"/>
      <c r="Q299" s="164"/>
      <c r="R299" s="164"/>
      <c r="S299" s="164"/>
      <c r="T299" s="164"/>
      <c r="U299" s="164"/>
      <c r="V299" s="166"/>
      <c r="W299" s="164"/>
      <c r="X299" s="164"/>
      <c r="Y299" s="164"/>
    </row>
    <row r="300" spans="1:25" ht="27" customHeight="1">
      <c r="A300" s="187" t="str">
        <f>IF(ISBLANK(C300)," ",295-COUNTBLANK($C$6:C300))</f>
        <v xml:space="preserve"> </v>
      </c>
      <c r="B300" s="188"/>
      <c r="C300" s="188"/>
      <c r="D300" s="189"/>
      <c r="E300" s="189"/>
      <c r="F300" s="190"/>
      <c r="G300" s="190"/>
      <c r="H300" s="190"/>
      <c r="I300" s="190"/>
      <c r="J300" s="190"/>
      <c r="K300" s="190"/>
      <c r="L300" s="190"/>
      <c r="M300" s="191"/>
      <c r="N300" s="163" t="str">
        <f>CONCATENATE(C300,H300)</f>
        <v/>
      </c>
      <c r="O300" s="126" t="str">
        <f>IF(D300&gt;=E300,"-","ERR")</f>
        <v>-</v>
      </c>
      <c r="P300" s="164"/>
      <c r="Q300" s="164"/>
      <c r="R300" s="164"/>
      <c r="S300" s="164"/>
      <c r="T300" s="164"/>
      <c r="U300" s="164"/>
      <c r="V300" s="164"/>
    </row>
    <row r="301" spans="1:25" ht="27" customHeight="1">
      <c r="A301" s="192" t="str">
        <f>IF(ISBLANK(C301)," ",296-COUNTBLANK($C$6:C301))</f>
        <v xml:space="preserve"> </v>
      </c>
      <c r="B301" s="178"/>
      <c r="C301" s="178"/>
      <c r="D301" s="193"/>
      <c r="E301" s="193"/>
      <c r="F301" s="180"/>
      <c r="G301" s="180"/>
      <c r="H301" s="180"/>
      <c r="I301" s="180"/>
      <c r="J301" s="180"/>
      <c r="K301" s="180"/>
      <c r="L301" s="180"/>
      <c r="M301" s="181"/>
      <c r="N301" s="163" t="str">
        <f t="shared" ref="N301:N320" si="21">CONCATENATE(C301,H301)</f>
        <v/>
      </c>
      <c r="O301" s="126" t="str">
        <f t="shared" ref="O301:O319" si="22">IF(D301&gt;=E301,"-","ERR")</f>
        <v>-</v>
      </c>
      <c r="P301" s="164"/>
      <c r="Q301" s="164"/>
      <c r="R301" s="164"/>
      <c r="S301" s="164"/>
      <c r="T301" s="164"/>
      <c r="U301" s="164"/>
      <c r="V301" s="164"/>
    </row>
    <row r="302" spans="1:25" ht="27" customHeight="1">
      <c r="A302" s="192" t="str">
        <f>IF(ISBLANK(C302)," ",297-COUNTBLANK($C$6:C302))</f>
        <v xml:space="preserve"> </v>
      </c>
      <c r="B302" s="178"/>
      <c r="C302" s="178"/>
      <c r="D302" s="193"/>
      <c r="E302" s="193"/>
      <c r="F302" s="180"/>
      <c r="G302" s="180"/>
      <c r="H302" s="180"/>
      <c r="I302" s="180"/>
      <c r="J302" s="180"/>
      <c r="K302" s="180"/>
      <c r="L302" s="180"/>
      <c r="M302" s="181"/>
      <c r="N302" s="163" t="str">
        <f t="shared" si="21"/>
        <v/>
      </c>
      <c r="O302" s="126" t="str">
        <f t="shared" si="22"/>
        <v>-</v>
      </c>
      <c r="P302" s="164"/>
      <c r="Q302" s="164"/>
      <c r="R302" s="164"/>
      <c r="S302" s="164"/>
      <c r="T302" s="164"/>
      <c r="U302" s="164"/>
      <c r="V302" s="164"/>
    </row>
    <row r="303" spans="1:25" ht="27" customHeight="1">
      <c r="A303" s="192" t="str">
        <f>IF(ISBLANK(C303)," ",298-COUNTBLANK($C$6:C303))</f>
        <v xml:space="preserve"> </v>
      </c>
      <c r="B303" s="178"/>
      <c r="C303" s="178"/>
      <c r="D303" s="193"/>
      <c r="E303" s="193"/>
      <c r="F303" s="180"/>
      <c r="G303" s="180"/>
      <c r="H303" s="180"/>
      <c r="I303" s="180"/>
      <c r="J303" s="180"/>
      <c r="K303" s="180"/>
      <c r="L303" s="180"/>
      <c r="M303" s="181"/>
      <c r="N303" s="163" t="str">
        <f t="shared" si="21"/>
        <v/>
      </c>
      <c r="O303" s="126" t="str">
        <f t="shared" si="22"/>
        <v>-</v>
      </c>
      <c r="P303" s="164"/>
      <c r="Q303" s="164"/>
      <c r="R303" s="164"/>
      <c r="S303" s="164"/>
      <c r="T303" s="164"/>
      <c r="U303" s="164"/>
      <c r="V303" s="164"/>
    </row>
    <row r="304" spans="1:25" ht="27" customHeight="1">
      <c r="A304" s="192" t="str">
        <f>IF(ISBLANK(C304)," ",299-COUNTBLANK($C$6:C304))</f>
        <v xml:space="preserve"> </v>
      </c>
      <c r="B304" s="178"/>
      <c r="C304" s="178"/>
      <c r="D304" s="193"/>
      <c r="E304" s="193"/>
      <c r="F304" s="180"/>
      <c r="G304" s="180"/>
      <c r="H304" s="180"/>
      <c r="I304" s="180"/>
      <c r="J304" s="180"/>
      <c r="K304" s="180"/>
      <c r="L304" s="180"/>
      <c r="M304" s="181"/>
      <c r="N304" s="163" t="str">
        <f t="shared" si="21"/>
        <v/>
      </c>
      <c r="O304" s="126" t="str">
        <f t="shared" si="22"/>
        <v>-</v>
      </c>
      <c r="P304" s="164"/>
      <c r="Q304" s="164"/>
      <c r="R304" s="164"/>
      <c r="S304" s="164"/>
      <c r="T304" s="164"/>
      <c r="U304" s="164"/>
      <c r="V304" s="164"/>
    </row>
    <row r="305" spans="1:25" ht="27" customHeight="1">
      <c r="A305" s="192" t="str">
        <f>IF(ISBLANK(C305)," ",300-COUNTBLANK($C$6:C305))</f>
        <v xml:space="preserve"> </v>
      </c>
      <c r="B305" s="178"/>
      <c r="C305" s="178"/>
      <c r="D305" s="193"/>
      <c r="E305" s="193"/>
      <c r="F305" s="180"/>
      <c r="G305" s="180"/>
      <c r="H305" s="180"/>
      <c r="I305" s="180"/>
      <c r="J305" s="180"/>
      <c r="K305" s="180"/>
      <c r="L305" s="180"/>
      <c r="M305" s="181"/>
      <c r="N305" s="163" t="str">
        <f t="shared" si="21"/>
        <v/>
      </c>
      <c r="O305" s="126" t="str">
        <f t="shared" si="22"/>
        <v>-</v>
      </c>
      <c r="P305" s="164"/>
      <c r="Q305" s="164"/>
      <c r="R305" s="164"/>
      <c r="S305" s="164"/>
      <c r="T305" s="164"/>
      <c r="U305" s="164"/>
      <c r="V305" s="164"/>
    </row>
    <row r="306" spans="1:25" ht="27" customHeight="1">
      <c r="A306" s="192" t="str">
        <f>IF(ISBLANK(C306)," ",301-COUNTBLANK($C$6:C306))</f>
        <v xml:space="preserve"> </v>
      </c>
      <c r="B306" s="178"/>
      <c r="C306" s="178"/>
      <c r="D306" s="193"/>
      <c r="E306" s="193"/>
      <c r="F306" s="180"/>
      <c r="G306" s="180"/>
      <c r="H306" s="180"/>
      <c r="I306" s="180"/>
      <c r="J306" s="180"/>
      <c r="K306" s="180"/>
      <c r="L306" s="180"/>
      <c r="M306" s="181"/>
      <c r="N306" s="163" t="str">
        <f t="shared" si="21"/>
        <v/>
      </c>
      <c r="O306" s="126" t="str">
        <f t="shared" si="22"/>
        <v>-</v>
      </c>
      <c r="P306" s="164"/>
      <c r="Q306" s="164"/>
      <c r="R306" s="164"/>
      <c r="S306" s="164"/>
      <c r="T306" s="164"/>
      <c r="U306" s="164"/>
      <c r="V306" s="164"/>
    </row>
    <row r="307" spans="1:25" ht="27" customHeight="1">
      <c r="A307" s="192" t="str">
        <f>IF(ISBLANK(C307)," ",302-COUNTBLANK($C$6:C307))</f>
        <v xml:space="preserve"> </v>
      </c>
      <c r="B307" s="178"/>
      <c r="C307" s="178"/>
      <c r="D307" s="193"/>
      <c r="E307" s="193"/>
      <c r="F307" s="180"/>
      <c r="G307" s="180"/>
      <c r="H307" s="180"/>
      <c r="I307" s="180"/>
      <c r="J307" s="180"/>
      <c r="K307" s="180"/>
      <c r="L307" s="180"/>
      <c r="M307" s="181"/>
      <c r="N307" s="163" t="str">
        <f t="shared" si="21"/>
        <v/>
      </c>
      <c r="O307" s="126" t="str">
        <f t="shared" si="22"/>
        <v>-</v>
      </c>
      <c r="P307" s="164"/>
      <c r="Q307" s="164"/>
      <c r="R307" s="164"/>
      <c r="S307" s="164"/>
      <c r="T307" s="164"/>
      <c r="U307" s="164"/>
      <c r="V307" s="164"/>
    </row>
    <row r="308" spans="1:25" ht="27" customHeight="1">
      <c r="A308" s="192" t="str">
        <f>IF(ISBLANK(C308)," ",303-COUNTBLANK($C$6:C308))</f>
        <v xml:space="preserve"> </v>
      </c>
      <c r="B308" s="178"/>
      <c r="C308" s="178"/>
      <c r="D308" s="193"/>
      <c r="E308" s="193"/>
      <c r="F308" s="180"/>
      <c r="G308" s="180"/>
      <c r="H308" s="180"/>
      <c r="I308" s="180"/>
      <c r="J308" s="180"/>
      <c r="K308" s="180"/>
      <c r="L308" s="180"/>
      <c r="M308" s="181"/>
      <c r="N308" s="163" t="str">
        <f t="shared" si="21"/>
        <v/>
      </c>
      <c r="O308" s="126" t="str">
        <f t="shared" si="22"/>
        <v>-</v>
      </c>
      <c r="P308" s="164"/>
      <c r="Q308" s="164"/>
      <c r="R308" s="164"/>
      <c r="S308" s="164"/>
      <c r="T308" s="164"/>
      <c r="U308" s="164"/>
      <c r="V308" s="164"/>
    </row>
    <row r="309" spans="1:25" ht="27" customHeight="1">
      <c r="A309" s="192" t="str">
        <f>IF(ISBLANK(C309)," ",304-COUNTBLANK($C$6:C309))</f>
        <v xml:space="preserve"> </v>
      </c>
      <c r="B309" s="178"/>
      <c r="C309" s="178"/>
      <c r="D309" s="193"/>
      <c r="E309" s="193"/>
      <c r="F309" s="180"/>
      <c r="G309" s="180"/>
      <c r="H309" s="180"/>
      <c r="I309" s="180"/>
      <c r="J309" s="180"/>
      <c r="K309" s="180"/>
      <c r="L309" s="180"/>
      <c r="M309" s="181"/>
      <c r="N309" s="163" t="str">
        <f t="shared" si="21"/>
        <v/>
      </c>
      <c r="O309" s="126" t="str">
        <f t="shared" si="22"/>
        <v>-</v>
      </c>
      <c r="P309" s="164"/>
      <c r="Q309" s="164"/>
      <c r="R309" s="164"/>
      <c r="S309" s="164"/>
      <c r="T309" s="164"/>
      <c r="U309" s="164"/>
      <c r="V309" s="164"/>
    </row>
    <row r="310" spans="1:25" ht="27" customHeight="1">
      <c r="A310" s="192" t="str">
        <f>IF(ISBLANK(C310)," ",305-COUNTBLANK($C$6:C310))</f>
        <v xml:space="preserve"> </v>
      </c>
      <c r="B310" s="178"/>
      <c r="C310" s="178"/>
      <c r="D310" s="193"/>
      <c r="E310" s="193"/>
      <c r="F310" s="180"/>
      <c r="G310" s="180"/>
      <c r="H310" s="180"/>
      <c r="I310" s="180"/>
      <c r="J310" s="180"/>
      <c r="K310" s="180"/>
      <c r="L310" s="180"/>
      <c r="M310" s="181"/>
      <c r="N310" s="163" t="str">
        <f t="shared" si="21"/>
        <v/>
      </c>
      <c r="O310" s="126" t="str">
        <f t="shared" si="22"/>
        <v>-</v>
      </c>
      <c r="P310" s="164"/>
      <c r="Q310" s="164"/>
      <c r="R310" s="164"/>
      <c r="S310" s="164"/>
      <c r="T310" s="164"/>
      <c r="U310" s="164"/>
      <c r="V310" s="164"/>
    </row>
    <row r="311" spans="1:25" ht="27" customHeight="1">
      <c r="A311" s="192" t="str">
        <f>IF(ISBLANK(C311)," ",306-COUNTBLANK($C$6:C311))</f>
        <v xml:space="preserve"> </v>
      </c>
      <c r="B311" s="178"/>
      <c r="C311" s="178"/>
      <c r="D311" s="193"/>
      <c r="E311" s="193"/>
      <c r="F311" s="180"/>
      <c r="G311" s="180"/>
      <c r="H311" s="180"/>
      <c r="I311" s="180"/>
      <c r="J311" s="180"/>
      <c r="K311" s="180"/>
      <c r="L311" s="180"/>
      <c r="M311" s="181"/>
      <c r="N311" s="163" t="str">
        <f t="shared" si="21"/>
        <v/>
      </c>
      <c r="O311" s="126" t="str">
        <f t="shared" si="22"/>
        <v>-</v>
      </c>
      <c r="P311" s="164"/>
      <c r="Q311" s="164"/>
      <c r="R311" s="164"/>
      <c r="S311" s="164"/>
      <c r="T311" s="164"/>
      <c r="U311" s="164"/>
      <c r="V311" s="164"/>
    </row>
    <row r="312" spans="1:25" ht="27" customHeight="1">
      <c r="A312" s="192" t="str">
        <f>IF(ISBLANK(C312)," ",307-COUNTBLANK($C$6:C312))</f>
        <v xml:space="preserve"> </v>
      </c>
      <c r="B312" s="178"/>
      <c r="C312" s="178"/>
      <c r="D312" s="193"/>
      <c r="E312" s="193"/>
      <c r="F312" s="180"/>
      <c r="G312" s="180"/>
      <c r="H312" s="180"/>
      <c r="I312" s="180"/>
      <c r="J312" s="180"/>
      <c r="K312" s="180"/>
      <c r="L312" s="180"/>
      <c r="M312" s="181"/>
      <c r="N312" s="163" t="str">
        <f t="shared" si="21"/>
        <v/>
      </c>
      <c r="O312" s="126" t="str">
        <f t="shared" si="22"/>
        <v>-</v>
      </c>
      <c r="P312" s="164"/>
      <c r="Q312" s="164"/>
      <c r="R312" s="164"/>
      <c r="S312" s="164"/>
      <c r="T312" s="164"/>
      <c r="U312" s="164"/>
      <c r="V312" s="164"/>
    </row>
    <row r="313" spans="1:25" ht="27" customHeight="1">
      <c r="A313" s="192" t="str">
        <f>IF(ISBLANK(C313)," ",308-COUNTBLANK($C$6:C313))</f>
        <v xml:space="preserve"> </v>
      </c>
      <c r="B313" s="178"/>
      <c r="C313" s="178"/>
      <c r="D313" s="193"/>
      <c r="E313" s="193"/>
      <c r="F313" s="180"/>
      <c r="G313" s="180"/>
      <c r="H313" s="180"/>
      <c r="I313" s="180"/>
      <c r="J313" s="180"/>
      <c r="K313" s="180"/>
      <c r="L313" s="180"/>
      <c r="M313" s="181"/>
      <c r="N313" s="163" t="str">
        <f t="shared" si="21"/>
        <v/>
      </c>
      <c r="O313" s="126" t="str">
        <f t="shared" si="22"/>
        <v>-</v>
      </c>
      <c r="P313" s="164"/>
      <c r="Q313" s="164"/>
      <c r="R313" s="164"/>
      <c r="S313" s="164"/>
      <c r="T313" s="164"/>
      <c r="U313" s="164"/>
      <c r="V313" s="164"/>
    </row>
    <row r="314" spans="1:25" ht="27" customHeight="1">
      <c r="A314" s="192" t="str">
        <f>IF(ISBLANK(C314)," ",309-COUNTBLANK($C$6:C314))</f>
        <v xml:space="preserve"> </v>
      </c>
      <c r="B314" s="178"/>
      <c r="C314" s="178"/>
      <c r="D314" s="193"/>
      <c r="E314" s="193"/>
      <c r="F314" s="180"/>
      <c r="G314" s="180"/>
      <c r="H314" s="180"/>
      <c r="I314" s="180"/>
      <c r="J314" s="180"/>
      <c r="K314" s="180"/>
      <c r="L314" s="180"/>
      <c r="M314" s="181"/>
      <c r="N314" s="163" t="str">
        <f t="shared" si="21"/>
        <v/>
      </c>
      <c r="O314" s="126" t="str">
        <f t="shared" si="22"/>
        <v>-</v>
      </c>
      <c r="P314" s="164"/>
      <c r="Q314" s="164"/>
      <c r="R314" s="164"/>
      <c r="S314" s="164"/>
      <c r="T314" s="164"/>
      <c r="U314" s="164"/>
      <c r="V314" s="164"/>
    </row>
    <row r="315" spans="1:25" ht="27" customHeight="1">
      <c r="A315" s="192" t="str">
        <f>IF(ISBLANK(C315)," ",310-COUNTBLANK($C$6:C315))</f>
        <v xml:space="preserve"> </v>
      </c>
      <c r="B315" s="178"/>
      <c r="C315" s="178"/>
      <c r="D315" s="193"/>
      <c r="E315" s="193"/>
      <c r="F315" s="180"/>
      <c r="G315" s="180"/>
      <c r="H315" s="180"/>
      <c r="I315" s="180"/>
      <c r="J315" s="180"/>
      <c r="K315" s="180"/>
      <c r="L315" s="180"/>
      <c r="M315" s="181"/>
      <c r="N315" s="163" t="str">
        <f t="shared" si="21"/>
        <v/>
      </c>
      <c r="O315" s="126" t="str">
        <f t="shared" si="22"/>
        <v>-</v>
      </c>
      <c r="P315" s="164"/>
      <c r="Q315" s="164"/>
      <c r="R315" s="164"/>
      <c r="S315" s="164"/>
      <c r="T315" s="164"/>
      <c r="U315" s="164"/>
      <c r="V315" s="165"/>
    </row>
    <row r="316" spans="1:25" ht="27" customHeight="1">
      <c r="A316" s="192" t="str">
        <f>IF(ISBLANK(C316)," ",311-COUNTBLANK($C$6:C316))</f>
        <v xml:space="preserve"> </v>
      </c>
      <c r="B316" s="178"/>
      <c r="C316" s="178"/>
      <c r="D316" s="193"/>
      <c r="E316" s="193"/>
      <c r="F316" s="180"/>
      <c r="G316" s="180"/>
      <c r="H316" s="180"/>
      <c r="I316" s="180"/>
      <c r="J316" s="180"/>
      <c r="K316" s="180"/>
      <c r="L316" s="180"/>
      <c r="M316" s="181"/>
      <c r="N316" s="163" t="str">
        <f t="shared" si="21"/>
        <v/>
      </c>
      <c r="O316" s="126" t="str">
        <f t="shared" si="22"/>
        <v>-</v>
      </c>
      <c r="P316" s="164"/>
      <c r="Q316" s="164"/>
      <c r="R316" s="164"/>
      <c r="S316" s="164"/>
      <c r="T316" s="164"/>
      <c r="U316" s="164"/>
      <c r="V316" s="165"/>
    </row>
    <row r="317" spans="1:25" ht="27" customHeight="1">
      <c r="A317" s="192" t="str">
        <f>IF(ISBLANK(C317)," ",312-COUNTBLANK($C$6:C317))</f>
        <v xml:space="preserve"> </v>
      </c>
      <c r="B317" s="178"/>
      <c r="C317" s="178"/>
      <c r="D317" s="193"/>
      <c r="E317" s="193"/>
      <c r="F317" s="180"/>
      <c r="G317" s="180"/>
      <c r="H317" s="180"/>
      <c r="I317" s="180"/>
      <c r="J317" s="180"/>
      <c r="K317" s="180"/>
      <c r="L317" s="180"/>
      <c r="M317" s="181"/>
      <c r="N317" s="163" t="str">
        <f t="shared" si="21"/>
        <v/>
      </c>
      <c r="O317" s="126" t="str">
        <f t="shared" si="22"/>
        <v>-</v>
      </c>
      <c r="P317" s="164"/>
      <c r="Q317" s="164"/>
      <c r="R317" s="164"/>
      <c r="S317" s="164"/>
      <c r="T317" s="164"/>
      <c r="U317" s="164"/>
      <c r="V317" s="165"/>
    </row>
    <row r="318" spans="1:25" ht="27" customHeight="1">
      <c r="A318" s="192" t="str">
        <f>IF(ISBLANK(C318)," ",313-COUNTBLANK($C$6:C318))</f>
        <v xml:space="preserve"> </v>
      </c>
      <c r="B318" s="178"/>
      <c r="C318" s="178"/>
      <c r="D318" s="193"/>
      <c r="E318" s="193"/>
      <c r="F318" s="180"/>
      <c r="G318" s="180"/>
      <c r="H318" s="180"/>
      <c r="I318" s="180"/>
      <c r="J318" s="180"/>
      <c r="K318" s="180"/>
      <c r="L318" s="180"/>
      <c r="M318" s="181"/>
      <c r="N318" s="163" t="str">
        <f t="shared" si="21"/>
        <v/>
      </c>
      <c r="O318" s="126" t="str">
        <f t="shared" si="22"/>
        <v>-</v>
      </c>
      <c r="P318" s="164"/>
      <c r="Q318" s="164"/>
      <c r="R318" s="164"/>
      <c r="S318" s="164"/>
      <c r="T318" s="164"/>
      <c r="U318" s="164"/>
      <c r="V318" s="165"/>
    </row>
    <row r="319" spans="1:25" ht="27" customHeight="1">
      <c r="A319" s="192" t="str">
        <f>IF(ISBLANK(C319)," ",314-COUNTBLANK($C$6:C319))</f>
        <v xml:space="preserve"> </v>
      </c>
      <c r="B319" s="178"/>
      <c r="C319" s="178"/>
      <c r="D319" s="193"/>
      <c r="E319" s="193"/>
      <c r="F319" s="180"/>
      <c r="G319" s="180"/>
      <c r="H319" s="180"/>
      <c r="I319" s="180"/>
      <c r="J319" s="180"/>
      <c r="K319" s="180"/>
      <c r="L319" s="180"/>
      <c r="M319" s="181"/>
      <c r="N319" s="163" t="str">
        <f t="shared" si="21"/>
        <v/>
      </c>
      <c r="O319" s="126" t="str">
        <f t="shared" si="22"/>
        <v>-</v>
      </c>
      <c r="P319" s="164"/>
      <c r="Q319" s="164"/>
      <c r="R319" s="164"/>
      <c r="S319" s="164"/>
      <c r="T319" s="164"/>
      <c r="U319" s="164"/>
      <c r="V319" s="166"/>
      <c r="W319" s="164"/>
      <c r="X319" s="164"/>
      <c r="Y319" s="164"/>
    </row>
    <row r="320" spans="1:25" ht="27" customHeight="1">
      <c r="A320" s="172" t="s">
        <v>44</v>
      </c>
      <c r="B320" s="173"/>
      <c r="C320" s="174"/>
      <c r="D320" s="194"/>
      <c r="E320" s="194">
        <f>SUM(E300:E319)</f>
        <v>0</v>
      </c>
      <c r="F320" s="176"/>
      <c r="G320" s="176"/>
      <c r="H320" s="176"/>
      <c r="I320" s="176"/>
      <c r="J320" s="176"/>
      <c r="K320" s="176"/>
      <c r="L320" s="176"/>
      <c r="M320" s="177"/>
      <c r="N320" s="163" t="str">
        <f t="shared" si="21"/>
        <v/>
      </c>
      <c r="O320" s="126"/>
      <c r="P320" s="164"/>
      <c r="Q320" s="164"/>
      <c r="R320" s="164"/>
      <c r="S320" s="164"/>
      <c r="T320" s="164"/>
      <c r="U320" s="164"/>
      <c r="V320" s="166"/>
      <c r="W320" s="164"/>
      <c r="X320" s="164"/>
      <c r="Y320" s="164"/>
    </row>
    <row r="321" spans="1:22" ht="27" customHeight="1">
      <c r="A321" s="187" t="str">
        <f>IF(ISBLANK(C321)," ",316-COUNTBLANK($C$6:C321))</f>
        <v xml:space="preserve"> </v>
      </c>
      <c r="B321" s="188"/>
      <c r="C321" s="188"/>
      <c r="D321" s="189"/>
      <c r="E321" s="189"/>
      <c r="F321" s="190"/>
      <c r="G321" s="190"/>
      <c r="H321" s="190"/>
      <c r="I321" s="190"/>
      <c r="J321" s="190"/>
      <c r="K321" s="190"/>
      <c r="L321" s="190"/>
      <c r="M321" s="191"/>
      <c r="N321" s="163" t="str">
        <f>CONCATENATE(C321,H321)</f>
        <v/>
      </c>
      <c r="O321" s="126" t="str">
        <f>IF(D321&gt;=E321,"-","ERR")</f>
        <v>-</v>
      </c>
      <c r="P321" s="164"/>
      <c r="Q321" s="164"/>
      <c r="R321" s="164"/>
      <c r="S321" s="164"/>
      <c r="T321" s="164"/>
      <c r="U321" s="164"/>
      <c r="V321" s="164"/>
    </row>
    <row r="322" spans="1:22" ht="27" customHeight="1">
      <c r="A322" s="192" t="str">
        <f>IF(ISBLANK(C322)," ",317-COUNTBLANK($C$6:C322))</f>
        <v xml:space="preserve"> </v>
      </c>
      <c r="B322" s="178"/>
      <c r="C322" s="178"/>
      <c r="D322" s="193"/>
      <c r="E322" s="193"/>
      <c r="F322" s="180"/>
      <c r="G322" s="180"/>
      <c r="H322" s="180"/>
      <c r="I322" s="180"/>
      <c r="J322" s="180"/>
      <c r="K322" s="180"/>
      <c r="L322" s="180"/>
      <c r="M322" s="181"/>
      <c r="N322" s="163" t="str">
        <f t="shared" ref="N322:N341" si="23">CONCATENATE(C322,H322)</f>
        <v/>
      </c>
      <c r="O322" s="126" t="str">
        <f t="shared" ref="O322:O340" si="24">IF(D322&gt;=E322,"-","ERR")</f>
        <v>-</v>
      </c>
      <c r="P322" s="164"/>
      <c r="Q322" s="164"/>
      <c r="R322" s="164"/>
      <c r="S322" s="164"/>
      <c r="T322" s="164"/>
      <c r="U322" s="164"/>
      <c r="V322" s="164"/>
    </row>
    <row r="323" spans="1:22" ht="27" customHeight="1">
      <c r="A323" s="192" t="str">
        <f>IF(ISBLANK(C323)," ",318-COUNTBLANK($C$6:C323))</f>
        <v xml:space="preserve"> </v>
      </c>
      <c r="B323" s="178"/>
      <c r="C323" s="178"/>
      <c r="D323" s="193"/>
      <c r="E323" s="193"/>
      <c r="F323" s="180"/>
      <c r="G323" s="180"/>
      <c r="H323" s="180"/>
      <c r="I323" s="180"/>
      <c r="J323" s="180"/>
      <c r="K323" s="180"/>
      <c r="L323" s="180"/>
      <c r="M323" s="181"/>
      <c r="N323" s="163" t="str">
        <f t="shared" si="23"/>
        <v/>
      </c>
      <c r="O323" s="126" t="str">
        <f t="shared" si="24"/>
        <v>-</v>
      </c>
      <c r="P323" s="164"/>
      <c r="Q323" s="164"/>
      <c r="R323" s="164"/>
      <c r="S323" s="164"/>
      <c r="T323" s="164"/>
      <c r="U323" s="164"/>
      <c r="V323" s="164"/>
    </row>
    <row r="324" spans="1:22" ht="27" customHeight="1">
      <c r="A324" s="192" t="str">
        <f>IF(ISBLANK(C324)," ",319-COUNTBLANK($C$6:C324))</f>
        <v xml:space="preserve"> </v>
      </c>
      <c r="B324" s="178"/>
      <c r="C324" s="178"/>
      <c r="D324" s="193"/>
      <c r="E324" s="193"/>
      <c r="F324" s="180"/>
      <c r="G324" s="180"/>
      <c r="H324" s="180"/>
      <c r="I324" s="180"/>
      <c r="J324" s="180"/>
      <c r="K324" s="180"/>
      <c r="L324" s="180"/>
      <c r="M324" s="181"/>
      <c r="N324" s="163" t="str">
        <f t="shared" si="23"/>
        <v/>
      </c>
      <c r="O324" s="126" t="str">
        <f t="shared" si="24"/>
        <v>-</v>
      </c>
      <c r="P324" s="164"/>
      <c r="Q324" s="164"/>
      <c r="R324" s="164"/>
      <c r="S324" s="164"/>
      <c r="T324" s="164"/>
      <c r="U324" s="164"/>
      <c r="V324" s="164"/>
    </row>
    <row r="325" spans="1:22" ht="27" customHeight="1">
      <c r="A325" s="192" t="str">
        <f>IF(ISBLANK(C325)," ",320-COUNTBLANK($C$6:C325))</f>
        <v xml:space="preserve"> </v>
      </c>
      <c r="B325" s="178"/>
      <c r="C325" s="178"/>
      <c r="D325" s="193"/>
      <c r="E325" s="193"/>
      <c r="F325" s="180"/>
      <c r="G325" s="180"/>
      <c r="H325" s="180"/>
      <c r="I325" s="180"/>
      <c r="J325" s="180"/>
      <c r="K325" s="180"/>
      <c r="L325" s="180"/>
      <c r="M325" s="181"/>
      <c r="N325" s="163" t="str">
        <f t="shared" si="23"/>
        <v/>
      </c>
      <c r="O325" s="126" t="str">
        <f t="shared" si="24"/>
        <v>-</v>
      </c>
      <c r="P325" s="164"/>
      <c r="Q325" s="164"/>
      <c r="R325" s="164"/>
      <c r="S325" s="164"/>
      <c r="T325" s="164"/>
      <c r="U325" s="164"/>
      <c r="V325" s="164"/>
    </row>
    <row r="326" spans="1:22" ht="27" customHeight="1">
      <c r="A326" s="192" t="str">
        <f>IF(ISBLANK(C326)," ",321-COUNTBLANK($C$6:C326))</f>
        <v xml:space="preserve"> </v>
      </c>
      <c r="B326" s="178"/>
      <c r="C326" s="178"/>
      <c r="D326" s="193"/>
      <c r="E326" s="193"/>
      <c r="F326" s="180"/>
      <c r="G326" s="180"/>
      <c r="H326" s="180"/>
      <c r="I326" s="180"/>
      <c r="J326" s="180"/>
      <c r="K326" s="180"/>
      <c r="L326" s="180"/>
      <c r="M326" s="181"/>
      <c r="N326" s="163" t="str">
        <f t="shared" si="23"/>
        <v/>
      </c>
      <c r="O326" s="126" t="str">
        <f t="shared" si="24"/>
        <v>-</v>
      </c>
      <c r="P326" s="164"/>
      <c r="Q326" s="164"/>
      <c r="R326" s="164"/>
      <c r="S326" s="164"/>
      <c r="T326" s="164"/>
      <c r="U326" s="164"/>
      <c r="V326" s="164"/>
    </row>
    <row r="327" spans="1:22" ht="27" customHeight="1">
      <c r="A327" s="192" t="str">
        <f>IF(ISBLANK(C327)," ",322-COUNTBLANK($C$6:C327))</f>
        <v xml:space="preserve"> </v>
      </c>
      <c r="B327" s="178"/>
      <c r="C327" s="178"/>
      <c r="D327" s="193"/>
      <c r="E327" s="193"/>
      <c r="F327" s="180"/>
      <c r="G327" s="180"/>
      <c r="H327" s="180"/>
      <c r="I327" s="180"/>
      <c r="J327" s="180"/>
      <c r="K327" s="180"/>
      <c r="L327" s="180"/>
      <c r="M327" s="181"/>
      <c r="N327" s="163" t="str">
        <f t="shared" si="23"/>
        <v/>
      </c>
      <c r="O327" s="126" t="str">
        <f t="shared" si="24"/>
        <v>-</v>
      </c>
      <c r="P327" s="164"/>
      <c r="Q327" s="164"/>
      <c r="R327" s="164"/>
      <c r="S327" s="164"/>
      <c r="T327" s="164"/>
      <c r="U327" s="164"/>
      <c r="V327" s="164"/>
    </row>
    <row r="328" spans="1:22" ht="27" customHeight="1">
      <c r="A328" s="192" t="str">
        <f>IF(ISBLANK(C328)," ",323-COUNTBLANK($C$6:C328))</f>
        <v xml:space="preserve"> </v>
      </c>
      <c r="B328" s="178"/>
      <c r="C328" s="178"/>
      <c r="D328" s="193"/>
      <c r="E328" s="193"/>
      <c r="F328" s="180"/>
      <c r="G328" s="180"/>
      <c r="H328" s="180"/>
      <c r="I328" s="180"/>
      <c r="J328" s="180"/>
      <c r="K328" s="180"/>
      <c r="L328" s="180"/>
      <c r="M328" s="181"/>
      <c r="N328" s="163" t="str">
        <f t="shared" si="23"/>
        <v/>
      </c>
      <c r="O328" s="126" t="str">
        <f t="shared" si="24"/>
        <v>-</v>
      </c>
      <c r="P328" s="164"/>
      <c r="Q328" s="164"/>
      <c r="R328" s="164"/>
      <c r="S328" s="164"/>
      <c r="T328" s="164"/>
      <c r="U328" s="164"/>
      <c r="V328" s="164"/>
    </row>
    <row r="329" spans="1:22" ht="27" customHeight="1">
      <c r="A329" s="192" t="str">
        <f>IF(ISBLANK(C329)," ",324-COUNTBLANK($C$6:C329))</f>
        <v xml:space="preserve"> </v>
      </c>
      <c r="B329" s="178"/>
      <c r="C329" s="178"/>
      <c r="D329" s="193"/>
      <c r="E329" s="193"/>
      <c r="F329" s="180"/>
      <c r="G329" s="180"/>
      <c r="H329" s="180"/>
      <c r="I329" s="180"/>
      <c r="J329" s="180"/>
      <c r="K329" s="180"/>
      <c r="L329" s="180"/>
      <c r="M329" s="181"/>
      <c r="N329" s="163" t="str">
        <f t="shared" si="23"/>
        <v/>
      </c>
      <c r="O329" s="126" t="str">
        <f t="shared" si="24"/>
        <v>-</v>
      </c>
      <c r="P329" s="164"/>
      <c r="Q329" s="164"/>
      <c r="R329" s="164"/>
      <c r="S329" s="164"/>
      <c r="T329" s="164"/>
      <c r="U329" s="164"/>
      <c r="V329" s="164"/>
    </row>
    <row r="330" spans="1:22" ht="27" customHeight="1">
      <c r="A330" s="192" t="str">
        <f>IF(ISBLANK(C330)," ",325-COUNTBLANK($C$6:C330))</f>
        <v xml:space="preserve"> </v>
      </c>
      <c r="B330" s="178"/>
      <c r="C330" s="178"/>
      <c r="D330" s="193"/>
      <c r="E330" s="193"/>
      <c r="F330" s="180"/>
      <c r="G330" s="180"/>
      <c r="H330" s="180"/>
      <c r="I330" s="180"/>
      <c r="J330" s="180"/>
      <c r="K330" s="180"/>
      <c r="L330" s="180"/>
      <c r="M330" s="181"/>
      <c r="N330" s="163" t="str">
        <f t="shared" si="23"/>
        <v/>
      </c>
      <c r="O330" s="126" t="str">
        <f t="shared" si="24"/>
        <v>-</v>
      </c>
      <c r="P330" s="164"/>
      <c r="Q330" s="164"/>
      <c r="R330" s="164"/>
      <c r="S330" s="164"/>
      <c r="T330" s="164"/>
      <c r="U330" s="164"/>
      <c r="V330" s="164"/>
    </row>
    <row r="331" spans="1:22" ht="27" customHeight="1">
      <c r="A331" s="192" t="str">
        <f>IF(ISBLANK(C331)," ",326-COUNTBLANK($C$6:C331))</f>
        <v xml:space="preserve"> </v>
      </c>
      <c r="B331" s="178"/>
      <c r="C331" s="178"/>
      <c r="D331" s="193"/>
      <c r="E331" s="193"/>
      <c r="F331" s="180"/>
      <c r="G331" s="180"/>
      <c r="H331" s="180"/>
      <c r="I331" s="180"/>
      <c r="J331" s="180"/>
      <c r="K331" s="180"/>
      <c r="L331" s="180"/>
      <c r="M331" s="181"/>
      <c r="N331" s="163" t="str">
        <f t="shared" si="23"/>
        <v/>
      </c>
      <c r="O331" s="126" t="str">
        <f t="shared" si="24"/>
        <v>-</v>
      </c>
      <c r="P331" s="164"/>
      <c r="Q331" s="164"/>
      <c r="R331" s="164"/>
      <c r="S331" s="164"/>
      <c r="T331" s="164"/>
      <c r="U331" s="164"/>
      <c r="V331" s="164"/>
    </row>
    <row r="332" spans="1:22" ht="27" customHeight="1">
      <c r="A332" s="192" t="str">
        <f>IF(ISBLANK(C332)," ",327-COUNTBLANK($C$6:C332))</f>
        <v xml:space="preserve"> </v>
      </c>
      <c r="B332" s="178"/>
      <c r="C332" s="178"/>
      <c r="D332" s="193"/>
      <c r="E332" s="193"/>
      <c r="F332" s="180"/>
      <c r="G332" s="180"/>
      <c r="H332" s="180"/>
      <c r="I332" s="180"/>
      <c r="J332" s="180"/>
      <c r="K332" s="180"/>
      <c r="L332" s="180"/>
      <c r="M332" s="181"/>
      <c r="N332" s="163" t="str">
        <f t="shared" si="23"/>
        <v/>
      </c>
      <c r="O332" s="126" t="str">
        <f t="shared" si="24"/>
        <v>-</v>
      </c>
      <c r="P332" s="164"/>
      <c r="Q332" s="164"/>
      <c r="R332" s="164"/>
      <c r="S332" s="164"/>
      <c r="T332" s="164"/>
      <c r="U332" s="164"/>
      <c r="V332" s="164"/>
    </row>
    <row r="333" spans="1:22" ht="27" customHeight="1">
      <c r="A333" s="192" t="str">
        <f>IF(ISBLANK(C333)," ",328-COUNTBLANK($C$6:C333))</f>
        <v xml:space="preserve"> </v>
      </c>
      <c r="B333" s="178"/>
      <c r="C333" s="178"/>
      <c r="D333" s="193"/>
      <c r="E333" s="193"/>
      <c r="F333" s="180"/>
      <c r="G333" s="180"/>
      <c r="H333" s="180"/>
      <c r="I333" s="180"/>
      <c r="J333" s="180"/>
      <c r="K333" s="180"/>
      <c r="L333" s="180"/>
      <c r="M333" s="181"/>
      <c r="N333" s="163" t="str">
        <f t="shared" si="23"/>
        <v/>
      </c>
      <c r="O333" s="126" t="str">
        <f t="shared" si="24"/>
        <v>-</v>
      </c>
      <c r="P333" s="164"/>
      <c r="Q333" s="164"/>
      <c r="R333" s="164"/>
      <c r="S333" s="164"/>
      <c r="T333" s="164"/>
      <c r="U333" s="164"/>
      <c r="V333" s="164"/>
    </row>
    <row r="334" spans="1:22" ht="27" customHeight="1">
      <c r="A334" s="192" t="str">
        <f>IF(ISBLANK(C334)," ",329-COUNTBLANK($C$6:C334))</f>
        <v xml:space="preserve"> </v>
      </c>
      <c r="B334" s="178"/>
      <c r="C334" s="178"/>
      <c r="D334" s="193"/>
      <c r="E334" s="193"/>
      <c r="F334" s="180"/>
      <c r="G334" s="180"/>
      <c r="H334" s="180"/>
      <c r="I334" s="180"/>
      <c r="J334" s="180"/>
      <c r="K334" s="180"/>
      <c r="L334" s="180"/>
      <c r="M334" s="181"/>
      <c r="N334" s="163" t="str">
        <f t="shared" si="23"/>
        <v/>
      </c>
      <c r="O334" s="126" t="str">
        <f t="shared" si="24"/>
        <v>-</v>
      </c>
      <c r="P334" s="164"/>
      <c r="Q334" s="164"/>
      <c r="R334" s="164"/>
      <c r="S334" s="164"/>
      <c r="T334" s="164"/>
      <c r="U334" s="164"/>
      <c r="V334" s="164"/>
    </row>
    <row r="335" spans="1:22" ht="27" customHeight="1">
      <c r="A335" s="192" t="str">
        <f>IF(ISBLANK(C335)," ",330-COUNTBLANK($C$6:C335))</f>
        <v xml:space="preserve"> </v>
      </c>
      <c r="B335" s="178"/>
      <c r="C335" s="178"/>
      <c r="D335" s="193"/>
      <c r="E335" s="193"/>
      <c r="F335" s="180"/>
      <c r="G335" s="180"/>
      <c r="H335" s="180"/>
      <c r="I335" s="180"/>
      <c r="J335" s="180"/>
      <c r="K335" s="180"/>
      <c r="L335" s="180"/>
      <c r="M335" s="181"/>
      <c r="N335" s="163" t="str">
        <f t="shared" si="23"/>
        <v/>
      </c>
      <c r="O335" s="126" t="str">
        <f t="shared" si="24"/>
        <v>-</v>
      </c>
      <c r="P335" s="164"/>
      <c r="Q335" s="164"/>
      <c r="R335" s="164"/>
      <c r="S335" s="164"/>
      <c r="T335" s="164"/>
      <c r="U335" s="164"/>
      <c r="V335" s="164"/>
    </row>
    <row r="336" spans="1:22" ht="27" customHeight="1">
      <c r="A336" s="192" t="str">
        <f>IF(ISBLANK(C336)," ",331-COUNTBLANK($C$6:C336))</f>
        <v xml:space="preserve"> </v>
      </c>
      <c r="B336" s="178"/>
      <c r="C336" s="178"/>
      <c r="D336" s="193"/>
      <c r="E336" s="193"/>
      <c r="F336" s="180"/>
      <c r="G336" s="180"/>
      <c r="H336" s="180"/>
      <c r="I336" s="180"/>
      <c r="J336" s="180"/>
      <c r="K336" s="180"/>
      <c r="L336" s="180"/>
      <c r="M336" s="181"/>
      <c r="N336" s="163" t="str">
        <f t="shared" si="23"/>
        <v/>
      </c>
      <c r="O336" s="126" t="str">
        <f t="shared" si="24"/>
        <v>-</v>
      </c>
      <c r="P336" s="164"/>
      <c r="Q336" s="164"/>
      <c r="R336" s="164"/>
      <c r="S336" s="164"/>
      <c r="T336" s="164"/>
      <c r="U336" s="164"/>
      <c r="V336" s="165"/>
    </row>
    <row r="337" spans="1:25" ht="27" customHeight="1">
      <c r="A337" s="192" t="str">
        <f>IF(ISBLANK(C337)," ",332-COUNTBLANK($C$6:C337))</f>
        <v xml:space="preserve"> </v>
      </c>
      <c r="B337" s="178"/>
      <c r="C337" s="178"/>
      <c r="D337" s="193"/>
      <c r="E337" s="193"/>
      <c r="F337" s="180"/>
      <c r="G337" s="180"/>
      <c r="H337" s="180"/>
      <c r="I337" s="180"/>
      <c r="J337" s="180"/>
      <c r="K337" s="180"/>
      <c r="L337" s="180"/>
      <c r="M337" s="181"/>
      <c r="N337" s="163" t="str">
        <f t="shared" si="23"/>
        <v/>
      </c>
      <c r="O337" s="126" t="str">
        <f t="shared" si="24"/>
        <v>-</v>
      </c>
      <c r="P337" s="164"/>
      <c r="Q337" s="164"/>
      <c r="R337" s="164"/>
      <c r="S337" s="164"/>
      <c r="T337" s="164"/>
      <c r="U337" s="164"/>
      <c r="V337" s="165"/>
    </row>
    <row r="338" spans="1:25" ht="27" customHeight="1">
      <c r="A338" s="192" t="str">
        <f>IF(ISBLANK(C338)," ",333-COUNTBLANK($C$6:C338))</f>
        <v xml:space="preserve"> </v>
      </c>
      <c r="B338" s="178"/>
      <c r="C338" s="178"/>
      <c r="D338" s="193"/>
      <c r="E338" s="193"/>
      <c r="F338" s="180"/>
      <c r="G338" s="180"/>
      <c r="H338" s="180"/>
      <c r="I338" s="180"/>
      <c r="J338" s="180"/>
      <c r="K338" s="180"/>
      <c r="L338" s="180"/>
      <c r="M338" s="181"/>
      <c r="N338" s="163" t="str">
        <f t="shared" si="23"/>
        <v/>
      </c>
      <c r="O338" s="126" t="str">
        <f t="shared" si="24"/>
        <v>-</v>
      </c>
      <c r="P338" s="164"/>
      <c r="Q338" s="164"/>
      <c r="R338" s="164"/>
      <c r="S338" s="164"/>
      <c r="T338" s="164"/>
      <c r="U338" s="164"/>
      <c r="V338" s="165"/>
    </row>
    <row r="339" spans="1:25" ht="27" customHeight="1">
      <c r="A339" s="192" t="str">
        <f>IF(ISBLANK(C339)," ",334-COUNTBLANK($C$6:C339))</f>
        <v xml:space="preserve"> </v>
      </c>
      <c r="B339" s="178"/>
      <c r="C339" s="178"/>
      <c r="D339" s="193"/>
      <c r="E339" s="193"/>
      <c r="F339" s="180"/>
      <c r="G339" s="180"/>
      <c r="H339" s="180"/>
      <c r="I339" s="180"/>
      <c r="J339" s="180"/>
      <c r="K339" s="180"/>
      <c r="L339" s="180"/>
      <c r="M339" s="181"/>
      <c r="N339" s="163" t="str">
        <f t="shared" si="23"/>
        <v/>
      </c>
      <c r="O339" s="126" t="str">
        <f t="shared" si="24"/>
        <v>-</v>
      </c>
      <c r="P339" s="164"/>
      <c r="Q339" s="164"/>
      <c r="R339" s="164"/>
      <c r="S339" s="164"/>
      <c r="T339" s="164"/>
      <c r="U339" s="164"/>
      <c r="V339" s="165"/>
    </row>
    <row r="340" spans="1:25" ht="27" customHeight="1">
      <c r="A340" s="192" t="str">
        <f>IF(ISBLANK(C340)," ",335-COUNTBLANK($C$6:C340))</f>
        <v xml:space="preserve"> </v>
      </c>
      <c r="B340" s="178"/>
      <c r="C340" s="178"/>
      <c r="D340" s="193"/>
      <c r="E340" s="193"/>
      <c r="F340" s="180"/>
      <c r="G340" s="180"/>
      <c r="H340" s="180"/>
      <c r="I340" s="180"/>
      <c r="J340" s="180"/>
      <c r="K340" s="180"/>
      <c r="L340" s="180"/>
      <c r="M340" s="181"/>
      <c r="N340" s="163" t="str">
        <f t="shared" si="23"/>
        <v/>
      </c>
      <c r="O340" s="126" t="str">
        <f t="shared" si="24"/>
        <v>-</v>
      </c>
      <c r="P340" s="164"/>
      <c r="Q340" s="164"/>
      <c r="R340" s="164"/>
      <c r="S340" s="164"/>
      <c r="T340" s="164"/>
      <c r="U340" s="164"/>
      <c r="V340" s="166"/>
      <c r="W340" s="164"/>
      <c r="X340" s="164"/>
      <c r="Y340" s="164"/>
    </row>
    <row r="341" spans="1:25" ht="27" customHeight="1">
      <c r="A341" s="172" t="s">
        <v>44</v>
      </c>
      <c r="B341" s="173"/>
      <c r="C341" s="174"/>
      <c r="D341" s="194"/>
      <c r="E341" s="194">
        <f>SUM(E321:E340)</f>
        <v>0</v>
      </c>
      <c r="F341" s="176"/>
      <c r="G341" s="176"/>
      <c r="H341" s="176"/>
      <c r="I341" s="176"/>
      <c r="J341" s="176"/>
      <c r="K341" s="176"/>
      <c r="L341" s="176"/>
      <c r="M341" s="177"/>
      <c r="N341" s="163" t="str">
        <f t="shared" si="23"/>
        <v/>
      </c>
      <c r="O341" s="126"/>
      <c r="P341" s="164"/>
      <c r="Q341" s="164"/>
      <c r="R341" s="164"/>
      <c r="S341" s="164"/>
      <c r="T341" s="164"/>
      <c r="U341" s="164"/>
      <c r="V341" s="166"/>
      <c r="W341" s="164"/>
      <c r="X341" s="164"/>
      <c r="Y341" s="164"/>
    </row>
    <row r="342" spans="1:25" ht="27" customHeight="1">
      <c r="A342" s="187" t="str">
        <f>IF(ISBLANK(C342)," ",337-COUNTBLANK($C$6:C342))</f>
        <v xml:space="preserve"> </v>
      </c>
      <c r="B342" s="188"/>
      <c r="C342" s="188"/>
      <c r="D342" s="189"/>
      <c r="E342" s="189"/>
      <c r="F342" s="190"/>
      <c r="G342" s="190"/>
      <c r="H342" s="190"/>
      <c r="I342" s="190"/>
      <c r="J342" s="190"/>
      <c r="K342" s="190"/>
      <c r="L342" s="190"/>
      <c r="M342" s="191"/>
      <c r="N342" s="163" t="str">
        <f>CONCATENATE(C342,H342)</f>
        <v/>
      </c>
      <c r="O342" s="126" t="str">
        <f>IF(D342&gt;=E342,"-","ERR")</f>
        <v>-</v>
      </c>
      <c r="P342" s="164"/>
      <c r="Q342" s="164"/>
      <c r="R342" s="164"/>
      <c r="S342" s="164"/>
      <c r="T342" s="164"/>
      <c r="U342" s="164"/>
      <c r="V342" s="164"/>
    </row>
    <row r="343" spans="1:25" ht="27" customHeight="1">
      <c r="A343" s="192" t="str">
        <f>IF(ISBLANK(C343)," ",338-COUNTBLANK($C$6:C343))</f>
        <v xml:space="preserve"> </v>
      </c>
      <c r="B343" s="178"/>
      <c r="C343" s="178"/>
      <c r="D343" s="193"/>
      <c r="E343" s="193"/>
      <c r="F343" s="180"/>
      <c r="G343" s="180"/>
      <c r="H343" s="180"/>
      <c r="I343" s="180"/>
      <c r="J343" s="180"/>
      <c r="K343" s="180"/>
      <c r="L343" s="180"/>
      <c r="M343" s="181"/>
      <c r="N343" s="163" t="str">
        <f t="shared" ref="N343:N362" si="25">CONCATENATE(C343,H343)</f>
        <v/>
      </c>
      <c r="O343" s="126" t="str">
        <f t="shared" ref="O343:O361" si="26">IF(D343&gt;=E343,"-","ERR")</f>
        <v>-</v>
      </c>
      <c r="P343" s="164"/>
      <c r="Q343" s="164"/>
      <c r="R343" s="164"/>
      <c r="S343" s="164"/>
      <c r="T343" s="164"/>
      <c r="U343" s="164"/>
      <c r="V343" s="164"/>
    </row>
    <row r="344" spans="1:25" ht="27" customHeight="1">
      <c r="A344" s="192" t="str">
        <f>IF(ISBLANK(C344)," ",339-COUNTBLANK($C$6:C344))</f>
        <v xml:space="preserve"> </v>
      </c>
      <c r="B344" s="178"/>
      <c r="C344" s="178"/>
      <c r="D344" s="193"/>
      <c r="E344" s="193"/>
      <c r="F344" s="180"/>
      <c r="G344" s="180"/>
      <c r="H344" s="180"/>
      <c r="I344" s="180"/>
      <c r="J344" s="180"/>
      <c r="K344" s="180"/>
      <c r="L344" s="180"/>
      <c r="M344" s="181"/>
      <c r="N344" s="163" t="str">
        <f t="shared" si="25"/>
        <v/>
      </c>
      <c r="O344" s="126" t="str">
        <f t="shared" si="26"/>
        <v>-</v>
      </c>
      <c r="P344" s="164"/>
      <c r="Q344" s="164"/>
      <c r="R344" s="164"/>
      <c r="S344" s="164"/>
      <c r="T344" s="164"/>
      <c r="U344" s="164"/>
      <c r="V344" s="164"/>
    </row>
    <row r="345" spans="1:25" ht="27" customHeight="1">
      <c r="A345" s="192" t="str">
        <f>IF(ISBLANK(C345)," ",340-COUNTBLANK($C$6:C345))</f>
        <v xml:space="preserve"> </v>
      </c>
      <c r="B345" s="178"/>
      <c r="C345" s="178"/>
      <c r="D345" s="193"/>
      <c r="E345" s="193"/>
      <c r="F345" s="180"/>
      <c r="G345" s="180"/>
      <c r="H345" s="180"/>
      <c r="I345" s="180"/>
      <c r="J345" s="180"/>
      <c r="K345" s="180"/>
      <c r="L345" s="180"/>
      <c r="M345" s="181"/>
      <c r="N345" s="163" t="str">
        <f t="shared" si="25"/>
        <v/>
      </c>
      <c r="O345" s="126" t="str">
        <f t="shared" si="26"/>
        <v>-</v>
      </c>
      <c r="P345" s="164"/>
      <c r="Q345" s="164"/>
      <c r="R345" s="164"/>
      <c r="S345" s="164"/>
      <c r="T345" s="164"/>
      <c r="U345" s="164"/>
      <c r="V345" s="164"/>
    </row>
    <row r="346" spans="1:25" ht="27" customHeight="1">
      <c r="A346" s="192" t="str">
        <f>IF(ISBLANK(C346)," ",341-COUNTBLANK($C$6:C346))</f>
        <v xml:space="preserve"> </v>
      </c>
      <c r="B346" s="178"/>
      <c r="C346" s="178"/>
      <c r="D346" s="193"/>
      <c r="E346" s="193"/>
      <c r="F346" s="180"/>
      <c r="G346" s="180"/>
      <c r="H346" s="180"/>
      <c r="I346" s="180"/>
      <c r="J346" s="180"/>
      <c r="K346" s="180"/>
      <c r="L346" s="180"/>
      <c r="M346" s="181"/>
      <c r="N346" s="163" t="str">
        <f t="shared" si="25"/>
        <v/>
      </c>
      <c r="O346" s="126" t="str">
        <f t="shared" si="26"/>
        <v>-</v>
      </c>
      <c r="P346" s="164"/>
      <c r="Q346" s="164"/>
      <c r="R346" s="164"/>
      <c r="S346" s="164"/>
      <c r="T346" s="164"/>
      <c r="U346" s="164"/>
      <c r="V346" s="164"/>
    </row>
    <row r="347" spans="1:25" ht="27" customHeight="1">
      <c r="A347" s="192" t="str">
        <f>IF(ISBLANK(C347)," ",342-COUNTBLANK($C$6:C347))</f>
        <v xml:space="preserve"> </v>
      </c>
      <c r="B347" s="178"/>
      <c r="C347" s="178"/>
      <c r="D347" s="193"/>
      <c r="E347" s="193"/>
      <c r="F347" s="180"/>
      <c r="G347" s="180"/>
      <c r="H347" s="180"/>
      <c r="I347" s="180"/>
      <c r="J347" s="180"/>
      <c r="K347" s="180"/>
      <c r="L347" s="180"/>
      <c r="M347" s="181"/>
      <c r="N347" s="163" t="str">
        <f t="shared" si="25"/>
        <v/>
      </c>
      <c r="O347" s="126" t="str">
        <f t="shared" si="26"/>
        <v>-</v>
      </c>
      <c r="P347" s="164"/>
      <c r="Q347" s="164"/>
      <c r="R347" s="164"/>
      <c r="S347" s="164"/>
      <c r="T347" s="164"/>
      <c r="U347" s="164"/>
      <c r="V347" s="164"/>
    </row>
    <row r="348" spans="1:25" ht="27" customHeight="1">
      <c r="A348" s="192" t="str">
        <f>IF(ISBLANK(C348)," ",343-COUNTBLANK($C$6:C348))</f>
        <v xml:space="preserve"> </v>
      </c>
      <c r="B348" s="178"/>
      <c r="C348" s="178"/>
      <c r="D348" s="193"/>
      <c r="E348" s="193"/>
      <c r="F348" s="180"/>
      <c r="G348" s="180"/>
      <c r="H348" s="180"/>
      <c r="I348" s="180"/>
      <c r="J348" s="180"/>
      <c r="K348" s="180"/>
      <c r="L348" s="180"/>
      <c r="M348" s="181"/>
      <c r="N348" s="163" t="str">
        <f t="shared" si="25"/>
        <v/>
      </c>
      <c r="O348" s="126" t="str">
        <f t="shared" si="26"/>
        <v>-</v>
      </c>
      <c r="P348" s="164"/>
      <c r="Q348" s="164"/>
      <c r="R348" s="164"/>
      <c r="S348" s="164"/>
      <c r="T348" s="164"/>
      <c r="U348" s="164"/>
      <c r="V348" s="164"/>
    </row>
    <row r="349" spans="1:25" ht="27" customHeight="1">
      <c r="A349" s="192" t="str">
        <f>IF(ISBLANK(C349)," ",344-COUNTBLANK($C$6:C349))</f>
        <v xml:space="preserve"> </v>
      </c>
      <c r="B349" s="178"/>
      <c r="C349" s="178"/>
      <c r="D349" s="193"/>
      <c r="E349" s="193"/>
      <c r="F349" s="180"/>
      <c r="G349" s="180"/>
      <c r="H349" s="180"/>
      <c r="I349" s="180"/>
      <c r="J349" s="180"/>
      <c r="K349" s="180"/>
      <c r="L349" s="180"/>
      <c r="M349" s="181"/>
      <c r="N349" s="163" t="str">
        <f t="shared" si="25"/>
        <v/>
      </c>
      <c r="O349" s="126" t="str">
        <f t="shared" si="26"/>
        <v>-</v>
      </c>
      <c r="P349" s="164"/>
      <c r="Q349" s="164"/>
      <c r="R349" s="164"/>
      <c r="S349" s="164"/>
      <c r="T349" s="164"/>
      <c r="U349" s="164"/>
      <c r="V349" s="164"/>
    </row>
    <row r="350" spans="1:25" ht="27" customHeight="1">
      <c r="A350" s="192" t="str">
        <f>IF(ISBLANK(C350)," ",345-COUNTBLANK($C$6:C350))</f>
        <v xml:space="preserve"> </v>
      </c>
      <c r="B350" s="178"/>
      <c r="C350" s="178"/>
      <c r="D350" s="193"/>
      <c r="E350" s="193"/>
      <c r="F350" s="180"/>
      <c r="G350" s="180"/>
      <c r="H350" s="180"/>
      <c r="I350" s="180"/>
      <c r="J350" s="180"/>
      <c r="K350" s="180"/>
      <c r="L350" s="180"/>
      <c r="M350" s="181"/>
      <c r="N350" s="163" t="str">
        <f t="shared" si="25"/>
        <v/>
      </c>
      <c r="O350" s="126" t="str">
        <f t="shared" si="26"/>
        <v>-</v>
      </c>
      <c r="P350" s="164"/>
      <c r="Q350" s="164"/>
      <c r="R350" s="164"/>
      <c r="S350" s="164"/>
      <c r="T350" s="164"/>
      <c r="U350" s="164"/>
      <c r="V350" s="164"/>
    </row>
    <row r="351" spans="1:25" ht="27" customHeight="1">
      <c r="A351" s="192" t="str">
        <f>IF(ISBLANK(C351)," ",346-COUNTBLANK($C$6:C351))</f>
        <v xml:space="preserve"> </v>
      </c>
      <c r="B351" s="178"/>
      <c r="C351" s="178"/>
      <c r="D351" s="193"/>
      <c r="E351" s="193"/>
      <c r="F351" s="180"/>
      <c r="G351" s="180"/>
      <c r="H351" s="180"/>
      <c r="I351" s="180"/>
      <c r="J351" s="180"/>
      <c r="K351" s="180"/>
      <c r="L351" s="180"/>
      <c r="M351" s="181"/>
      <c r="N351" s="163" t="str">
        <f t="shared" si="25"/>
        <v/>
      </c>
      <c r="O351" s="126" t="str">
        <f t="shared" si="26"/>
        <v>-</v>
      </c>
      <c r="P351" s="164"/>
      <c r="Q351" s="164"/>
      <c r="R351" s="164"/>
      <c r="S351" s="164"/>
      <c r="T351" s="164"/>
      <c r="U351" s="164"/>
      <c r="V351" s="164"/>
    </row>
    <row r="352" spans="1:25" ht="27" customHeight="1">
      <c r="A352" s="192" t="str">
        <f>IF(ISBLANK(C352)," ",347-COUNTBLANK($C$6:C352))</f>
        <v xml:space="preserve"> </v>
      </c>
      <c r="B352" s="178"/>
      <c r="C352" s="178"/>
      <c r="D352" s="193"/>
      <c r="E352" s="193"/>
      <c r="F352" s="180"/>
      <c r="G352" s="180"/>
      <c r="H352" s="180"/>
      <c r="I352" s="180"/>
      <c r="J352" s="180"/>
      <c r="K352" s="180"/>
      <c r="L352" s="180"/>
      <c r="M352" s="181"/>
      <c r="N352" s="163" t="str">
        <f t="shared" si="25"/>
        <v/>
      </c>
      <c r="O352" s="126" t="str">
        <f t="shared" si="26"/>
        <v>-</v>
      </c>
      <c r="P352" s="164"/>
      <c r="Q352" s="164"/>
      <c r="R352" s="164"/>
      <c r="S352" s="164"/>
      <c r="T352" s="164"/>
      <c r="U352" s="164"/>
      <c r="V352" s="164"/>
    </row>
    <row r="353" spans="1:25" ht="27" customHeight="1">
      <c r="A353" s="192" t="str">
        <f>IF(ISBLANK(C353)," ",348-COUNTBLANK($C$6:C353))</f>
        <v xml:space="preserve"> </v>
      </c>
      <c r="B353" s="178"/>
      <c r="C353" s="178"/>
      <c r="D353" s="193"/>
      <c r="E353" s="193"/>
      <c r="F353" s="180"/>
      <c r="G353" s="180"/>
      <c r="H353" s="180"/>
      <c r="I353" s="180"/>
      <c r="J353" s="180"/>
      <c r="K353" s="180"/>
      <c r="L353" s="180"/>
      <c r="M353" s="181"/>
      <c r="N353" s="163" t="str">
        <f t="shared" si="25"/>
        <v/>
      </c>
      <c r="O353" s="126" t="str">
        <f t="shared" si="26"/>
        <v>-</v>
      </c>
      <c r="P353" s="164"/>
      <c r="Q353" s="164"/>
      <c r="R353" s="164"/>
      <c r="S353" s="164"/>
      <c r="T353" s="164"/>
      <c r="U353" s="164"/>
      <c r="V353" s="164"/>
    </row>
    <row r="354" spans="1:25" ht="27" customHeight="1">
      <c r="A354" s="192" t="str">
        <f>IF(ISBLANK(C354)," ",349-COUNTBLANK($C$6:C354))</f>
        <v xml:space="preserve"> </v>
      </c>
      <c r="B354" s="178"/>
      <c r="C354" s="178"/>
      <c r="D354" s="193"/>
      <c r="E354" s="193"/>
      <c r="F354" s="180"/>
      <c r="G354" s="180"/>
      <c r="H354" s="180"/>
      <c r="I354" s="180"/>
      <c r="J354" s="180"/>
      <c r="K354" s="180"/>
      <c r="L354" s="180"/>
      <c r="M354" s="181"/>
      <c r="N354" s="163" t="str">
        <f t="shared" si="25"/>
        <v/>
      </c>
      <c r="O354" s="126" t="str">
        <f t="shared" si="26"/>
        <v>-</v>
      </c>
      <c r="P354" s="164"/>
      <c r="Q354" s="164"/>
      <c r="R354" s="164"/>
      <c r="S354" s="164"/>
      <c r="T354" s="164"/>
      <c r="U354" s="164"/>
      <c r="V354" s="164"/>
    </row>
    <row r="355" spans="1:25" ht="27" customHeight="1">
      <c r="A355" s="192" t="str">
        <f>IF(ISBLANK(C355)," ",350-COUNTBLANK($C$6:C355))</f>
        <v xml:space="preserve"> </v>
      </c>
      <c r="B355" s="178"/>
      <c r="C355" s="178"/>
      <c r="D355" s="193"/>
      <c r="E355" s="193"/>
      <c r="F355" s="180"/>
      <c r="G355" s="180"/>
      <c r="H355" s="180"/>
      <c r="I355" s="180"/>
      <c r="J355" s="180"/>
      <c r="K355" s="180"/>
      <c r="L355" s="180"/>
      <c r="M355" s="181"/>
      <c r="N355" s="163" t="str">
        <f t="shared" si="25"/>
        <v/>
      </c>
      <c r="O355" s="126" t="str">
        <f t="shared" si="26"/>
        <v>-</v>
      </c>
      <c r="P355" s="164"/>
      <c r="Q355" s="164"/>
      <c r="R355" s="164"/>
      <c r="S355" s="164"/>
      <c r="T355" s="164"/>
      <c r="U355" s="164"/>
      <c r="V355" s="164"/>
    </row>
    <row r="356" spans="1:25" ht="27" customHeight="1">
      <c r="A356" s="192" t="str">
        <f>IF(ISBLANK(C356)," ",351-COUNTBLANK($C$6:C356))</f>
        <v xml:space="preserve"> </v>
      </c>
      <c r="B356" s="178"/>
      <c r="C356" s="178"/>
      <c r="D356" s="193"/>
      <c r="E356" s="193"/>
      <c r="F356" s="180"/>
      <c r="G356" s="180"/>
      <c r="H356" s="180"/>
      <c r="I356" s="180"/>
      <c r="J356" s="180"/>
      <c r="K356" s="180"/>
      <c r="L356" s="180"/>
      <c r="M356" s="181"/>
      <c r="N356" s="163" t="str">
        <f t="shared" si="25"/>
        <v/>
      </c>
      <c r="O356" s="126" t="str">
        <f t="shared" si="26"/>
        <v>-</v>
      </c>
      <c r="P356" s="164"/>
      <c r="Q356" s="164"/>
      <c r="R356" s="164"/>
      <c r="S356" s="164"/>
      <c r="T356" s="164"/>
      <c r="U356" s="164"/>
      <c r="V356" s="164"/>
    </row>
    <row r="357" spans="1:25" ht="27" customHeight="1">
      <c r="A357" s="192" t="str">
        <f>IF(ISBLANK(C357)," ",352-COUNTBLANK($C$6:C357))</f>
        <v xml:space="preserve"> </v>
      </c>
      <c r="B357" s="178"/>
      <c r="C357" s="178"/>
      <c r="D357" s="193"/>
      <c r="E357" s="193"/>
      <c r="F357" s="180"/>
      <c r="G357" s="180"/>
      <c r="H357" s="180"/>
      <c r="I357" s="180"/>
      <c r="J357" s="180"/>
      <c r="K357" s="180"/>
      <c r="L357" s="180"/>
      <c r="M357" s="181"/>
      <c r="N357" s="163" t="str">
        <f t="shared" si="25"/>
        <v/>
      </c>
      <c r="O357" s="126" t="str">
        <f t="shared" si="26"/>
        <v>-</v>
      </c>
      <c r="P357" s="164"/>
      <c r="Q357" s="164"/>
      <c r="R357" s="164"/>
      <c r="S357" s="164"/>
      <c r="T357" s="164"/>
      <c r="U357" s="164"/>
      <c r="V357" s="165"/>
    </row>
    <row r="358" spans="1:25" ht="27" customHeight="1">
      <c r="A358" s="192" t="str">
        <f>IF(ISBLANK(C358)," ",353-COUNTBLANK($C$6:C358))</f>
        <v xml:space="preserve"> </v>
      </c>
      <c r="B358" s="178"/>
      <c r="C358" s="178"/>
      <c r="D358" s="193"/>
      <c r="E358" s="193"/>
      <c r="F358" s="180"/>
      <c r="G358" s="180"/>
      <c r="H358" s="180"/>
      <c r="I358" s="180"/>
      <c r="J358" s="180"/>
      <c r="K358" s="180"/>
      <c r="L358" s="180"/>
      <c r="M358" s="181"/>
      <c r="N358" s="163" t="str">
        <f t="shared" si="25"/>
        <v/>
      </c>
      <c r="O358" s="126" t="str">
        <f t="shared" si="26"/>
        <v>-</v>
      </c>
      <c r="P358" s="164"/>
      <c r="Q358" s="164"/>
      <c r="R358" s="164"/>
      <c r="S358" s="164"/>
      <c r="T358" s="164"/>
      <c r="U358" s="164"/>
      <c r="V358" s="165"/>
    </row>
    <row r="359" spans="1:25" ht="27" customHeight="1">
      <c r="A359" s="192" t="str">
        <f>IF(ISBLANK(C359)," ",354-COUNTBLANK($C$6:C359))</f>
        <v xml:space="preserve"> </v>
      </c>
      <c r="B359" s="178"/>
      <c r="C359" s="178"/>
      <c r="D359" s="193"/>
      <c r="E359" s="193"/>
      <c r="F359" s="180"/>
      <c r="G359" s="180"/>
      <c r="H359" s="180"/>
      <c r="I359" s="180"/>
      <c r="J359" s="180"/>
      <c r="K359" s="180"/>
      <c r="L359" s="180"/>
      <c r="M359" s="181"/>
      <c r="N359" s="163" t="str">
        <f t="shared" si="25"/>
        <v/>
      </c>
      <c r="O359" s="126" t="str">
        <f t="shared" si="26"/>
        <v>-</v>
      </c>
      <c r="P359" s="164"/>
      <c r="Q359" s="164"/>
      <c r="R359" s="164"/>
      <c r="S359" s="164"/>
      <c r="T359" s="164"/>
      <c r="U359" s="164"/>
      <c r="V359" s="165"/>
    </row>
    <row r="360" spans="1:25" ht="27" customHeight="1">
      <c r="A360" s="192" t="str">
        <f>IF(ISBLANK(C360)," ",355-COUNTBLANK($C$6:C360))</f>
        <v xml:space="preserve"> </v>
      </c>
      <c r="B360" s="178"/>
      <c r="C360" s="178"/>
      <c r="D360" s="193"/>
      <c r="E360" s="193"/>
      <c r="F360" s="180"/>
      <c r="G360" s="180"/>
      <c r="H360" s="180"/>
      <c r="I360" s="180"/>
      <c r="J360" s="180"/>
      <c r="K360" s="180"/>
      <c r="L360" s="180"/>
      <c r="M360" s="181"/>
      <c r="N360" s="163" t="str">
        <f t="shared" si="25"/>
        <v/>
      </c>
      <c r="O360" s="126" t="str">
        <f t="shared" si="26"/>
        <v>-</v>
      </c>
      <c r="P360" s="164"/>
      <c r="Q360" s="164"/>
      <c r="R360" s="164"/>
      <c r="S360" s="164"/>
      <c r="T360" s="164"/>
      <c r="U360" s="164"/>
      <c r="V360" s="165"/>
    </row>
    <row r="361" spans="1:25" ht="27" customHeight="1">
      <c r="A361" s="192" t="str">
        <f>IF(ISBLANK(C361)," ",356-COUNTBLANK($C$6:C361))</f>
        <v xml:space="preserve"> </v>
      </c>
      <c r="B361" s="178"/>
      <c r="C361" s="178"/>
      <c r="D361" s="193"/>
      <c r="E361" s="193"/>
      <c r="F361" s="180"/>
      <c r="G361" s="180"/>
      <c r="H361" s="180"/>
      <c r="I361" s="180"/>
      <c r="J361" s="180"/>
      <c r="K361" s="180"/>
      <c r="L361" s="180"/>
      <c r="M361" s="181"/>
      <c r="N361" s="163" t="str">
        <f t="shared" si="25"/>
        <v/>
      </c>
      <c r="O361" s="126" t="str">
        <f t="shared" si="26"/>
        <v>-</v>
      </c>
      <c r="P361" s="164"/>
      <c r="Q361" s="164"/>
      <c r="R361" s="164"/>
      <c r="S361" s="164"/>
      <c r="T361" s="164"/>
      <c r="U361" s="164"/>
      <c r="V361" s="166"/>
      <c r="W361" s="164"/>
      <c r="X361" s="164"/>
      <c r="Y361" s="164"/>
    </row>
    <row r="362" spans="1:25" ht="27" customHeight="1">
      <c r="A362" s="172" t="s">
        <v>44</v>
      </c>
      <c r="B362" s="173"/>
      <c r="C362" s="174"/>
      <c r="D362" s="194"/>
      <c r="E362" s="194">
        <f>SUM(E342:E361)</f>
        <v>0</v>
      </c>
      <c r="F362" s="176"/>
      <c r="G362" s="176"/>
      <c r="H362" s="176"/>
      <c r="I362" s="176"/>
      <c r="J362" s="176"/>
      <c r="K362" s="176"/>
      <c r="L362" s="176"/>
      <c r="M362" s="177"/>
      <c r="N362" s="163" t="str">
        <f t="shared" si="25"/>
        <v/>
      </c>
      <c r="O362" s="126"/>
      <c r="P362" s="164"/>
      <c r="Q362" s="164"/>
      <c r="R362" s="164"/>
      <c r="S362" s="164"/>
      <c r="T362" s="164"/>
      <c r="U362" s="164"/>
      <c r="V362" s="166"/>
      <c r="W362" s="164"/>
      <c r="X362" s="164"/>
      <c r="Y362" s="164"/>
    </row>
    <row r="363" spans="1:25" ht="27" customHeight="1">
      <c r="A363" s="187" t="str">
        <f>IF(ISBLANK(C363)," ",358-COUNTBLANK($C$6:C363))</f>
        <v xml:space="preserve"> </v>
      </c>
      <c r="B363" s="188"/>
      <c r="C363" s="188"/>
      <c r="D363" s="189"/>
      <c r="E363" s="189"/>
      <c r="F363" s="190"/>
      <c r="G363" s="190"/>
      <c r="H363" s="190"/>
      <c r="I363" s="190"/>
      <c r="J363" s="190"/>
      <c r="K363" s="190"/>
      <c r="L363" s="190"/>
      <c r="M363" s="191"/>
      <c r="N363" s="163" t="str">
        <f>CONCATENATE(C363,H363)</f>
        <v/>
      </c>
      <c r="O363" s="126" t="str">
        <f>IF(D363&gt;=E363,"-","ERR")</f>
        <v>-</v>
      </c>
      <c r="P363" s="164"/>
      <c r="Q363" s="164"/>
      <c r="R363" s="164"/>
      <c r="S363" s="164"/>
      <c r="T363" s="164"/>
      <c r="U363" s="164"/>
      <c r="V363" s="164"/>
    </row>
    <row r="364" spans="1:25" ht="27" customHeight="1">
      <c r="A364" s="192" t="str">
        <f>IF(ISBLANK(C364)," ",359-COUNTBLANK($C$6:C364))</f>
        <v xml:space="preserve"> </v>
      </c>
      <c r="B364" s="178"/>
      <c r="C364" s="178"/>
      <c r="D364" s="193"/>
      <c r="E364" s="193"/>
      <c r="F364" s="180"/>
      <c r="G364" s="180"/>
      <c r="H364" s="180"/>
      <c r="I364" s="180"/>
      <c r="J364" s="180"/>
      <c r="K364" s="180"/>
      <c r="L364" s="180"/>
      <c r="M364" s="181"/>
      <c r="N364" s="163" t="str">
        <f t="shared" ref="N364:N383" si="27">CONCATENATE(C364,H364)</f>
        <v/>
      </c>
      <c r="O364" s="126" t="str">
        <f t="shared" ref="O364:O382" si="28">IF(D364&gt;=E364,"-","ERR")</f>
        <v>-</v>
      </c>
      <c r="P364" s="164"/>
      <c r="Q364" s="164"/>
      <c r="R364" s="164"/>
      <c r="S364" s="164"/>
      <c r="T364" s="164"/>
      <c r="U364" s="164"/>
      <c r="V364" s="164"/>
    </row>
    <row r="365" spans="1:25" ht="27" customHeight="1">
      <c r="A365" s="192" t="str">
        <f>IF(ISBLANK(C365)," ",360-COUNTBLANK($C$6:C365))</f>
        <v xml:space="preserve"> </v>
      </c>
      <c r="B365" s="178"/>
      <c r="C365" s="178"/>
      <c r="D365" s="193"/>
      <c r="E365" s="193"/>
      <c r="F365" s="180"/>
      <c r="G365" s="180"/>
      <c r="H365" s="180"/>
      <c r="I365" s="180"/>
      <c r="J365" s="180"/>
      <c r="K365" s="180"/>
      <c r="L365" s="180"/>
      <c r="M365" s="181"/>
      <c r="N365" s="163" t="str">
        <f t="shared" si="27"/>
        <v/>
      </c>
      <c r="O365" s="126" t="str">
        <f t="shared" si="28"/>
        <v>-</v>
      </c>
      <c r="P365" s="164"/>
      <c r="Q365" s="164"/>
      <c r="R365" s="164"/>
      <c r="S365" s="164"/>
      <c r="T365" s="164"/>
      <c r="U365" s="164"/>
      <c r="V365" s="164"/>
    </row>
    <row r="366" spans="1:25" ht="27" customHeight="1">
      <c r="A366" s="192" t="str">
        <f>IF(ISBLANK(C366)," ",361-COUNTBLANK($C$6:C366))</f>
        <v xml:space="preserve"> </v>
      </c>
      <c r="B366" s="178"/>
      <c r="C366" s="178"/>
      <c r="D366" s="193"/>
      <c r="E366" s="193"/>
      <c r="F366" s="180"/>
      <c r="G366" s="180"/>
      <c r="H366" s="180"/>
      <c r="I366" s="180"/>
      <c r="J366" s="180"/>
      <c r="K366" s="180"/>
      <c r="L366" s="180"/>
      <c r="M366" s="181"/>
      <c r="N366" s="163" t="str">
        <f t="shared" si="27"/>
        <v/>
      </c>
      <c r="O366" s="126" t="str">
        <f t="shared" si="28"/>
        <v>-</v>
      </c>
      <c r="P366" s="164"/>
      <c r="Q366" s="164"/>
      <c r="R366" s="164"/>
      <c r="S366" s="164"/>
      <c r="T366" s="164"/>
      <c r="U366" s="164"/>
      <c r="V366" s="164"/>
    </row>
    <row r="367" spans="1:25" ht="27" customHeight="1">
      <c r="A367" s="192" t="str">
        <f>IF(ISBLANK(C367)," ",362-COUNTBLANK($C$6:C367))</f>
        <v xml:space="preserve"> </v>
      </c>
      <c r="B367" s="178"/>
      <c r="C367" s="178"/>
      <c r="D367" s="193"/>
      <c r="E367" s="193"/>
      <c r="F367" s="180"/>
      <c r="G367" s="180"/>
      <c r="H367" s="180"/>
      <c r="I367" s="180"/>
      <c r="J367" s="180"/>
      <c r="K367" s="180"/>
      <c r="L367" s="180"/>
      <c r="M367" s="181"/>
      <c r="N367" s="163" t="str">
        <f t="shared" si="27"/>
        <v/>
      </c>
      <c r="O367" s="126" t="str">
        <f t="shared" si="28"/>
        <v>-</v>
      </c>
      <c r="P367" s="164"/>
      <c r="Q367" s="164"/>
      <c r="R367" s="164"/>
      <c r="S367" s="164"/>
      <c r="T367" s="164"/>
      <c r="U367" s="164"/>
      <c r="V367" s="164"/>
    </row>
    <row r="368" spans="1:25" ht="27" customHeight="1">
      <c r="A368" s="192" t="str">
        <f>IF(ISBLANK(C368)," ",363-COUNTBLANK($C$6:C368))</f>
        <v xml:space="preserve"> </v>
      </c>
      <c r="B368" s="178"/>
      <c r="C368" s="178"/>
      <c r="D368" s="193"/>
      <c r="E368" s="193"/>
      <c r="F368" s="180"/>
      <c r="G368" s="180"/>
      <c r="H368" s="180"/>
      <c r="I368" s="180"/>
      <c r="J368" s="180"/>
      <c r="K368" s="180"/>
      <c r="L368" s="180"/>
      <c r="M368" s="181"/>
      <c r="N368" s="163" t="str">
        <f t="shared" si="27"/>
        <v/>
      </c>
      <c r="O368" s="126" t="str">
        <f t="shared" si="28"/>
        <v>-</v>
      </c>
      <c r="P368" s="164"/>
      <c r="Q368" s="164"/>
      <c r="R368" s="164"/>
      <c r="S368" s="164"/>
      <c r="T368" s="164"/>
      <c r="U368" s="164"/>
      <c r="V368" s="164"/>
    </row>
    <row r="369" spans="1:25" ht="27" customHeight="1">
      <c r="A369" s="192" t="str">
        <f>IF(ISBLANK(C369)," ",364-COUNTBLANK($C$6:C369))</f>
        <v xml:space="preserve"> </v>
      </c>
      <c r="B369" s="178"/>
      <c r="C369" s="178"/>
      <c r="D369" s="193"/>
      <c r="E369" s="193"/>
      <c r="F369" s="180"/>
      <c r="G369" s="180"/>
      <c r="H369" s="180"/>
      <c r="I369" s="180"/>
      <c r="J369" s="180"/>
      <c r="K369" s="180"/>
      <c r="L369" s="180"/>
      <c r="M369" s="181"/>
      <c r="N369" s="163" t="str">
        <f t="shared" si="27"/>
        <v/>
      </c>
      <c r="O369" s="126" t="str">
        <f t="shared" si="28"/>
        <v>-</v>
      </c>
      <c r="P369" s="164"/>
      <c r="Q369" s="164"/>
      <c r="R369" s="164"/>
      <c r="S369" s="164"/>
      <c r="T369" s="164"/>
      <c r="U369" s="164"/>
      <c r="V369" s="164"/>
    </row>
    <row r="370" spans="1:25" ht="27" customHeight="1">
      <c r="A370" s="192" t="str">
        <f>IF(ISBLANK(C370)," ",365-COUNTBLANK($C$6:C370))</f>
        <v xml:space="preserve"> </v>
      </c>
      <c r="B370" s="178"/>
      <c r="C370" s="178"/>
      <c r="D370" s="193"/>
      <c r="E370" s="193"/>
      <c r="F370" s="180"/>
      <c r="G370" s="180"/>
      <c r="H370" s="180"/>
      <c r="I370" s="180"/>
      <c r="J370" s="180"/>
      <c r="K370" s="180"/>
      <c r="L370" s="180"/>
      <c r="M370" s="181"/>
      <c r="N370" s="163" t="str">
        <f t="shared" si="27"/>
        <v/>
      </c>
      <c r="O370" s="126" t="str">
        <f t="shared" si="28"/>
        <v>-</v>
      </c>
      <c r="P370" s="164"/>
      <c r="Q370" s="164"/>
      <c r="R370" s="164"/>
      <c r="S370" s="164"/>
      <c r="T370" s="164"/>
      <c r="U370" s="164"/>
      <c r="V370" s="164"/>
    </row>
    <row r="371" spans="1:25" ht="27" customHeight="1">
      <c r="A371" s="192" t="str">
        <f>IF(ISBLANK(C371)," ",366-COUNTBLANK($C$6:C371))</f>
        <v xml:space="preserve"> </v>
      </c>
      <c r="B371" s="178"/>
      <c r="C371" s="178"/>
      <c r="D371" s="193"/>
      <c r="E371" s="193"/>
      <c r="F371" s="180"/>
      <c r="G371" s="180"/>
      <c r="H371" s="180"/>
      <c r="I371" s="180"/>
      <c r="J371" s="180"/>
      <c r="K371" s="180"/>
      <c r="L371" s="180"/>
      <c r="M371" s="181"/>
      <c r="N371" s="163" t="str">
        <f t="shared" si="27"/>
        <v/>
      </c>
      <c r="O371" s="126" t="str">
        <f t="shared" si="28"/>
        <v>-</v>
      </c>
      <c r="P371" s="164"/>
      <c r="Q371" s="164"/>
      <c r="R371" s="164"/>
      <c r="S371" s="164"/>
      <c r="T371" s="164"/>
      <c r="U371" s="164"/>
      <c r="V371" s="164"/>
    </row>
    <row r="372" spans="1:25" ht="27" customHeight="1">
      <c r="A372" s="192" t="str">
        <f>IF(ISBLANK(C372)," ",367-COUNTBLANK($C$6:C372))</f>
        <v xml:space="preserve"> </v>
      </c>
      <c r="B372" s="178"/>
      <c r="C372" s="178"/>
      <c r="D372" s="193"/>
      <c r="E372" s="193"/>
      <c r="F372" s="180"/>
      <c r="G372" s="180"/>
      <c r="H372" s="180"/>
      <c r="I372" s="180"/>
      <c r="J372" s="180"/>
      <c r="K372" s="180"/>
      <c r="L372" s="180"/>
      <c r="M372" s="181"/>
      <c r="N372" s="163" t="str">
        <f t="shared" si="27"/>
        <v/>
      </c>
      <c r="O372" s="126" t="str">
        <f t="shared" si="28"/>
        <v>-</v>
      </c>
      <c r="P372" s="164"/>
      <c r="Q372" s="164"/>
      <c r="R372" s="164"/>
      <c r="S372" s="164"/>
      <c r="T372" s="164"/>
      <c r="U372" s="164"/>
      <c r="V372" s="164"/>
    </row>
    <row r="373" spans="1:25" ht="27" customHeight="1">
      <c r="A373" s="192" t="str">
        <f>IF(ISBLANK(C373)," ",368-COUNTBLANK($C$6:C373))</f>
        <v xml:space="preserve"> </v>
      </c>
      <c r="B373" s="178"/>
      <c r="C373" s="178"/>
      <c r="D373" s="193"/>
      <c r="E373" s="193"/>
      <c r="F373" s="180"/>
      <c r="G373" s="180"/>
      <c r="H373" s="180"/>
      <c r="I373" s="180"/>
      <c r="J373" s="180"/>
      <c r="K373" s="180"/>
      <c r="L373" s="180"/>
      <c r="M373" s="181"/>
      <c r="N373" s="163" t="str">
        <f t="shared" si="27"/>
        <v/>
      </c>
      <c r="O373" s="126" t="str">
        <f t="shared" si="28"/>
        <v>-</v>
      </c>
      <c r="P373" s="164"/>
      <c r="Q373" s="164"/>
      <c r="R373" s="164"/>
      <c r="S373" s="164"/>
      <c r="T373" s="164"/>
      <c r="U373" s="164"/>
      <c r="V373" s="164"/>
    </row>
    <row r="374" spans="1:25" ht="27" customHeight="1">
      <c r="A374" s="192" t="str">
        <f>IF(ISBLANK(C374)," ",369-COUNTBLANK($C$6:C374))</f>
        <v xml:space="preserve"> </v>
      </c>
      <c r="B374" s="178"/>
      <c r="C374" s="178"/>
      <c r="D374" s="193"/>
      <c r="E374" s="193"/>
      <c r="F374" s="180"/>
      <c r="G374" s="180"/>
      <c r="H374" s="180"/>
      <c r="I374" s="180"/>
      <c r="J374" s="180"/>
      <c r="K374" s="180"/>
      <c r="L374" s="180"/>
      <c r="M374" s="181"/>
      <c r="N374" s="163" t="str">
        <f t="shared" si="27"/>
        <v/>
      </c>
      <c r="O374" s="126" t="str">
        <f t="shared" si="28"/>
        <v>-</v>
      </c>
      <c r="P374" s="164"/>
      <c r="Q374" s="164"/>
      <c r="R374" s="164"/>
      <c r="S374" s="164"/>
      <c r="T374" s="164"/>
      <c r="U374" s="164"/>
      <c r="V374" s="164"/>
    </row>
    <row r="375" spans="1:25" ht="27" customHeight="1">
      <c r="A375" s="192" t="str">
        <f>IF(ISBLANK(C375)," ",370-COUNTBLANK($C$6:C375))</f>
        <v xml:space="preserve"> </v>
      </c>
      <c r="B375" s="178"/>
      <c r="C375" s="178"/>
      <c r="D375" s="193"/>
      <c r="E375" s="193"/>
      <c r="F375" s="180"/>
      <c r="G375" s="180"/>
      <c r="H375" s="180"/>
      <c r="I375" s="180"/>
      <c r="J375" s="180"/>
      <c r="K375" s="180"/>
      <c r="L375" s="180"/>
      <c r="M375" s="181"/>
      <c r="N375" s="163" t="str">
        <f t="shared" si="27"/>
        <v/>
      </c>
      <c r="O375" s="126" t="str">
        <f t="shared" si="28"/>
        <v>-</v>
      </c>
      <c r="P375" s="164"/>
      <c r="Q375" s="164"/>
      <c r="R375" s="164"/>
      <c r="S375" s="164"/>
      <c r="T375" s="164"/>
      <c r="U375" s="164"/>
      <c r="V375" s="164"/>
    </row>
    <row r="376" spans="1:25" ht="27" customHeight="1">
      <c r="A376" s="192" t="str">
        <f>IF(ISBLANK(C376)," ",371-COUNTBLANK($C$6:C376))</f>
        <v xml:space="preserve"> </v>
      </c>
      <c r="B376" s="178"/>
      <c r="C376" s="178"/>
      <c r="D376" s="193"/>
      <c r="E376" s="193"/>
      <c r="F376" s="180"/>
      <c r="G376" s="180"/>
      <c r="H376" s="180"/>
      <c r="I376" s="180"/>
      <c r="J376" s="180"/>
      <c r="K376" s="180"/>
      <c r="L376" s="180"/>
      <c r="M376" s="181"/>
      <c r="N376" s="163" t="str">
        <f t="shared" si="27"/>
        <v/>
      </c>
      <c r="O376" s="126" t="str">
        <f t="shared" si="28"/>
        <v>-</v>
      </c>
      <c r="P376" s="164"/>
      <c r="Q376" s="164"/>
      <c r="R376" s="164"/>
      <c r="S376" s="164"/>
      <c r="T376" s="164"/>
      <c r="U376" s="164"/>
      <c r="V376" s="164"/>
    </row>
    <row r="377" spans="1:25" ht="27" customHeight="1">
      <c r="A377" s="192" t="str">
        <f>IF(ISBLANK(C377)," ",372-COUNTBLANK($C$6:C377))</f>
        <v xml:space="preserve"> </v>
      </c>
      <c r="B377" s="178"/>
      <c r="C377" s="178"/>
      <c r="D377" s="193"/>
      <c r="E377" s="193"/>
      <c r="F377" s="180"/>
      <c r="G377" s="180"/>
      <c r="H377" s="180"/>
      <c r="I377" s="180"/>
      <c r="J377" s="180"/>
      <c r="K377" s="180"/>
      <c r="L377" s="180"/>
      <c r="M377" s="181"/>
      <c r="N377" s="163" t="str">
        <f t="shared" si="27"/>
        <v/>
      </c>
      <c r="O377" s="126" t="str">
        <f t="shared" si="28"/>
        <v>-</v>
      </c>
      <c r="P377" s="164"/>
      <c r="Q377" s="164"/>
      <c r="R377" s="164"/>
      <c r="S377" s="164"/>
      <c r="T377" s="164"/>
      <c r="U377" s="164"/>
      <c r="V377" s="164"/>
    </row>
    <row r="378" spans="1:25" ht="27" customHeight="1">
      <c r="A378" s="192" t="str">
        <f>IF(ISBLANK(C378)," ",373-COUNTBLANK($C$6:C378))</f>
        <v xml:space="preserve"> </v>
      </c>
      <c r="B378" s="178"/>
      <c r="C378" s="178"/>
      <c r="D378" s="193"/>
      <c r="E378" s="193"/>
      <c r="F378" s="180"/>
      <c r="G378" s="180"/>
      <c r="H378" s="180"/>
      <c r="I378" s="180"/>
      <c r="J378" s="180"/>
      <c r="K378" s="180"/>
      <c r="L378" s="180"/>
      <c r="M378" s="181"/>
      <c r="N378" s="163" t="str">
        <f t="shared" si="27"/>
        <v/>
      </c>
      <c r="O378" s="126" t="str">
        <f t="shared" si="28"/>
        <v>-</v>
      </c>
      <c r="P378" s="164"/>
      <c r="Q378" s="164"/>
      <c r="R378" s="164"/>
      <c r="S378" s="164"/>
      <c r="T378" s="164"/>
      <c r="U378" s="164"/>
      <c r="V378" s="165"/>
    </row>
    <row r="379" spans="1:25" ht="27" customHeight="1">
      <c r="A379" s="192" t="str">
        <f>IF(ISBLANK(C379)," ",374-COUNTBLANK($C$6:C379))</f>
        <v xml:space="preserve"> </v>
      </c>
      <c r="B379" s="178"/>
      <c r="C379" s="178"/>
      <c r="D379" s="193"/>
      <c r="E379" s="193"/>
      <c r="F379" s="180"/>
      <c r="G379" s="180"/>
      <c r="H379" s="180"/>
      <c r="I379" s="180"/>
      <c r="J379" s="180"/>
      <c r="K379" s="180"/>
      <c r="L379" s="180"/>
      <c r="M379" s="181"/>
      <c r="N379" s="163" t="str">
        <f t="shared" si="27"/>
        <v/>
      </c>
      <c r="O379" s="126" t="str">
        <f t="shared" si="28"/>
        <v>-</v>
      </c>
      <c r="P379" s="164"/>
      <c r="Q379" s="164"/>
      <c r="R379" s="164"/>
      <c r="S379" s="164"/>
      <c r="T379" s="164"/>
      <c r="U379" s="164"/>
      <c r="V379" s="165"/>
    </row>
    <row r="380" spans="1:25" ht="27" customHeight="1">
      <c r="A380" s="192" t="str">
        <f>IF(ISBLANK(C380)," ",375-COUNTBLANK($C$6:C380))</f>
        <v xml:space="preserve"> </v>
      </c>
      <c r="B380" s="178"/>
      <c r="C380" s="178"/>
      <c r="D380" s="193"/>
      <c r="E380" s="193"/>
      <c r="F380" s="180"/>
      <c r="G380" s="180"/>
      <c r="H380" s="180"/>
      <c r="I380" s="180"/>
      <c r="J380" s="180"/>
      <c r="K380" s="180"/>
      <c r="L380" s="180"/>
      <c r="M380" s="181"/>
      <c r="N380" s="163" t="str">
        <f t="shared" si="27"/>
        <v/>
      </c>
      <c r="O380" s="126" t="str">
        <f t="shared" si="28"/>
        <v>-</v>
      </c>
      <c r="P380" s="164"/>
      <c r="Q380" s="164"/>
      <c r="R380" s="164"/>
      <c r="S380" s="164"/>
      <c r="T380" s="164"/>
      <c r="U380" s="164"/>
      <c r="V380" s="165"/>
    </row>
    <row r="381" spans="1:25" ht="27" customHeight="1">
      <c r="A381" s="192" t="str">
        <f>IF(ISBLANK(C381)," ",376-COUNTBLANK($C$6:C381))</f>
        <v xml:space="preserve"> </v>
      </c>
      <c r="B381" s="178"/>
      <c r="C381" s="178"/>
      <c r="D381" s="193"/>
      <c r="E381" s="193"/>
      <c r="F381" s="180"/>
      <c r="G381" s="180"/>
      <c r="H381" s="180"/>
      <c r="I381" s="180"/>
      <c r="J381" s="180"/>
      <c r="K381" s="180"/>
      <c r="L381" s="180"/>
      <c r="M381" s="181"/>
      <c r="N381" s="163" t="str">
        <f t="shared" si="27"/>
        <v/>
      </c>
      <c r="O381" s="126" t="str">
        <f t="shared" si="28"/>
        <v>-</v>
      </c>
      <c r="P381" s="164"/>
      <c r="Q381" s="164"/>
      <c r="R381" s="164"/>
      <c r="S381" s="164"/>
      <c r="T381" s="164"/>
      <c r="U381" s="164"/>
      <c r="V381" s="165"/>
    </row>
    <row r="382" spans="1:25" ht="27" customHeight="1">
      <c r="A382" s="192" t="str">
        <f>IF(ISBLANK(C382)," ",377-COUNTBLANK($C$6:C382))</f>
        <v xml:space="preserve"> </v>
      </c>
      <c r="B382" s="178"/>
      <c r="C382" s="178"/>
      <c r="D382" s="193"/>
      <c r="E382" s="193"/>
      <c r="F382" s="180"/>
      <c r="G382" s="180"/>
      <c r="H382" s="180"/>
      <c r="I382" s="180"/>
      <c r="J382" s="180"/>
      <c r="K382" s="180"/>
      <c r="L382" s="180"/>
      <c r="M382" s="181"/>
      <c r="N382" s="163" t="str">
        <f t="shared" si="27"/>
        <v/>
      </c>
      <c r="O382" s="126" t="str">
        <f t="shared" si="28"/>
        <v>-</v>
      </c>
      <c r="P382" s="164"/>
      <c r="Q382" s="164"/>
      <c r="R382" s="164"/>
      <c r="S382" s="164"/>
      <c r="T382" s="164"/>
      <c r="U382" s="164"/>
      <c r="V382" s="166"/>
      <c r="W382" s="164"/>
      <c r="X382" s="164"/>
      <c r="Y382" s="164"/>
    </row>
    <row r="383" spans="1:25" ht="27" customHeight="1">
      <c r="A383" s="172" t="s">
        <v>44</v>
      </c>
      <c r="B383" s="173"/>
      <c r="C383" s="174"/>
      <c r="D383" s="194"/>
      <c r="E383" s="194">
        <f>SUM(E363:E382)</f>
        <v>0</v>
      </c>
      <c r="F383" s="176"/>
      <c r="G383" s="176"/>
      <c r="H383" s="176"/>
      <c r="I383" s="176"/>
      <c r="J383" s="176"/>
      <c r="K383" s="176"/>
      <c r="L383" s="176"/>
      <c r="M383" s="177"/>
      <c r="N383" s="163" t="str">
        <f t="shared" si="27"/>
        <v/>
      </c>
      <c r="O383" s="126"/>
      <c r="P383" s="164"/>
      <c r="Q383" s="164"/>
      <c r="R383" s="164"/>
      <c r="S383" s="164"/>
      <c r="T383" s="164"/>
      <c r="U383" s="164"/>
      <c r="V383" s="166"/>
      <c r="W383" s="164"/>
      <c r="X383" s="164"/>
      <c r="Y383" s="164"/>
    </row>
    <row r="384" spans="1:25" ht="27" customHeight="1">
      <c r="A384" s="187" t="str">
        <f>IF(ISBLANK(C384)," ",379-COUNTBLANK($C$6:C384))</f>
        <v xml:space="preserve"> </v>
      </c>
      <c r="B384" s="188"/>
      <c r="C384" s="188"/>
      <c r="D384" s="189"/>
      <c r="E384" s="189"/>
      <c r="F384" s="190"/>
      <c r="G384" s="190"/>
      <c r="H384" s="190"/>
      <c r="I384" s="190"/>
      <c r="J384" s="190"/>
      <c r="K384" s="190"/>
      <c r="L384" s="190"/>
      <c r="M384" s="191"/>
      <c r="N384" s="163" t="str">
        <f>CONCATENATE(C384,H384)</f>
        <v/>
      </c>
      <c r="O384" s="126" t="str">
        <f>IF(D384&gt;=E384,"-","ERR")</f>
        <v>-</v>
      </c>
      <c r="P384" s="164"/>
      <c r="Q384" s="164"/>
      <c r="R384" s="164"/>
      <c r="S384" s="164"/>
      <c r="T384" s="164"/>
      <c r="U384" s="164"/>
      <c r="V384" s="164"/>
    </row>
    <row r="385" spans="1:22" ht="27" customHeight="1">
      <c r="A385" s="192" t="str">
        <f>IF(ISBLANK(C385)," ",380-COUNTBLANK($C$6:C385))</f>
        <v xml:space="preserve"> </v>
      </c>
      <c r="B385" s="178"/>
      <c r="C385" s="178"/>
      <c r="D385" s="193"/>
      <c r="E385" s="193"/>
      <c r="F385" s="180"/>
      <c r="G385" s="180"/>
      <c r="H385" s="180"/>
      <c r="I385" s="180"/>
      <c r="J385" s="180"/>
      <c r="K385" s="180"/>
      <c r="L385" s="180"/>
      <c r="M385" s="181"/>
      <c r="N385" s="163" t="str">
        <f t="shared" ref="N385:N404" si="29">CONCATENATE(C385,H385)</f>
        <v/>
      </c>
      <c r="O385" s="126" t="str">
        <f t="shared" ref="O385:O403" si="30">IF(D385&gt;=E385,"-","ERR")</f>
        <v>-</v>
      </c>
      <c r="P385" s="164"/>
      <c r="Q385" s="164"/>
      <c r="R385" s="164"/>
      <c r="S385" s="164"/>
      <c r="T385" s="164"/>
      <c r="U385" s="164"/>
      <c r="V385" s="164"/>
    </row>
    <row r="386" spans="1:22" ht="27" customHeight="1">
      <c r="A386" s="192" t="str">
        <f>IF(ISBLANK(C386)," ",381-COUNTBLANK($C$6:C386))</f>
        <v xml:space="preserve"> </v>
      </c>
      <c r="B386" s="178"/>
      <c r="C386" s="178"/>
      <c r="D386" s="193"/>
      <c r="E386" s="193"/>
      <c r="F386" s="180"/>
      <c r="G386" s="180"/>
      <c r="H386" s="180"/>
      <c r="I386" s="180"/>
      <c r="J386" s="180"/>
      <c r="K386" s="180"/>
      <c r="L386" s="180"/>
      <c r="M386" s="181"/>
      <c r="N386" s="163" t="str">
        <f t="shared" si="29"/>
        <v/>
      </c>
      <c r="O386" s="126" t="str">
        <f t="shared" si="30"/>
        <v>-</v>
      </c>
      <c r="P386" s="164"/>
      <c r="Q386" s="164"/>
      <c r="R386" s="164"/>
      <c r="S386" s="164"/>
      <c r="T386" s="164"/>
      <c r="U386" s="164"/>
      <c r="V386" s="164"/>
    </row>
    <row r="387" spans="1:22" ht="27" customHeight="1">
      <c r="A387" s="192" t="str">
        <f>IF(ISBLANK(C387)," ",382-COUNTBLANK($C$6:C387))</f>
        <v xml:space="preserve"> </v>
      </c>
      <c r="B387" s="178"/>
      <c r="C387" s="178"/>
      <c r="D387" s="193"/>
      <c r="E387" s="193"/>
      <c r="F387" s="180"/>
      <c r="G387" s="180"/>
      <c r="H387" s="180"/>
      <c r="I387" s="180"/>
      <c r="J387" s="180"/>
      <c r="K387" s="180"/>
      <c r="L387" s="180"/>
      <c r="M387" s="181"/>
      <c r="N387" s="163" t="str">
        <f t="shared" si="29"/>
        <v/>
      </c>
      <c r="O387" s="126" t="str">
        <f t="shared" si="30"/>
        <v>-</v>
      </c>
      <c r="P387" s="164"/>
      <c r="Q387" s="164"/>
      <c r="R387" s="164"/>
      <c r="S387" s="164"/>
      <c r="T387" s="164"/>
      <c r="U387" s="164"/>
      <c r="V387" s="164"/>
    </row>
    <row r="388" spans="1:22" ht="27" customHeight="1">
      <c r="A388" s="192" t="str">
        <f>IF(ISBLANK(C388)," ",383-COUNTBLANK($C$6:C388))</f>
        <v xml:space="preserve"> </v>
      </c>
      <c r="B388" s="178"/>
      <c r="C388" s="178"/>
      <c r="D388" s="193"/>
      <c r="E388" s="193"/>
      <c r="F388" s="180"/>
      <c r="G388" s="180"/>
      <c r="H388" s="180"/>
      <c r="I388" s="180"/>
      <c r="J388" s="180"/>
      <c r="K388" s="180"/>
      <c r="L388" s="180"/>
      <c r="M388" s="181"/>
      <c r="N388" s="163" t="str">
        <f t="shared" si="29"/>
        <v/>
      </c>
      <c r="O388" s="126" t="str">
        <f t="shared" si="30"/>
        <v>-</v>
      </c>
      <c r="P388" s="164"/>
      <c r="Q388" s="164"/>
      <c r="R388" s="164"/>
      <c r="S388" s="164"/>
      <c r="T388" s="164"/>
      <c r="U388" s="164"/>
      <c r="V388" s="164"/>
    </row>
    <row r="389" spans="1:22" ht="27" customHeight="1">
      <c r="A389" s="192" t="str">
        <f>IF(ISBLANK(C389)," ",384-COUNTBLANK($C$6:C389))</f>
        <v xml:space="preserve"> </v>
      </c>
      <c r="B389" s="178"/>
      <c r="C389" s="178"/>
      <c r="D389" s="193"/>
      <c r="E389" s="193"/>
      <c r="F389" s="180"/>
      <c r="G389" s="180"/>
      <c r="H389" s="180"/>
      <c r="I389" s="180"/>
      <c r="J389" s="180"/>
      <c r="K389" s="180"/>
      <c r="L389" s="180"/>
      <c r="M389" s="181"/>
      <c r="N389" s="163" t="str">
        <f t="shared" si="29"/>
        <v/>
      </c>
      <c r="O389" s="126" t="str">
        <f t="shared" si="30"/>
        <v>-</v>
      </c>
      <c r="P389" s="164"/>
      <c r="Q389" s="164"/>
      <c r="R389" s="164"/>
      <c r="S389" s="164"/>
      <c r="T389" s="164"/>
      <c r="U389" s="164"/>
      <c r="V389" s="164"/>
    </row>
    <row r="390" spans="1:22" ht="27" customHeight="1">
      <c r="A390" s="192" t="str">
        <f>IF(ISBLANK(C390)," ",385-COUNTBLANK($C$6:C390))</f>
        <v xml:space="preserve"> </v>
      </c>
      <c r="B390" s="178"/>
      <c r="C390" s="178"/>
      <c r="D390" s="193"/>
      <c r="E390" s="193"/>
      <c r="F390" s="180"/>
      <c r="G390" s="180"/>
      <c r="H390" s="180"/>
      <c r="I390" s="180"/>
      <c r="J390" s="180"/>
      <c r="K390" s="180"/>
      <c r="L390" s="180"/>
      <c r="M390" s="181"/>
      <c r="N390" s="163" t="str">
        <f t="shared" si="29"/>
        <v/>
      </c>
      <c r="O390" s="126" t="str">
        <f t="shared" si="30"/>
        <v>-</v>
      </c>
      <c r="P390" s="164"/>
      <c r="Q390" s="164"/>
      <c r="R390" s="164"/>
      <c r="S390" s="164"/>
      <c r="T390" s="164"/>
      <c r="U390" s="164"/>
      <c r="V390" s="164"/>
    </row>
    <row r="391" spans="1:22" ht="27" customHeight="1">
      <c r="A391" s="192" t="str">
        <f>IF(ISBLANK(C391)," ",386-COUNTBLANK($C$6:C391))</f>
        <v xml:space="preserve"> </v>
      </c>
      <c r="B391" s="178"/>
      <c r="C391" s="178"/>
      <c r="D391" s="193"/>
      <c r="E391" s="193"/>
      <c r="F391" s="180"/>
      <c r="G391" s="180"/>
      <c r="H391" s="180"/>
      <c r="I391" s="180"/>
      <c r="J391" s="180"/>
      <c r="K391" s="180"/>
      <c r="L391" s="180"/>
      <c r="M391" s="181"/>
      <c r="N391" s="163" t="str">
        <f t="shared" si="29"/>
        <v/>
      </c>
      <c r="O391" s="126" t="str">
        <f t="shared" si="30"/>
        <v>-</v>
      </c>
      <c r="P391" s="164"/>
      <c r="Q391" s="164"/>
      <c r="R391" s="164"/>
      <c r="S391" s="164"/>
      <c r="T391" s="164"/>
      <c r="U391" s="164"/>
      <c r="V391" s="164"/>
    </row>
    <row r="392" spans="1:22" ht="27" customHeight="1">
      <c r="A392" s="192" t="str">
        <f>IF(ISBLANK(C392)," ",387-COUNTBLANK($C$6:C392))</f>
        <v xml:space="preserve"> </v>
      </c>
      <c r="B392" s="178"/>
      <c r="C392" s="178"/>
      <c r="D392" s="193"/>
      <c r="E392" s="193"/>
      <c r="F392" s="180"/>
      <c r="G392" s="180"/>
      <c r="H392" s="180"/>
      <c r="I392" s="180"/>
      <c r="J392" s="180"/>
      <c r="K392" s="180"/>
      <c r="L392" s="180"/>
      <c r="M392" s="181"/>
      <c r="N392" s="163" t="str">
        <f t="shared" si="29"/>
        <v/>
      </c>
      <c r="O392" s="126" t="str">
        <f t="shared" si="30"/>
        <v>-</v>
      </c>
      <c r="P392" s="164"/>
      <c r="Q392" s="164"/>
      <c r="R392" s="164"/>
      <c r="S392" s="164"/>
      <c r="T392" s="164"/>
      <c r="U392" s="164"/>
      <c r="V392" s="164"/>
    </row>
    <row r="393" spans="1:22" ht="27" customHeight="1">
      <c r="A393" s="192" t="str">
        <f>IF(ISBLANK(C393)," ",388-COUNTBLANK($C$6:C393))</f>
        <v xml:space="preserve"> </v>
      </c>
      <c r="B393" s="178"/>
      <c r="C393" s="178"/>
      <c r="D393" s="193"/>
      <c r="E393" s="193"/>
      <c r="F393" s="180"/>
      <c r="G393" s="180"/>
      <c r="H393" s="180"/>
      <c r="I393" s="180"/>
      <c r="J393" s="180"/>
      <c r="K393" s="180"/>
      <c r="L393" s="180"/>
      <c r="M393" s="181"/>
      <c r="N393" s="163" t="str">
        <f t="shared" si="29"/>
        <v/>
      </c>
      <c r="O393" s="126" t="str">
        <f t="shared" si="30"/>
        <v>-</v>
      </c>
      <c r="P393" s="164"/>
      <c r="Q393" s="164"/>
      <c r="R393" s="164"/>
      <c r="S393" s="164"/>
      <c r="T393" s="164"/>
      <c r="U393" s="164"/>
      <c r="V393" s="164"/>
    </row>
    <row r="394" spans="1:22" ht="27" customHeight="1">
      <c r="A394" s="192" t="str">
        <f>IF(ISBLANK(C394)," ",389-COUNTBLANK($C$6:C394))</f>
        <v xml:space="preserve"> </v>
      </c>
      <c r="B394" s="178"/>
      <c r="C394" s="178"/>
      <c r="D394" s="193"/>
      <c r="E394" s="193"/>
      <c r="F394" s="180"/>
      <c r="G394" s="180"/>
      <c r="H394" s="180"/>
      <c r="I394" s="180"/>
      <c r="J394" s="180"/>
      <c r="K394" s="180"/>
      <c r="L394" s="180"/>
      <c r="M394" s="181"/>
      <c r="N394" s="163" t="str">
        <f t="shared" si="29"/>
        <v/>
      </c>
      <c r="O394" s="126" t="str">
        <f t="shared" si="30"/>
        <v>-</v>
      </c>
      <c r="P394" s="164"/>
      <c r="Q394" s="164"/>
      <c r="R394" s="164"/>
      <c r="S394" s="164"/>
      <c r="T394" s="164"/>
      <c r="U394" s="164"/>
      <c r="V394" s="164"/>
    </row>
    <row r="395" spans="1:22" ht="27" customHeight="1">
      <c r="A395" s="192" t="str">
        <f>IF(ISBLANK(C395)," ",390-COUNTBLANK($C$6:C395))</f>
        <v xml:space="preserve"> </v>
      </c>
      <c r="B395" s="178"/>
      <c r="C395" s="178"/>
      <c r="D395" s="193"/>
      <c r="E395" s="193"/>
      <c r="F395" s="180"/>
      <c r="G395" s="180"/>
      <c r="H395" s="180"/>
      <c r="I395" s="180"/>
      <c r="J395" s="180"/>
      <c r="K395" s="180"/>
      <c r="L395" s="180"/>
      <c r="M395" s="181"/>
      <c r="N395" s="163" t="str">
        <f t="shared" si="29"/>
        <v/>
      </c>
      <c r="O395" s="126" t="str">
        <f t="shared" si="30"/>
        <v>-</v>
      </c>
      <c r="P395" s="164"/>
      <c r="Q395" s="164"/>
      <c r="R395" s="164"/>
      <c r="S395" s="164"/>
      <c r="T395" s="164"/>
      <c r="U395" s="164"/>
      <c r="V395" s="164"/>
    </row>
    <row r="396" spans="1:22" ht="27" customHeight="1">
      <c r="A396" s="192" t="str">
        <f>IF(ISBLANK(C396)," ",391-COUNTBLANK($C$6:C396))</f>
        <v xml:space="preserve"> </v>
      </c>
      <c r="B396" s="178"/>
      <c r="C396" s="178"/>
      <c r="D396" s="193"/>
      <c r="E396" s="193"/>
      <c r="F396" s="180"/>
      <c r="G396" s="180"/>
      <c r="H396" s="180"/>
      <c r="I396" s="180"/>
      <c r="J396" s="180"/>
      <c r="K396" s="180"/>
      <c r="L396" s="180"/>
      <c r="M396" s="181"/>
      <c r="N396" s="163" t="str">
        <f t="shared" si="29"/>
        <v/>
      </c>
      <c r="O396" s="126" t="str">
        <f t="shared" si="30"/>
        <v>-</v>
      </c>
      <c r="P396" s="164"/>
      <c r="Q396" s="164"/>
      <c r="R396" s="164"/>
      <c r="S396" s="164"/>
      <c r="T396" s="164"/>
      <c r="U396" s="164"/>
      <c r="V396" s="164"/>
    </row>
    <row r="397" spans="1:22" ht="27" customHeight="1">
      <c r="A397" s="192" t="str">
        <f>IF(ISBLANK(C397)," ",392-COUNTBLANK($C$6:C397))</f>
        <v xml:space="preserve"> </v>
      </c>
      <c r="B397" s="178"/>
      <c r="C397" s="178"/>
      <c r="D397" s="193"/>
      <c r="E397" s="193"/>
      <c r="F397" s="180"/>
      <c r="G397" s="180"/>
      <c r="H397" s="180"/>
      <c r="I397" s="180"/>
      <c r="J397" s="180"/>
      <c r="K397" s="180"/>
      <c r="L397" s="180"/>
      <c r="M397" s="181"/>
      <c r="N397" s="163" t="str">
        <f t="shared" si="29"/>
        <v/>
      </c>
      <c r="O397" s="126" t="str">
        <f t="shared" si="30"/>
        <v>-</v>
      </c>
      <c r="P397" s="164"/>
      <c r="Q397" s="164"/>
      <c r="R397" s="164"/>
      <c r="S397" s="164"/>
      <c r="T397" s="164"/>
      <c r="U397" s="164"/>
      <c r="V397" s="164"/>
    </row>
    <row r="398" spans="1:22" ht="27" customHeight="1">
      <c r="A398" s="192" t="str">
        <f>IF(ISBLANK(C398)," ",393-COUNTBLANK($C$6:C398))</f>
        <v xml:space="preserve"> </v>
      </c>
      <c r="B398" s="178"/>
      <c r="C398" s="178"/>
      <c r="D398" s="193"/>
      <c r="E398" s="193"/>
      <c r="F398" s="180"/>
      <c r="G398" s="180"/>
      <c r="H398" s="180"/>
      <c r="I398" s="180"/>
      <c r="J398" s="180"/>
      <c r="K398" s="180"/>
      <c r="L398" s="180"/>
      <c r="M398" s="181"/>
      <c r="N398" s="163" t="str">
        <f t="shared" si="29"/>
        <v/>
      </c>
      <c r="O398" s="126" t="str">
        <f t="shared" si="30"/>
        <v>-</v>
      </c>
      <c r="P398" s="164"/>
      <c r="Q398" s="164"/>
      <c r="R398" s="164"/>
      <c r="S398" s="164"/>
      <c r="T398" s="164"/>
      <c r="U398" s="164"/>
      <c r="V398" s="164"/>
    </row>
    <row r="399" spans="1:22" ht="27" customHeight="1">
      <c r="A399" s="192" t="str">
        <f>IF(ISBLANK(C399)," ",394-COUNTBLANK($C$6:C399))</f>
        <v xml:space="preserve"> </v>
      </c>
      <c r="B399" s="178"/>
      <c r="C399" s="178"/>
      <c r="D399" s="193"/>
      <c r="E399" s="193"/>
      <c r="F399" s="180"/>
      <c r="G399" s="180"/>
      <c r="H399" s="180"/>
      <c r="I399" s="180"/>
      <c r="J399" s="180"/>
      <c r="K399" s="180"/>
      <c r="L399" s="180"/>
      <c r="M399" s="181"/>
      <c r="N399" s="163" t="str">
        <f t="shared" si="29"/>
        <v/>
      </c>
      <c r="O399" s="126" t="str">
        <f t="shared" si="30"/>
        <v>-</v>
      </c>
      <c r="P399" s="164"/>
      <c r="Q399" s="164"/>
      <c r="R399" s="164"/>
      <c r="S399" s="164"/>
      <c r="T399" s="164"/>
      <c r="U399" s="164"/>
      <c r="V399" s="165"/>
    </row>
    <row r="400" spans="1:22" ht="27" customHeight="1">
      <c r="A400" s="192" t="str">
        <f>IF(ISBLANK(C400)," ",395-COUNTBLANK($C$6:C400))</f>
        <v xml:space="preserve"> </v>
      </c>
      <c r="B400" s="178"/>
      <c r="C400" s="178"/>
      <c r="D400" s="193"/>
      <c r="E400" s="193"/>
      <c r="F400" s="180"/>
      <c r="G400" s="180"/>
      <c r="H400" s="180"/>
      <c r="I400" s="180"/>
      <c r="J400" s="180"/>
      <c r="K400" s="180"/>
      <c r="L400" s="180"/>
      <c r="M400" s="181"/>
      <c r="N400" s="163" t="str">
        <f t="shared" si="29"/>
        <v/>
      </c>
      <c r="O400" s="126" t="str">
        <f t="shared" si="30"/>
        <v>-</v>
      </c>
      <c r="P400" s="164"/>
      <c r="Q400" s="164"/>
      <c r="R400" s="164"/>
      <c r="S400" s="164"/>
      <c r="T400" s="164"/>
      <c r="U400" s="164"/>
      <c r="V400" s="165"/>
    </row>
    <row r="401" spans="1:25" ht="27" customHeight="1">
      <c r="A401" s="192" t="str">
        <f>IF(ISBLANK(C401)," ",396-COUNTBLANK($C$6:C401))</f>
        <v xml:space="preserve"> </v>
      </c>
      <c r="B401" s="178"/>
      <c r="C401" s="178"/>
      <c r="D401" s="193"/>
      <c r="E401" s="193"/>
      <c r="F401" s="180"/>
      <c r="G401" s="180"/>
      <c r="H401" s="180"/>
      <c r="I401" s="180"/>
      <c r="J401" s="180"/>
      <c r="K401" s="180"/>
      <c r="L401" s="180"/>
      <c r="M401" s="181"/>
      <c r="N401" s="163" t="str">
        <f t="shared" si="29"/>
        <v/>
      </c>
      <c r="O401" s="126" t="str">
        <f t="shared" si="30"/>
        <v>-</v>
      </c>
      <c r="P401" s="164"/>
      <c r="Q401" s="164"/>
      <c r="R401" s="164"/>
      <c r="S401" s="164"/>
      <c r="T401" s="164"/>
      <c r="U401" s="164"/>
      <c r="V401" s="165"/>
    </row>
    <row r="402" spans="1:25" ht="27" customHeight="1">
      <c r="A402" s="192" t="str">
        <f>IF(ISBLANK(C402)," ",397-COUNTBLANK($C$6:C402))</f>
        <v xml:space="preserve"> </v>
      </c>
      <c r="B402" s="178"/>
      <c r="C402" s="178"/>
      <c r="D402" s="193"/>
      <c r="E402" s="193"/>
      <c r="F402" s="180"/>
      <c r="G402" s="180"/>
      <c r="H402" s="180"/>
      <c r="I402" s="180"/>
      <c r="J402" s="180"/>
      <c r="K402" s="180"/>
      <c r="L402" s="180"/>
      <c r="M402" s="181"/>
      <c r="N402" s="163" t="str">
        <f t="shared" si="29"/>
        <v/>
      </c>
      <c r="O402" s="126" t="str">
        <f t="shared" si="30"/>
        <v>-</v>
      </c>
      <c r="P402" s="164"/>
      <c r="Q402" s="164"/>
      <c r="R402" s="164"/>
      <c r="S402" s="164"/>
      <c r="T402" s="164"/>
      <c r="U402" s="164"/>
      <c r="V402" s="165"/>
    </row>
    <row r="403" spans="1:25" ht="27" customHeight="1">
      <c r="A403" s="192" t="str">
        <f>IF(ISBLANK(C403)," ",398-COUNTBLANK($C$6:C403))</f>
        <v xml:space="preserve"> </v>
      </c>
      <c r="B403" s="178"/>
      <c r="C403" s="178"/>
      <c r="D403" s="193"/>
      <c r="E403" s="193"/>
      <c r="F403" s="180"/>
      <c r="G403" s="180"/>
      <c r="H403" s="180"/>
      <c r="I403" s="180"/>
      <c r="J403" s="180"/>
      <c r="K403" s="180"/>
      <c r="L403" s="180"/>
      <c r="M403" s="181"/>
      <c r="N403" s="163" t="str">
        <f t="shared" si="29"/>
        <v/>
      </c>
      <c r="O403" s="126" t="str">
        <f t="shared" si="30"/>
        <v>-</v>
      </c>
      <c r="P403" s="164"/>
      <c r="Q403" s="164"/>
      <c r="R403" s="164"/>
      <c r="S403" s="164"/>
      <c r="T403" s="164"/>
      <c r="U403" s="164"/>
      <c r="V403" s="166"/>
      <c r="W403" s="164"/>
      <c r="X403" s="164"/>
      <c r="Y403" s="164"/>
    </row>
    <row r="404" spans="1:25" ht="27" customHeight="1">
      <c r="A404" s="172" t="s">
        <v>44</v>
      </c>
      <c r="B404" s="173"/>
      <c r="C404" s="174"/>
      <c r="D404" s="194"/>
      <c r="E404" s="194">
        <f>SUM(E384:E403)</f>
        <v>0</v>
      </c>
      <c r="F404" s="176"/>
      <c r="G404" s="176"/>
      <c r="H404" s="176"/>
      <c r="I404" s="176"/>
      <c r="J404" s="176"/>
      <c r="K404" s="176"/>
      <c r="L404" s="176"/>
      <c r="M404" s="177"/>
      <c r="N404" s="163" t="str">
        <f t="shared" si="29"/>
        <v/>
      </c>
      <c r="O404" s="126"/>
      <c r="P404" s="164"/>
      <c r="Q404" s="164"/>
      <c r="R404" s="164"/>
      <c r="S404" s="164"/>
      <c r="T404" s="164"/>
      <c r="U404" s="164"/>
      <c r="V404" s="166"/>
      <c r="W404" s="164"/>
      <c r="X404" s="164"/>
      <c r="Y404" s="164"/>
    </row>
    <row r="405" spans="1:25" ht="27" customHeight="1">
      <c r="A405" s="187" t="str">
        <f>IF(ISBLANK(C405)," ",400-COUNTBLANK($C$6:C405))</f>
        <v xml:space="preserve"> </v>
      </c>
      <c r="B405" s="188"/>
      <c r="C405" s="188"/>
      <c r="D405" s="189"/>
      <c r="E405" s="189"/>
      <c r="F405" s="190"/>
      <c r="G405" s="190"/>
      <c r="H405" s="190"/>
      <c r="I405" s="190"/>
      <c r="J405" s="190"/>
      <c r="K405" s="190"/>
      <c r="L405" s="190"/>
      <c r="M405" s="191"/>
      <c r="N405" s="163" t="str">
        <f>CONCATENATE(C405,H405)</f>
        <v/>
      </c>
      <c r="O405" s="126" t="str">
        <f>IF(D405&gt;=E405,"-","ERR")</f>
        <v>-</v>
      </c>
      <c r="P405" s="164"/>
      <c r="Q405" s="164"/>
      <c r="R405" s="164"/>
      <c r="S405" s="164"/>
      <c r="T405" s="164"/>
      <c r="U405" s="164"/>
      <c r="V405" s="164"/>
    </row>
    <row r="406" spans="1:25" ht="27" customHeight="1">
      <c r="A406" s="192" t="str">
        <f>IF(ISBLANK(C406)," ",401-COUNTBLANK($C$6:C406))</f>
        <v xml:space="preserve"> </v>
      </c>
      <c r="B406" s="178"/>
      <c r="C406" s="178"/>
      <c r="D406" s="193"/>
      <c r="E406" s="193"/>
      <c r="F406" s="180"/>
      <c r="G406" s="180"/>
      <c r="H406" s="180"/>
      <c r="I406" s="180"/>
      <c r="J406" s="180"/>
      <c r="K406" s="180"/>
      <c r="L406" s="180"/>
      <c r="M406" s="181"/>
      <c r="N406" s="163" t="str">
        <f t="shared" ref="N406:N425" si="31">CONCATENATE(C406,H406)</f>
        <v/>
      </c>
      <c r="O406" s="126" t="str">
        <f t="shared" ref="O406:O424" si="32">IF(D406&gt;=E406,"-","ERR")</f>
        <v>-</v>
      </c>
      <c r="P406" s="164"/>
      <c r="Q406" s="164"/>
      <c r="R406" s="164"/>
      <c r="S406" s="164"/>
      <c r="T406" s="164"/>
      <c r="U406" s="164"/>
      <c r="V406" s="164"/>
    </row>
    <row r="407" spans="1:25" ht="27" customHeight="1">
      <c r="A407" s="192" t="str">
        <f>IF(ISBLANK(C407)," ",402-COUNTBLANK($C$6:C407))</f>
        <v xml:space="preserve"> </v>
      </c>
      <c r="B407" s="178"/>
      <c r="C407" s="178"/>
      <c r="D407" s="193"/>
      <c r="E407" s="193"/>
      <c r="F407" s="180"/>
      <c r="G407" s="180"/>
      <c r="H407" s="180"/>
      <c r="I407" s="180"/>
      <c r="J407" s="180"/>
      <c r="K407" s="180"/>
      <c r="L407" s="180"/>
      <c r="M407" s="181"/>
      <c r="N407" s="163" t="str">
        <f t="shared" si="31"/>
        <v/>
      </c>
      <c r="O407" s="126" t="str">
        <f t="shared" si="32"/>
        <v>-</v>
      </c>
      <c r="P407" s="164"/>
      <c r="Q407" s="164"/>
      <c r="R407" s="164"/>
      <c r="S407" s="164"/>
      <c r="T407" s="164"/>
      <c r="U407" s="164"/>
      <c r="V407" s="164"/>
    </row>
    <row r="408" spans="1:25" ht="27" customHeight="1">
      <c r="A408" s="192" t="str">
        <f>IF(ISBLANK(C408)," ",403-COUNTBLANK($C$6:C408))</f>
        <v xml:space="preserve"> </v>
      </c>
      <c r="B408" s="178"/>
      <c r="C408" s="178"/>
      <c r="D408" s="193"/>
      <c r="E408" s="193"/>
      <c r="F408" s="180"/>
      <c r="G408" s="180"/>
      <c r="H408" s="180"/>
      <c r="I408" s="180"/>
      <c r="J408" s="180"/>
      <c r="K408" s="180"/>
      <c r="L408" s="180"/>
      <c r="M408" s="181"/>
      <c r="N408" s="163" t="str">
        <f t="shared" si="31"/>
        <v/>
      </c>
      <c r="O408" s="126" t="str">
        <f t="shared" si="32"/>
        <v>-</v>
      </c>
      <c r="P408" s="164"/>
      <c r="Q408" s="164"/>
      <c r="R408" s="164"/>
      <c r="S408" s="164"/>
      <c r="T408" s="164"/>
      <c r="U408" s="164"/>
      <c r="V408" s="164"/>
    </row>
    <row r="409" spans="1:25" ht="27" customHeight="1">
      <c r="A409" s="192" t="str">
        <f>IF(ISBLANK(C409)," ",404-COUNTBLANK($C$6:C409))</f>
        <v xml:space="preserve"> </v>
      </c>
      <c r="B409" s="178"/>
      <c r="C409" s="178"/>
      <c r="D409" s="193"/>
      <c r="E409" s="193"/>
      <c r="F409" s="180"/>
      <c r="G409" s="180"/>
      <c r="H409" s="180"/>
      <c r="I409" s="180"/>
      <c r="J409" s="180"/>
      <c r="K409" s="180"/>
      <c r="L409" s="180"/>
      <c r="M409" s="181"/>
      <c r="N409" s="163" t="str">
        <f t="shared" si="31"/>
        <v/>
      </c>
      <c r="O409" s="126" t="str">
        <f t="shared" si="32"/>
        <v>-</v>
      </c>
      <c r="P409" s="164"/>
      <c r="Q409" s="164"/>
      <c r="R409" s="164"/>
      <c r="S409" s="164"/>
      <c r="T409" s="164"/>
      <c r="U409" s="164"/>
      <c r="V409" s="164"/>
    </row>
    <row r="410" spans="1:25" ht="27" customHeight="1">
      <c r="A410" s="192" t="str">
        <f>IF(ISBLANK(C410)," ",405-COUNTBLANK($C$6:C410))</f>
        <v xml:space="preserve"> </v>
      </c>
      <c r="B410" s="178"/>
      <c r="C410" s="178"/>
      <c r="D410" s="193"/>
      <c r="E410" s="193"/>
      <c r="F410" s="180"/>
      <c r="G410" s="180"/>
      <c r="H410" s="180"/>
      <c r="I410" s="180"/>
      <c r="J410" s="180"/>
      <c r="K410" s="180"/>
      <c r="L410" s="180"/>
      <c r="M410" s="181"/>
      <c r="N410" s="163" t="str">
        <f t="shared" si="31"/>
        <v/>
      </c>
      <c r="O410" s="126" t="str">
        <f t="shared" si="32"/>
        <v>-</v>
      </c>
      <c r="P410" s="164"/>
      <c r="Q410" s="164"/>
      <c r="R410" s="164"/>
      <c r="S410" s="164"/>
      <c r="T410" s="164"/>
      <c r="U410" s="164"/>
      <c r="V410" s="164"/>
    </row>
    <row r="411" spans="1:25" ht="27" customHeight="1">
      <c r="A411" s="192" t="str">
        <f>IF(ISBLANK(C411)," ",406-COUNTBLANK($C$6:C411))</f>
        <v xml:space="preserve"> </v>
      </c>
      <c r="B411" s="178"/>
      <c r="C411" s="178"/>
      <c r="D411" s="193"/>
      <c r="E411" s="193"/>
      <c r="F411" s="180"/>
      <c r="G411" s="180"/>
      <c r="H411" s="180"/>
      <c r="I411" s="180"/>
      <c r="J411" s="180"/>
      <c r="K411" s="180"/>
      <c r="L411" s="180"/>
      <c r="M411" s="181"/>
      <c r="N411" s="163" t="str">
        <f t="shared" si="31"/>
        <v/>
      </c>
      <c r="O411" s="126" t="str">
        <f t="shared" si="32"/>
        <v>-</v>
      </c>
      <c r="P411" s="164"/>
      <c r="Q411" s="164"/>
      <c r="R411" s="164"/>
      <c r="S411" s="164"/>
      <c r="T411" s="164"/>
      <c r="U411" s="164"/>
      <c r="V411" s="164"/>
    </row>
    <row r="412" spans="1:25" ht="27" customHeight="1">
      <c r="A412" s="192" t="str">
        <f>IF(ISBLANK(C412)," ",407-COUNTBLANK($C$6:C412))</f>
        <v xml:space="preserve"> </v>
      </c>
      <c r="B412" s="178"/>
      <c r="C412" s="178"/>
      <c r="D412" s="193"/>
      <c r="E412" s="193"/>
      <c r="F412" s="180"/>
      <c r="G412" s="180"/>
      <c r="H412" s="180"/>
      <c r="I412" s="180"/>
      <c r="J412" s="180"/>
      <c r="K412" s="180"/>
      <c r="L412" s="180"/>
      <c r="M412" s="181"/>
      <c r="N412" s="163" t="str">
        <f t="shared" si="31"/>
        <v/>
      </c>
      <c r="O412" s="126" t="str">
        <f t="shared" si="32"/>
        <v>-</v>
      </c>
      <c r="P412" s="164"/>
      <c r="Q412" s="164"/>
      <c r="R412" s="164"/>
      <c r="S412" s="164"/>
      <c r="T412" s="164"/>
      <c r="U412" s="164"/>
      <c r="V412" s="164"/>
    </row>
    <row r="413" spans="1:25" ht="27" customHeight="1">
      <c r="A413" s="192" t="str">
        <f>IF(ISBLANK(C413)," ",408-COUNTBLANK($C$6:C413))</f>
        <v xml:space="preserve"> </v>
      </c>
      <c r="B413" s="178"/>
      <c r="C413" s="178"/>
      <c r="D413" s="193"/>
      <c r="E413" s="193"/>
      <c r="F413" s="180"/>
      <c r="G413" s="180"/>
      <c r="H413" s="180"/>
      <c r="I413" s="180"/>
      <c r="J413" s="180"/>
      <c r="K413" s="180"/>
      <c r="L413" s="180"/>
      <c r="M413" s="181"/>
      <c r="N413" s="163" t="str">
        <f t="shared" si="31"/>
        <v/>
      </c>
      <c r="O413" s="126" t="str">
        <f t="shared" si="32"/>
        <v>-</v>
      </c>
      <c r="P413" s="164"/>
      <c r="Q413" s="164"/>
      <c r="R413" s="164"/>
      <c r="S413" s="164"/>
      <c r="T413" s="164"/>
      <c r="U413" s="164"/>
      <c r="V413" s="164"/>
    </row>
    <row r="414" spans="1:25" ht="27" customHeight="1">
      <c r="A414" s="192" t="str">
        <f>IF(ISBLANK(C414)," ",409-COUNTBLANK($C$6:C414))</f>
        <v xml:space="preserve"> </v>
      </c>
      <c r="B414" s="178"/>
      <c r="C414" s="178"/>
      <c r="D414" s="193"/>
      <c r="E414" s="193"/>
      <c r="F414" s="180"/>
      <c r="G414" s="180"/>
      <c r="H414" s="180"/>
      <c r="I414" s="180"/>
      <c r="J414" s="180"/>
      <c r="K414" s="180"/>
      <c r="L414" s="180"/>
      <c r="M414" s="181"/>
      <c r="N414" s="163" t="str">
        <f t="shared" si="31"/>
        <v/>
      </c>
      <c r="O414" s="126" t="str">
        <f t="shared" si="32"/>
        <v>-</v>
      </c>
      <c r="P414" s="164"/>
      <c r="Q414" s="164"/>
      <c r="R414" s="164"/>
      <c r="S414" s="164"/>
      <c r="T414" s="164"/>
      <c r="U414" s="164"/>
      <c r="V414" s="164"/>
    </row>
    <row r="415" spans="1:25" ht="27" customHeight="1">
      <c r="A415" s="192" t="str">
        <f>IF(ISBLANK(C415)," ",410-COUNTBLANK($C$6:C415))</f>
        <v xml:space="preserve"> </v>
      </c>
      <c r="B415" s="178"/>
      <c r="C415" s="178"/>
      <c r="D415" s="193"/>
      <c r="E415" s="193"/>
      <c r="F415" s="180"/>
      <c r="G415" s="180"/>
      <c r="H415" s="180"/>
      <c r="I415" s="180"/>
      <c r="J415" s="180"/>
      <c r="K415" s="180"/>
      <c r="L415" s="180"/>
      <c r="M415" s="181"/>
      <c r="N415" s="163" t="str">
        <f t="shared" si="31"/>
        <v/>
      </c>
      <c r="O415" s="126" t="str">
        <f t="shared" si="32"/>
        <v>-</v>
      </c>
      <c r="P415" s="164"/>
      <c r="Q415" s="164"/>
      <c r="R415" s="164"/>
      <c r="S415" s="164"/>
      <c r="T415" s="164"/>
      <c r="U415" s="164"/>
      <c r="V415" s="164"/>
    </row>
    <row r="416" spans="1:25" ht="27" customHeight="1">
      <c r="A416" s="192" t="str">
        <f>IF(ISBLANK(C416)," ",411-COUNTBLANK($C$6:C416))</f>
        <v xml:space="preserve"> </v>
      </c>
      <c r="B416" s="178"/>
      <c r="C416" s="178"/>
      <c r="D416" s="193"/>
      <c r="E416" s="193"/>
      <c r="F416" s="180"/>
      <c r="G416" s="180"/>
      <c r="H416" s="180"/>
      <c r="I416" s="180"/>
      <c r="J416" s="180"/>
      <c r="K416" s="180"/>
      <c r="L416" s="180"/>
      <c r="M416" s="181"/>
      <c r="N416" s="163" t="str">
        <f t="shared" si="31"/>
        <v/>
      </c>
      <c r="O416" s="126" t="str">
        <f t="shared" si="32"/>
        <v>-</v>
      </c>
      <c r="P416" s="164"/>
      <c r="Q416" s="164"/>
      <c r="R416" s="164"/>
      <c r="S416" s="164"/>
      <c r="T416" s="164"/>
      <c r="U416" s="164"/>
      <c r="V416" s="164"/>
    </row>
    <row r="417" spans="1:25" ht="27" customHeight="1">
      <c r="A417" s="192" t="str">
        <f>IF(ISBLANK(C417)," ",412-COUNTBLANK($C$6:C417))</f>
        <v xml:space="preserve"> </v>
      </c>
      <c r="B417" s="178"/>
      <c r="C417" s="178"/>
      <c r="D417" s="193"/>
      <c r="E417" s="193"/>
      <c r="F417" s="180"/>
      <c r="G417" s="180"/>
      <c r="H417" s="180"/>
      <c r="I417" s="180"/>
      <c r="J417" s="180"/>
      <c r="K417" s="180"/>
      <c r="L417" s="180"/>
      <c r="M417" s="181"/>
      <c r="N417" s="163" t="str">
        <f t="shared" si="31"/>
        <v/>
      </c>
      <c r="O417" s="126" t="str">
        <f t="shared" si="32"/>
        <v>-</v>
      </c>
      <c r="P417" s="164"/>
      <c r="Q417" s="164"/>
      <c r="R417" s="164"/>
      <c r="S417" s="164"/>
      <c r="T417" s="164"/>
      <c r="U417" s="164"/>
      <c r="V417" s="164"/>
    </row>
    <row r="418" spans="1:25" ht="27" customHeight="1">
      <c r="A418" s="192" t="str">
        <f>IF(ISBLANK(C418)," ",413-COUNTBLANK($C$6:C418))</f>
        <v xml:space="preserve"> </v>
      </c>
      <c r="B418" s="178"/>
      <c r="C418" s="178"/>
      <c r="D418" s="193"/>
      <c r="E418" s="193"/>
      <c r="F418" s="180"/>
      <c r="G418" s="180"/>
      <c r="H418" s="180"/>
      <c r="I418" s="180"/>
      <c r="J418" s="180"/>
      <c r="K418" s="180"/>
      <c r="L418" s="180"/>
      <c r="M418" s="181"/>
      <c r="N418" s="163" t="str">
        <f t="shared" si="31"/>
        <v/>
      </c>
      <c r="O418" s="126" t="str">
        <f t="shared" si="32"/>
        <v>-</v>
      </c>
      <c r="P418" s="164"/>
      <c r="Q418" s="164"/>
      <c r="R418" s="164"/>
      <c r="S418" s="164"/>
      <c r="T418" s="164"/>
      <c r="U418" s="164"/>
      <c r="V418" s="164"/>
    </row>
    <row r="419" spans="1:25" ht="27" customHeight="1">
      <c r="A419" s="192" t="str">
        <f>IF(ISBLANK(C419)," ",414-COUNTBLANK($C$6:C419))</f>
        <v xml:space="preserve"> </v>
      </c>
      <c r="B419" s="178"/>
      <c r="C419" s="178"/>
      <c r="D419" s="193"/>
      <c r="E419" s="193"/>
      <c r="F419" s="180"/>
      <c r="G419" s="180"/>
      <c r="H419" s="180"/>
      <c r="I419" s="180"/>
      <c r="J419" s="180"/>
      <c r="K419" s="180"/>
      <c r="L419" s="180"/>
      <c r="M419" s="181"/>
      <c r="N419" s="163" t="str">
        <f t="shared" si="31"/>
        <v/>
      </c>
      <c r="O419" s="126" t="str">
        <f t="shared" si="32"/>
        <v>-</v>
      </c>
      <c r="P419" s="164"/>
      <c r="Q419" s="164"/>
      <c r="R419" s="164"/>
      <c r="S419" s="164"/>
      <c r="T419" s="164"/>
      <c r="U419" s="164"/>
      <c r="V419" s="164"/>
    </row>
    <row r="420" spans="1:25" ht="27" customHeight="1">
      <c r="A420" s="192" t="str">
        <f>IF(ISBLANK(C420)," ",415-COUNTBLANK($C$6:C420))</f>
        <v xml:space="preserve"> </v>
      </c>
      <c r="B420" s="178"/>
      <c r="C420" s="178"/>
      <c r="D420" s="193"/>
      <c r="E420" s="193"/>
      <c r="F420" s="180"/>
      <c r="G420" s="180"/>
      <c r="H420" s="180"/>
      <c r="I420" s="180"/>
      <c r="J420" s="180"/>
      <c r="K420" s="180"/>
      <c r="L420" s="180"/>
      <c r="M420" s="181"/>
      <c r="N420" s="163" t="str">
        <f t="shared" si="31"/>
        <v/>
      </c>
      <c r="O420" s="126" t="str">
        <f t="shared" si="32"/>
        <v>-</v>
      </c>
      <c r="P420" s="164"/>
      <c r="Q420" s="164"/>
      <c r="R420" s="164"/>
      <c r="S420" s="164"/>
      <c r="T420" s="164"/>
      <c r="U420" s="164"/>
      <c r="V420" s="165"/>
    </row>
    <row r="421" spans="1:25" ht="27" customHeight="1">
      <c r="A421" s="192" t="str">
        <f>IF(ISBLANK(C421)," ",416-COUNTBLANK($C$6:C421))</f>
        <v xml:space="preserve"> </v>
      </c>
      <c r="B421" s="178"/>
      <c r="C421" s="178"/>
      <c r="D421" s="193"/>
      <c r="E421" s="193"/>
      <c r="F421" s="180"/>
      <c r="G421" s="180"/>
      <c r="H421" s="180"/>
      <c r="I421" s="180"/>
      <c r="J421" s="180"/>
      <c r="K421" s="180"/>
      <c r="L421" s="180"/>
      <c r="M421" s="181"/>
      <c r="N421" s="163" t="str">
        <f t="shared" si="31"/>
        <v/>
      </c>
      <c r="O421" s="126" t="str">
        <f t="shared" si="32"/>
        <v>-</v>
      </c>
      <c r="P421" s="164"/>
      <c r="Q421" s="164"/>
      <c r="R421" s="164"/>
      <c r="S421" s="164"/>
      <c r="T421" s="164"/>
      <c r="U421" s="164"/>
      <c r="V421" s="165"/>
    </row>
    <row r="422" spans="1:25" ht="27" customHeight="1">
      <c r="A422" s="192" t="str">
        <f>IF(ISBLANK(C422)," ",417-COUNTBLANK($C$6:C422))</f>
        <v xml:space="preserve"> </v>
      </c>
      <c r="B422" s="178"/>
      <c r="C422" s="178"/>
      <c r="D422" s="193"/>
      <c r="E422" s="193"/>
      <c r="F422" s="180"/>
      <c r="G422" s="180"/>
      <c r="H422" s="180"/>
      <c r="I422" s="180"/>
      <c r="J422" s="180"/>
      <c r="K422" s="180"/>
      <c r="L422" s="180"/>
      <c r="M422" s="181"/>
      <c r="N422" s="163" t="str">
        <f t="shared" si="31"/>
        <v/>
      </c>
      <c r="O422" s="126" t="str">
        <f t="shared" si="32"/>
        <v>-</v>
      </c>
      <c r="P422" s="164"/>
      <c r="Q422" s="164"/>
      <c r="R422" s="164"/>
      <c r="S422" s="164"/>
      <c r="T422" s="164"/>
      <c r="U422" s="164"/>
      <c r="V422" s="165"/>
    </row>
    <row r="423" spans="1:25" ht="27" customHeight="1">
      <c r="A423" s="192" t="str">
        <f>IF(ISBLANK(C423)," ",418-COUNTBLANK($C$6:C423))</f>
        <v xml:space="preserve"> </v>
      </c>
      <c r="B423" s="178"/>
      <c r="C423" s="178"/>
      <c r="D423" s="193"/>
      <c r="E423" s="193"/>
      <c r="F423" s="180"/>
      <c r="G423" s="180"/>
      <c r="H423" s="180"/>
      <c r="I423" s="180"/>
      <c r="J423" s="180"/>
      <c r="K423" s="180"/>
      <c r="L423" s="180"/>
      <c r="M423" s="181"/>
      <c r="N423" s="163" t="str">
        <f t="shared" si="31"/>
        <v/>
      </c>
      <c r="O423" s="126" t="str">
        <f t="shared" si="32"/>
        <v>-</v>
      </c>
      <c r="P423" s="164"/>
      <c r="Q423" s="164"/>
      <c r="R423" s="164"/>
      <c r="S423" s="164"/>
      <c r="T423" s="164"/>
      <c r="U423" s="164"/>
      <c r="V423" s="165"/>
    </row>
    <row r="424" spans="1:25" ht="27" customHeight="1">
      <c r="A424" s="192" t="str">
        <f>IF(ISBLANK(C424)," ",419-COUNTBLANK($C$6:C424))</f>
        <v xml:space="preserve"> </v>
      </c>
      <c r="B424" s="178"/>
      <c r="C424" s="178"/>
      <c r="D424" s="193"/>
      <c r="E424" s="193"/>
      <c r="F424" s="180"/>
      <c r="G424" s="180"/>
      <c r="H424" s="180"/>
      <c r="I424" s="180"/>
      <c r="J424" s="180"/>
      <c r="K424" s="180"/>
      <c r="L424" s="180"/>
      <c r="M424" s="181"/>
      <c r="N424" s="163" t="str">
        <f t="shared" si="31"/>
        <v/>
      </c>
      <c r="O424" s="126" t="str">
        <f t="shared" si="32"/>
        <v>-</v>
      </c>
      <c r="P424" s="164"/>
      <c r="Q424" s="164"/>
      <c r="R424" s="164"/>
      <c r="S424" s="164"/>
      <c r="T424" s="164"/>
      <c r="U424" s="164"/>
      <c r="V424" s="166"/>
      <c r="W424" s="164"/>
      <c r="X424" s="164"/>
      <c r="Y424" s="164"/>
    </row>
    <row r="425" spans="1:25" ht="27" customHeight="1">
      <c r="A425" s="172" t="s">
        <v>44</v>
      </c>
      <c r="B425" s="173"/>
      <c r="C425" s="174"/>
      <c r="D425" s="194"/>
      <c r="E425" s="194">
        <f>SUM(E405:E424)</f>
        <v>0</v>
      </c>
      <c r="F425" s="176"/>
      <c r="G425" s="176"/>
      <c r="H425" s="176"/>
      <c r="I425" s="176"/>
      <c r="J425" s="176"/>
      <c r="K425" s="176"/>
      <c r="L425" s="176"/>
      <c r="M425" s="177"/>
      <c r="N425" s="163" t="str">
        <f t="shared" si="31"/>
        <v/>
      </c>
      <c r="O425" s="126"/>
      <c r="P425" s="164"/>
      <c r="Q425" s="164"/>
      <c r="R425" s="164"/>
      <c r="S425" s="164"/>
      <c r="T425" s="164"/>
      <c r="U425" s="164"/>
      <c r="V425" s="166"/>
      <c r="W425" s="164"/>
      <c r="X425" s="164"/>
      <c r="Y425" s="164"/>
    </row>
    <row r="426" spans="1:25" ht="27" customHeight="1">
      <c r="A426" s="187" t="str">
        <f>IF(ISBLANK(C426)," ",421-COUNTBLANK($C$6:C426))</f>
        <v xml:space="preserve"> </v>
      </c>
      <c r="B426" s="188"/>
      <c r="C426" s="188"/>
      <c r="D426" s="189"/>
      <c r="E426" s="189"/>
      <c r="F426" s="190"/>
      <c r="G426" s="190"/>
      <c r="H426" s="190"/>
      <c r="I426" s="190"/>
      <c r="J426" s="190"/>
      <c r="K426" s="190"/>
      <c r="L426" s="190"/>
      <c r="M426" s="191"/>
      <c r="N426" s="163" t="str">
        <f>CONCATENATE(C426,H426)</f>
        <v/>
      </c>
      <c r="O426" s="126" t="str">
        <f>IF(D426&gt;=E426,"-","ERR")</f>
        <v>-</v>
      </c>
      <c r="P426" s="164"/>
      <c r="Q426" s="164"/>
      <c r="R426" s="164"/>
      <c r="S426" s="164"/>
      <c r="T426" s="164"/>
      <c r="U426" s="164"/>
      <c r="V426" s="164"/>
    </row>
    <row r="427" spans="1:25" ht="27" customHeight="1">
      <c r="A427" s="192" t="str">
        <f>IF(ISBLANK(C427)," ",422-COUNTBLANK($C$6:C427))</f>
        <v xml:space="preserve"> </v>
      </c>
      <c r="B427" s="178"/>
      <c r="C427" s="178"/>
      <c r="D427" s="193"/>
      <c r="E427" s="193"/>
      <c r="F427" s="180"/>
      <c r="G427" s="180"/>
      <c r="H427" s="180"/>
      <c r="I427" s="180"/>
      <c r="J427" s="180"/>
      <c r="K427" s="180"/>
      <c r="L427" s="180"/>
      <c r="M427" s="181"/>
      <c r="N427" s="163" t="str">
        <f t="shared" ref="N427:N446" si="33">CONCATENATE(C427,H427)</f>
        <v/>
      </c>
      <c r="O427" s="126" t="str">
        <f t="shared" ref="O427:O445" si="34">IF(D427&gt;=E427,"-","ERR")</f>
        <v>-</v>
      </c>
      <c r="P427" s="164"/>
      <c r="Q427" s="164"/>
      <c r="R427" s="164"/>
      <c r="S427" s="164"/>
      <c r="T427" s="164"/>
      <c r="U427" s="164"/>
      <c r="V427" s="164"/>
    </row>
    <row r="428" spans="1:25" ht="27" customHeight="1">
      <c r="A428" s="192" t="str">
        <f>IF(ISBLANK(C428)," ",423-COUNTBLANK($C$6:C428))</f>
        <v xml:space="preserve"> </v>
      </c>
      <c r="B428" s="178"/>
      <c r="C428" s="178"/>
      <c r="D428" s="193"/>
      <c r="E428" s="193"/>
      <c r="F428" s="180"/>
      <c r="G428" s="180"/>
      <c r="H428" s="180"/>
      <c r="I428" s="180"/>
      <c r="J428" s="180"/>
      <c r="K428" s="180"/>
      <c r="L428" s="180"/>
      <c r="M428" s="181"/>
      <c r="N428" s="163" t="str">
        <f t="shared" si="33"/>
        <v/>
      </c>
      <c r="O428" s="126" t="str">
        <f t="shared" si="34"/>
        <v>-</v>
      </c>
      <c r="P428" s="164"/>
      <c r="Q428" s="164"/>
      <c r="R428" s="164"/>
      <c r="S428" s="164"/>
      <c r="T428" s="164"/>
      <c r="U428" s="164"/>
      <c r="V428" s="164"/>
    </row>
    <row r="429" spans="1:25" ht="27" customHeight="1">
      <c r="A429" s="192" t="str">
        <f>IF(ISBLANK(C429)," ",424-COUNTBLANK($C$6:C429))</f>
        <v xml:space="preserve"> </v>
      </c>
      <c r="B429" s="178"/>
      <c r="C429" s="178"/>
      <c r="D429" s="193"/>
      <c r="E429" s="193"/>
      <c r="F429" s="180"/>
      <c r="G429" s="180"/>
      <c r="H429" s="180"/>
      <c r="I429" s="180"/>
      <c r="J429" s="180"/>
      <c r="K429" s="180"/>
      <c r="L429" s="180"/>
      <c r="M429" s="181"/>
      <c r="N429" s="163" t="str">
        <f t="shared" si="33"/>
        <v/>
      </c>
      <c r="O429" s="126" t="str">
        <f t="shared" si="34"/>
        <v>-</v>
      </c>
      <c r="P429" s="164"/>
      <c r="Q429" s="164"/>
      <c r="R429" s="164"/>
      <c r="S429" s="164"/>
      <c r="T429" s="164"/>
      <c r="U429" s="164"/>
      <c r="V429" s="164"/>
    </row>
    <row r="430" spans="1:25" ht="27" customHeight="1">
      <c r="A430" s="192" t="str">
        <f>IF(ISBLANK(C430)," ",425-COUNTBLANK($C$6:C430))</f>
        <v xml:space="preserve"> </v>
      </c>
      <c r="B430" s="178"/>
      <c r="C430" s="178"/>
      <c r="D430" s="193"/>
      <c r="E430" s="193"/>
      <c r="F430" s="180"/>
      <c r="G430" s="180"/>
      <c r="H430" s="180"/>
      <c r="I430" s="180"/>
      <c r="J430" s="180"/>
      <c r="K430" s="180"/>
      <c r="L430" s="180"/>
      <c r="M430" s="181"/>
      <c r="N430" s="163" t="str">
        <f t="shared" si="33"/>
        <v/>
      </c>
      <c r="O430" s="126" t="str">
        <f t="shared" si="34"/>
        <v>-</v>
      </c>
      <c r="P430" s="164"/>
      <c r="Q430" s="164"/>
      <c r="R430" s="164"/>
      <c r="S430" s="164"/>
      <c r="T430" s="164"/>
      <c r="U430" s="164"/>
      <c r="V430" s="164"/>
    </row>
    <row r="431" spans="1:25" ht="27" customHeight="1">
      <c r="A431" s="192" t="str">
        <f>IF(ISBLANK(C431)," ",426-COUNTBLANK($C$6:C431))</f>
        <v xml:space="preserve"> </v>
      </c>
      <c r="B431" s="178"/>
      <c r="C431" s="178"/>
      <c r="D431" s="193"/>
      <c r="E431" s="193"/>
      <c r="F431" s="180"/>
      <c r="G431" s="180"/>
      <c r="H431" s="180"/>
      <c r="I431" s="180"/>
      <c r="J431" s="180"/>
      <c r="K431" s="180"/>
      <c r="L431" s="180"/>
      <c r="M431" s="181"/>
      <c r="N431" s="163" t="str">
        <f t="shared" si="33"/>
        <v/>
      </c>
      <c r="O431" s="126" t="str">
        <f t="shared" si="34"/>
        <v>-</v>
      </c>
      <c r="P431" s="164"/>
      <c r="Q431" s="164"/>
      <c r="R431" s="164"/>
      <c r="S431" s="164"/>
      <c r="T431" s="164"/>
      <c r="U431" s="164"/>
      <c r="V431" s="164"/>
    </row>
    <row r="432" spans="1:25" ht="27" customHeight="1">
      <c r="A432" s="192" t="str">
        <f>IF(ISBLANK(C432)," ",427-COUNTBLANK($C$6:C432))</f>
        <v xml:space="preserve"> </v>
      </c>
      <c r="B432" s="178"/>
      <c r="C432" s="178"/>
      <c r="D432" s="193"/>
      <c r="E432" s="193"/>
      <c r="F432" s="180"/>
      <c r="G432" s="180"/>
      <c r="H432" s="180"/>
      <c r="I432" s="180"/>
      <c r="J432" s="180"/>
      <c r="K432" s="180"/>
      <c r="L432" s="180"/>
      <c r="M432" s="181"/>
      <c r="N432" s="163" t="str">
        <f t="shared" si="33"/>
        <v/>
      </c>
      <c r="O432" s="126" t="str">
        <f t="shared" si="34"/>
        <v>-</v>
      </c>
      <c r="P432" s="164"/>
      <c r="Q432" s="164"/>
      <c r="R432" s="164"/>
      <c r="S432" s="164"/>
      <c r="T432" s="164"/>
      <c r="U432" s="164"/>
      <c r="V432" s="164"/>
    </row>
    <row r="433" spans="1:25" ht="27" customHeight="1">
      <c r="A433" s="192" t="str">
        <f>IF(ISBLANK(C433)," ",428-COUNTBLANK($C$6:C433))</f>
        <v xml:space="preserve"> </v>
      </c>
      <c r="B433" s="178"/>
      <c r="C433" s="178"/>
      <c r="D433" s="193"/>
      <c r="E433" s="193"/>
      <c r="F433" s="180"/>
      <c r="G433" s="180"/>
      <c r="H433" s="180"/>
      <c r="I433" s="180"/>
      <c r="J433" s="180"/>
      <c r="K433" s="180"/>
      <c r="L433" s="180"/>
      <c r="M433" s="181"/>
      <c r="N433" s="163" t="str">
        <f t="shared" si="33"/>
        <v/>
      </c>
      <c r="O433" s="126" t="str">
        <f t="shared" si="34"/>
        <v>-</v>
      </c>
      <c r="P433" s="164"/>
      <c r="Q433" s="164"/>
      <c r="R433" s="164"/>
      <c r="S433" s="164"/>
      <c r="T433" s="164"/>
      <c r="U433" s="164"/>
      <c r="V433" s="164"/>
    </row>
    <row r="434" spans="1:25" ht="27" customHeight="1">
      <c r="A434" s="192" t="str">
        <f>IF(ISBLANK(C434)," ",429-COUNTBLANK($C$6:C434))</f>
        <v xml:space="preserve"> </v>
      </c>
      <c r="B434" s="178"/>
      <c r="C434" s="178"/>
      <c r="D434" s="193"/>
      <c r="E434" s="193"/>
      <c r="F434" s="180"/>
      <c r="G434" s="180"/>
      <c r="H434" s="180"/>
      <c r="I434" s="180"/>
      <c r="J434" s="180"/>
      <c r="K434" s="180"/>
      <c r="L434" s="180"/>
      <c r="M434" s="181"/>
      <c r="N434" s="163" t="str">
        <f t="shared" si="33"/>
        <v/>
      </c>
      <c r="O434" s="126" t="str">
        <f t="shared" si="34"/>
        <v>-</v>
      </c>
      <c r="P434" s="164"/>
      <c r="Q434" s="164"/>
      <c r="R434" s="164"/>
      <c r="S434" s="164"/>
      <c r="T434" s="164"/>
      <c r="U434" s="164"/>
      <c r="V434" s="164"/>
    </row>
    <row r="435" spans="1:25" ht="27" customHeight="1">
      <c r="A435" s="192" t="str">
        <f>IF(ISBLANK(C435)," ",430-COUNTBLANK($C$6:C435))</f>
        <v xml:space="preserve"> </v>
      </c>
      <c r="B435" s="178"/>
      <c r="C435" s="178"/>
      <c r="D435" s="193"/>
      <c r="E435" s="193"/>
      <c r="F435" s="180"/>
      <c r="G435" s="180"/>
      <c r="H435" s="180"/>
      <c r="I435" s="180"/>
      <c r="J435" s="180"/>
      <c r="K435" s="180"/>
      <c r="L435" s="180"/>
      <c r="M435" s="181"/>
      <c r="N435" s="163" t="str">
        <f t="shared" si="33"/>
        <v/>
      </c>
      <c r="O435" s="126" t="str">
        <f t="shared" si="34"/>
        <v>-</v>
      </c>
      <c r="P435" s="164"/>
      <c r="Q435" s="164"/>
      <c r="R435" s="164"/>
      <c r="S435" s="164"/>
      <c r="T435" s="164"/>
      <c r="U435" s="164"/>
      <c r="V435" s="164"/>
    </row>
    <row r="436" spans="1:25" ht="27" customHeight="1">
      <c r="A436" s="192" t="str">
        <f>IF(ISBLANK(C436)," ",431-COUNTBLANK($C$6:C436))</f>
        <v xml:space="preserve"> </v>
      </c>
      <c r="B436" s="178"/>
      <c r="C436" s="178"/>
      <c r="D436" s="193"/>
      <c r="E436" s="193"/>
      <c r="F436" s="180"/>
      <c r="G436" s="180"/>
      <c r="H436" s="180"/>
      <c r="I436" s="180"/>
      <c r="J436" s="180"/>
      <c r="K436" s="180"/>
      <c r="L436" s="180"/>
      <c r="M436" s="181"/>
      <c r="N436" s="163" t="str">
        <f t="shared" si="33"/>
        <v/>
      </c>
      <c r="O436" s="126" t="str">
        <f t="shared" si="34"/>
        <v>-</v>
      </c>
      <c r="P436" s="164"/>
      <c r="Q436" s="164"/>
      <c r="R436" s="164"/>
      <c r="S436" s="164"/>
      <c r="T436" s="164"/>
      <c r="U436" s="164"/>
      <c r="V436" s="164"/>
    </row>
    <row r="437" spans="1:25" ht="27" customHeight="1">
      <c r="A437" s="192" t="str">
        <f>IF(ISBLANK(C437)," ",432-COUNTBLANK($C$6:C437))</f>
        <v xml:space="preserve"> </v>
      </c>
      <c r="B437" s="178"/>
      <c r="C437" s="178"/>
      <c r="D437" s="193"/>
      <c r="E437" s="193"/>
      <c r="F437" s="180"/>
      <c r="G437" s="180"/>
      <c r="H437" s="180"/>
      <c r="I437" s="180"/>
      <c r="J437" s="180"/>
      <c r="K437" s="180"/>
      <c r="L437" s="180"/>
      <c r="M437" s="181"/>
      <c r="N437" s="163" t="str">
        <f t="shared" si="33"/>
        <v/>
      </c>
      <c r="O437" s="126" t="str">
        <f t="shared" si="34"/>
        <v>-</v>
      </c>
      <c r="P437" s="164"/>
      <c r="Q437" s="164"/>
      <c r="R437" s="164"/>
      <c r="S437" s="164"/>
      <c r="T437" s="164"/>
      <c r="U437" s="164"/>
      <c r="V437" s="164"/>
    </row>
    <row r="438" spans="1:25" ht="27" customHeight="1">
      <c r="A438" s="192" t="str">
        <f>IF(ISBLANK(C438)," ",433-COUNTBLANK($C$6:C438))</f>
        <v xml:space="preserve"> </v>
      </c>
      <c r="B438" s="178"/>
      <c r="C438" s="178"/>
      <c r="D438" s="193"/>
      <c r="E438" s="193"/>
      <c r="F438" s="180"/>
      <c r="G438" s="180"/>
      <c r="H438" s="180"/>
      <c r="I438" s="180"/>
      <c r="J438" s="180"/>
      <c r="K438" s="180"/>
      <c r="L438" s="180"/>
      <c r="M438" s="181"/>
      <c r="N438" s="163" t="str">
        <f t="shared" si="33"/>
        <v/>
      </c>
      <c r="O438" s="126" t="str">
        <f t="shared" si="34"/>
        <v>-</v>
      </c>
      <c r="P438" s="164"/>
      <c r="Q438" s="164"/>
      <c r="R438" s="164"/>
      <c r="S438" s="164"/>
      <c r="T438" s="164"/>
      <c r="U438" s="164"/>
      <c r="V438" s="164"/>
    </row>
    <row r="439" spans="1:25" ht="27" customHeight="1">
      <c r="A439" s="192" t="str">
        <f>IF(ISBLANK(C439)," ",434-COUNTBLANK($C$6:C439))</f>
        <v xml:space="preserve"> </v>
      </c>
      <c r="B439" s="178"/>
      <c r="C439" s="178"/>
      <c r="D439" s="193"/>
      <c r="E439" s="193"/>
      <c r="F439" s="180"/>
      <c r="G439" s="180"/>
      <c r="H439" s="180"/>
      <c r="I439" s="180"/>
      <c r="J439" s="180"/>
      <c r="K439" s="180"/>
      <c r="L439" s="180"/>
      <c r="M439" s="181"/>
      <c r="N439" s="163" t="str">
        <f t="shared" si="33"/>
        <v/>
      </c>
      <c r="O439" s="126" t="str">
        <f t="shared" si="34"/>
        <v>-</v>
      </c>
      <c r="P439" s="164"/>
      <c r="Q439" s="164"/>
      <c r="R439" s="164"/>
      <c r="S439" s="164"/>
      <c r="T439" s="164"/>
      <c r="U439" s="164"/>
      <c r="V439" s="164"/>
    </row>
    <row r="440" spans="1:25" ht="27" customHeight="1">
      <c r="A440" s="192" t="str">
        <f>IF(ISBLANK(C440)," ",435-COUNTBLANK($C$6:C440))</f>
        <v xml:space="preserve"> </v>
      </c>
      <c r="B440" s="178"/>
      <c r="C440" s="178"/>
      <c r="D440" s="193"/>
      <c r="E440" s="193"/>
      <c r="F440" s="180"/>
      <c r="G440" s="180"/>
      <c r="H440" s="180"/>
      <c r="I440" s="180"/>
      <c r="J440" s="180"/>
      <c r="K440" s="180"/>
      <c r="L440" s="180"/>
      <c r="M440" s="181"/>
      <c r="N440" s="163" t="str">
        <f t="shared" si="33"/>
        <v/>
      </c>
      <c r="O440" s="126" t="str">
        <f t="shared" si="34"/>
        <v>-</v>
      </c>
      <c r="P440" s="164"/>
      <c r="Q440" s="164"/>
      <c r="R440" s="164"/>
      <c r="S440" s="164"/>
      <c r="T440" s="164"/>
      <c r="U440" s="164"/>
      <c r="V440" s="164"/>
    </row>
    <row r="441" spans="1:25" ht="27" customHeight="1">
      <c r="A441" s="192" t="str">
        <f>IF(ISBLANK(C441)," ",436-COUNTBLANK($C$6:C441))</f>
        <v xml:space="preserve"> </v>
      </c>
      <c r="B441" s="178"/>
      <c r="C441" s="178"/>
      <c r="D441" s="193"/>
      <c r="E441" s="193"/>
      <c r="F441" s="180"/>
      <c r="G441" s="180"/>
      <c r="H441" s="180"/>
      <c r="I441" s="180"/>
      <c r="J441" s="180"/>
      <c r="K441" s="180"/>
      <c r="L441" s="180"/>
      <c r="M441" s="181"/>
      <c r="N441" s="163" t="str">
        <f t="shared" si="33"/>
        <v/>
      </c>
      <c r="O441" s="126" t="str">
        <f t="shared" si="34"/>
        <v>-</v>
      </c>
      <c r="P441" s="164"/>
      <c r="Q441" s="164"/>
      <c r="R441" s="164"/>
      <c r="S441" s="164"/>
      <c r="T441" s="164"/>
      <c r="U441" s="164"/>
      <c r="V441" s="165"/>
    </row>
    <row r="442" spans="1:25" ht="27" customHeight="1">
      <c r="A442" s="192" t="str">
        <f>IF(ISBLANK(C442)," ",437-COUNTBLANK($C$6:C442))</f>
        <v xml:space="preserve"> </v>
      </c>
      <c r="B442" s="178"/>
      <c r="C442" s="178"/>
      <c r="D442" s="193"/>
      <c r="E442" s="193"/>
      <c r="F442" s="180"/>
      <c r="G442" s="180"/>
      <c r="H442" s="180"/>
      <c r="I442" s="180"/>
      <c r="J442" s="180"/>
      <c r="K442" s="180"/>
      <c r="L442" s="180"/>
      <c r="M442" s="181"/>
      <c r="N442" s="163" t="str">
        <f t="shared" si="33"/>
        <v/>
      </c>
      <c r="O442" s="126" t="str">
        <f t="shared" si="34"/>
        <v>-</v>
      </c>
      <c r="P442" s="164"/>
      <c r="Q442" s="164"/>
      <c r="R442" s="164"/>
      <c r="S442" s="164"/>
      <c r="T442" s="164"/>
      <c r="U442" s="164"/>
      <c r="V442" s="165"/>
    </row>
    <row r="443" spans="1:25" ht="27" customHeight="1">
      <c r="A443" s="192" t="str">
        <f>IF(ISBLANK(C443)," ",438-COUNTBLANK($C$6:C443))</f>
        <v xml:space="preserve"> </v>
      </c>
      <c r="B443" s="178"/>
      <c r="C443" s="178"/>
      <c r="D443" s="193"/>
      <c r="E443" s="193"/>
      <c r="F443" s="180"/>
      <c r="G443" s="180"/>
      <c r="H443" s="180"/>
      <c r="I443" s="180"/>
      <c r="J443" s="180"/>
      <c r="K443" s="180"/>
      <c r="L443" s="180"/>
      <c r="M443" s="181"/>
      <c r="N443" s="163" t="str">
        <f t="shared" si="33"/>
        <v/>
      </c>
      <c r="O443" s="126" t="str">
        <f t="shared" si="34"/>
        <v>-</v>
      </c>
      <c r="P443" s="164"/>
      <c r="Q443" s="164"/>
      <c r="R443" s="164"/>
      <c r="S443" s="164"/>
      <c r="T443" s="164"/>
      <c r="U443" s="164"/>
      <c r="V443" s="165"/>
    </row>
    <row r="444" spans="1:25" ht="27" customHeight="1">
      <c r="A444" s="192" t="str">
        <f>IF(ISBLANK(C444)," ",439-COUNTBLANK($C$6:C444))</f>
        <v xml:space="preserve"> </v>
      </c>
      <c r="B444" s="178"/>
      <c r="C444" s="178"/>
      <c r="D444" s="193"/>
      <c r="E444" s="193"/>
      <c r="F444" s="180"/>
      <c r="G444" s="180"/>
      <c r="H444" s="180"/>
      <c r="I444" s="180"/>
      <c r="J444" s="180"/>
      <c r="K444" s="180"/>
      <c r="L444" s="180"/>
      <c r="M444" s="181"/>
      <c r="N444" s="163" t="str">
        <f t="shared" si="33"/>
        <v/>
      </c>
      <c r="O444" s="126" t="str">
        <f t="shared" si="34"/>
        <v>-</v>
      </c>
      <c r="P444" s="164"/>
      <c r="Q444" s="164"/>
      <c r="R444" s="164"/>
      <c r="S444" s="164"/>
      <c r="T444" s="164"/>
      <c r="U444" s="164"/>
      <c r="V444" s="165"/>
    </row>
    <row r="445" spans="1:25" ht="27" customHeight="1">
      <c r="A445" s="192" t="str">
        <f>IF(ISBLANK(C445)," ",440-COUNTBLANK($C$6:C445))</f>
        <v xml:space="preserve"> </v>
      </c>
      <c r="B445" s="178"/>
      <c r="C445" s="178"/>
      <c r="D445" s="193"/>
      <c r="E445" s="193"/>
      <c r="F445" s="180"/>
      <c r="G445" s="180"/>
      <c r="H445" s="180"/>
      <c r="I445" s="180"/>
      <c r="J445" s="180"/>
      <c r="K445" s="180"/>
      <c r="L445" s="180"/>
      <c r="M445" s="181"/>
      <c r="N445" s="163" t="str">
        <f t="shared" si="33"/>
        <v/>
      </c>
      <c r="O445" s="126" t="str">
        <f t="shared" si="34"/>
        <v>-</v>
      </c>
      <c r="P445" s="164"/>
      <c r="Q445" s="164"/>
      <c r="R445" s="164"/>
      <c r="S445" s="164"/>
      <c r="T445" s="164"/>
      <c r="U445" s="164"/>
      <c r="V445" s="166"/>
      <c r="W445" s="164"/>
      <c r="X445" s="164"/>
      <c r="Y445" s="164"/>
    </row>
    <row r="446" spans="1:25" ht="27" customHeight="1">
      <c r="A446" s="172" t="s">
        <v>44</v>
      </c>
      <c r="B446" s="173"/>
      <c r="C446" s="174"/>
      <c r="D446" s="194"/>
      <c r="E446" s="194">
        <f>SUM(E426:E445)</f>
        <v>0</v>
      </c>
      <c r="F446" s="176"/>
      <c r="G446" s="176"/>
      <c r="H446" s="176"/>
      <c r="I446" s="176"/>
      <c r="J446" s="176"/>
      <c r="K446" s="176"/>
      <c r="L446" s="176"/>
      <c r="M446" s="177"/>
      <c r="N446" s="163" t="str">
        <f t="shared" si="33"/>
        <v/>
      </c>
      <c r="O446" s="126"/>
      <c r="P446" s="164"/>
      <c r="Q446" s="164"/>
      <c r="R446" s="164"/>
      <c r="S446" s="164"/>
      <c r="T446" s="164"/>
      <c r="U446" s="164"/>
      <c r="V446" s="166"/>
      <c r="W446" s="164"/>
      <c r="X446" s="164"/>
      <c r="Y446" s="164"/>
    </row>
    <row r="447" spans="1:25" ht="27" customHeight="1">
      <c r="A447" s="187" t="str">
        <f>IF(ISBLANK(C447)," ",442-COUNTBLANK($C$6:C447))</f>
        <v xml:space="preserve"> </v>
      </c>
      <c r="B447" s="188"/>
      <c r="C447" s="188"/>
      <c r="D447" s="189"/>
      <c r="E447" s="189"/>
      <c r="F447" s="190"/>
      <c r="G447" s="190"/>
      <c r="H447" s="190"/>
      <c r="I447" s="190"/>
      <c r="J447" s="190"/>
      <c r="K447" s="190"/>
      <c r="L447" s="190"/>
      <c r="M447" s="191"/>
      <c r="N447" s="163" t="str">
        <f>CONCATENATE(C447,H447)</f>
        <v/>
      </c>
      <c r="O447" s="126" t="str">
        <f>IF(D447&gt;=E447,"-","ERR")</f>
        <v>-</v>
      </c>
      <c r="P447" s="164"/>
      <c r="Q447" s="164"/>
      <c r="R447" s="164"/>
      <c r="S447" s="164"/>
      <c r="T447" s="164"/>
      <c r="U447" s="164"/>
      <c r="V447" s="164"/>
    </row>
    <row r="448" spans="1:25" ht="27" customHeight="1">
      <c r="A448" s="192" t="str">
        <f>IF(ISBLANK(C448)," ",443-COUNTBLANK($C$6:C448))</f>
        <v xml:space="preserve"> </v>
      </c>
      <c r="B448" s="178"/>
      <c r="C448" s="178"/>
      <c r="D448" s="193"/>
      <c r="E448" s="193"/>
      <c r="F448" s="180"/>
      <c r="G448" s="180"/>
      <c r="H448" s="180"/>
      <c r="I448" s="180"/>
      <c r="J448" s="180"/>
      <c r="K448" s="180"/>
      <c r="L448" s="180"/>
      <c r="M448" s="181"/>
      <c r="N448" s="163" t="str">
        <f t="shared" ref="N448:N467" si="35">CONCATENATE(C448,H448)</f>
        <v/>
      </c>
      <c r="O448" s="126" t="str">
        <f t="shared" ref="O448:O466" si="36">IF(D448&gt;=E448,"-","ERR")</f>
        <v>-</v>
      </c>
      <c r="P448" s="164"/>
      <c r="Q448" s="164"/>
      <c r="R448" s="164"/>
      <c r="S448" s="164"/>
      <c r="T448" s="164"/>
      <c r="U448" s="164"/>
      <c r="V448" s="164"/>
    </row>
    <row r="449" spans="1:22" ht="27" customHeight="1">
      <c r="A449" s="192" t="str">
        <f>IF(ISBLANK(C449)," ",444-COUNTBLANK($C$6:C449))</f>
        <v xml:space="preserve"> </v>
      </c>
      <c r="B449" s="178"/>
      <c r="C449" s="178"/>
      <c r="D449" s="193"/>
      <c r="E449" s="193"/>
      <c r="F449" s="180"/>
      <c r="G449" s="180"/>
      <c r="H449" s="180"/>
      <c r="I449" s="180"/>
      <c r="J449" s="180"/>
      <c r="K449" s="180"/>
      <c r="L449" s="180"/>
      <c r="M449" s="181"/>
      <c r="N449" s="163" t="str">
        <f t="shared" si="35"/>
        <v/>
      </c>
      <c r="O449" s="126" t="str">
        <f t="shared" si="36"/>
        <v>-</v>
      </c>
      <c r="P449" s="164"/>
      <c r="Q449" s="164"/>
      <c r="R449" s="164"/>
      <c r="S449" s="164"/>
      <c r="T449" s="164"/>
      <c r="U449" s="164"/>
      <c r="V449" s="164"/>
    </row>
    <row r="450" spans="1:22" ht="27" customHeight="1">
      <c r="A450" s="192" t="str">
        <f>IF(ISBLANK(C450)," ",445-COUNTBLANK($C$6:C450))</f>
        <v xml:space="preserve"> </v>
      </c>
      <c r="B450" s="178"/>
      <c r="C450" s="178"/>
      <c r="D450" s="193"/>
      <c r="E450" s="193"/>
      <c r="F450" s="180"/>
      <c r="G450" s="180"/>
      <c r="H450" s="180"/>
      <c r="I450" s="180"/>
      <c r="J450" s="180"/>
      <c r="K450" s="180"/>
      <c r="L450" s="180"/>
      <c r="M450" s="181"/>
      <c r="N450" s="163" t="str">
        <f t="shared" si="35"/>
        <v/>
      </c>
      <c r="O450" s="126" t="str">
        <f t="shared" si="36"/>
        <v>-</v>
      </c>
      <c r="P450" s="164"/>
      <c r="Q450" s="164"/>
      <c r="R450" s="164"/>
      <c r="S450" s="164"/>
      <c r="T450" s="164"/>
      <c r="U450" s="164"/>
      <c r="V450" s="164"/>
    </row>
    <row r="451" spans="1:22" ht="27" customHeight="1">
      <c r="A451" s="192" t="str">
        <f>IF(ISBLANK(C451)," ",446-COUNTBLANK($C$6:C451))</f>
        <v xml:space="preserve"> </v>
      </c>
      <c r="B451" s="178"/>
      <c r="C451" s="178"/>
      <c r="D451" s="193"/>
      <c r="E451" s="193"/>
      <c r="F451" s="180"/>
      <c r="G451" s="180"/>
      <c r="H451" s="180"/>
      <c r="I451" s="180"/>
      <c r="J451" s="180"/>
      <c r="K451" s="180"/>
      <c r="L451" s="180"/>
      <c r="M451" s="181"/>
      <c r="N451" s="163" t="str">
        <f t="shared" si="35"/>
        <v/>
      </c>
      <c r="O451" s="126" t="str">
        <f t="shared" si="36"/>
        <v>-</v>
      </c>
      <c r="P451" s="164"/>
      <c r="Q451" s="164"/>
      <c r="R451" s="164"/>
      <c r="S451" s="164"/>
      <c r="T451" s="164"/>
      <c r="U451" s="164"/>
      <c r="V451" s="164"/>
    </row>
    <row r="452" spans="1:22" ht="27" customHeight="1">
      <c r="A452" s="192" t="str">
        <f>IF(ISBLANK(C452)," ",447-COUNTBLANK($C$6:C452))</f>
        <v xml:space="preserve"> </v>
      </c>
      <c r="B452" s="178"/>
      <c r="C452" s="178"/>
      <c r="D452" s="193"/>
      <c r="E452" s="193"/>
      <c r="F452" s="180"/>
      <c r="G452" s="180"/>
      <c r="H452" s="180"/>
      <c r="I452" s="180"/>
      <c r="J452" s="180"/>
      <c r="K452" s="180"/>
      <c r="L452" s="180"/>
      <c r="M452" s="181"/>
      <c r="N452" s="163" t="str">
        <f t="shared" si="35"/>
        <v/>
      </c>
      <c r="O452" s="126" t="str">
        <f t="shared" si="36"/>
        <v>-</v>
      </c>
      <c r="P452" s="164"/>
      <c r="Q452" s="164"/>
      <c r="R452" s="164"/>
      <c r="S452" s="164"/>
      <c r="T452" s="164"/>
      <c r="U452" s="164"/>
      <c r="V452" s="164"/>
    </row>
    <row r="453" spans="1:22" ht="27" customHeight="1">
      <c r="A453" s="192" t="str">
        <f>IF(ISBLANK(C453)," ",448-COUNTBLANK($C$6:C453))</f>
        <v xml:space="preserve"> </v>
      </c>
      <c r="B453" s="178"/>
      <c r="C453" s="178"/>
      <c r="D453" s="193"/>
      <c r="E453" s="193"/>
      <c r="F453" s="180"/>
      <c r="G453" s="180"/>
      <c r="H453" s="180"/>
      <c r="I453" s="180"/>
      <c r="J453" s="180"/>
      <c r="K453" s="180"/>
      <c r="L453" s="180"/>
      <c r="M453" s="181"/>
      <c r="N453" s="163" t="str">
        <f t="shared" si="35"/>
        <v/>
      </c>
      <c r="O453" s="126" t="str">
        <f t="shared" si="36"/>
        <v>-</v>
      </c>
      <c r="P453" s="164"/>
      <c r="Q453" s="164"/>
      <c r="R453" s="164"/>
      <c r="S453" s="164"/>
      <c r="T453" s="164"/>
      <c r="U453" s="164"/>
      <c r="V453" s="164"/>
    </row>
    <row r="454" spans="1:22" ht="27" customHeight="1">
      <c r="A454" s="192" t="str">
        <f>IF(ISBLANK(C454)," ",449-COUNTBLANK($C$6:C454))</f>
        <v xml:space="preserve"> </v>
      </c>
      <c r="B454" s="178"/>
      <c r="C454" s="178"/>
      <c r="D454" s="193"/>
      <c r="E454" s="193"/>
      <c r="F454" s="180"/>
      <c r="G454" s="180"/>
      <c r="H454" s="180"/>
      <c r="I454" s="180"/>
      <c r="J454" s="180"/>
      <c r="K454" s="180"/>
      <c r="L454" s="180"/>
      <c r="M454" s="181"/>
      <c r="N454" s="163" t="str">
        <f t="shared" si="35"/>
        <v/>
      </c>
      <c r="O454" s="126" t="str">
        <f t="shared" si="36"/>
        <v>-</v>
      </c>
      <c r="P454" s="164"/>
      <c r="Q454" s="164"/>
      <c r="R454" s="164"/>
      <c r="S454" s="164"/>
      <c r="T454" s="164"/>
      <c r="U454" s="164"/>
      <c r="V454" s="164"/>
    </row>
    <row r="455" spans="1:22" ht="27" customHeight="1">
      <c r="A455" s="192" t="str">
        <f>IF(ISBLANK(C455)," ",450-COUNTBLANK($C$6:C455))</f>
        <v xml:space="preserve"> </v>
      </c>
      <c r="B455" s="178"/>
      <c r="C455" s="178"/>
      <c r="D455" s="193"/>
      <c r="E455" s="193"/>
      <c r="F455" s="180"/>
      <c r="G455" s="180"/>
      <c r="H455" s="180"/>
      <c r="I455" s="180"/>
      <c r="J455" s="180"/>
      <c r="K455" s="180"/>
      <c r="L455" s="180"/>
      <c r="M455" s="181"/>
      <c r="N455" s="163" t="str">
        <f t="shared" si="35"/>
        <v/>
      </c>
      <c r="O455" s="126" t="str">
        <f t="shared" si="36"/>
        <v>-</v>
      </c>
      <c r="P455" s="164"/>
      <c r="Q455" s="164"/>
      <c r="R455" s="164"/>
      <c r="S455" s="164"/>
      <c r="T455" s="164"/>
      <c r="U455" s="164"/>
      <c r="V455" s="164"/>
    </row>
    <row r="456" spans="1:22" ht="27" customHeight="1">
      <c r="A456" s="192" t="str">
        <f>IF(ISBLANK(C456)," ",451-COUNTBLANK($C$6:C456))</f>
        <v xml:space="preserve"> </v>
      </c>
      <c r="B456" s="178"/>
      <c r="C456" s="178"/>
      <c r="D456" s="193"/>
      <c r="E456" s="193"/>
      <c r="F456" s="180"/>
      <c r="G456" s="180"/>
      <c r="H456" s="180"/>
      <c r="I456" s="180"/>
      <c r="J456" s="180"/>
      <c r="K456" s="180"/>
      <c r="L456" s="180"/>
      <c r="M456" s="181"/>
      <c r="N456" s="163" t="str">
        <f t="shared" si="35"/>
        <v/>
      </c>
      <c r="O456" s="126" t="str">
        <f t="shared" si="36"/>
        <v>-</v>
      </c>
      <c r="P456" s="164"/>
      <c r="Q456" s="164"/>
      <c r="R456" s="164"/>
      <c r="S456" s="164"/>
      <c r="T456" s="164"/>
      <c r="U456" s="164"/>
      <c r="V456" s="164"/>
    </row>
    <row r="457" spans="1:22" ht="27" customHeight="1">
      <c r="A457" s="192" t="str">
        <f>IF(ISBLANK(C457)," ",452-COUNTBLANK($C$6:C457))</f>
        <v xml:space="preserve"> </v>
      </c>
      <c r="B457" s="178"/>
      <c r="C457" s="178"/>
      <c r="D457" s="193"/>
      <c r="E457" s="193"/>
      <c r="F457" s="180"/>
      <c r="G457" s="180"/>
      <c r="H457" s="180"/>
      <c r="I457" s="180"/>
      <c r="J457" s="180"/>
      <c r="K457" s="180"/>
      <c r="L457" s="180"/>
      <c r="M457" s="181"/>
      <c r="N457" s="163" t="str">
        <f t="shared" si="35"/>
        <v/>
      </c>
      <c r="O457" s="126" t="str">
        <f t="shared" si="36"/>
        <v>-</v>
      </c>
      <c r="P457" s="164"/>
      <c r="Q457" s="164"/>
      <c r="R457" s="164"/>
      <c r="S457" s="164"/>
      <c r="T457" s="164"/>
      <c r="U457" s="164"/>
      <c r="V457" s="164"/>
    </row>
    <row r="458" spans="1:22" ht="27" customHeight="1">
      <c r="A458" s="192" t="str">
        <f>IF(ISBLANK(C458)," ",453-COUNTBLANK($C$6:C458))</f>
        <v xml:space="preserve"> </v>
      </c>
      <c r="B458" s="178"/>
      <c r="C458" s="178"/>
      <c r="D458" s="193"/>
      <c r="E458" s="193"/>
      <c r="F458" s="180"/>
      <c r="G458" s="180"/>
      <c r="H458" s="180"/>
      <c r="I458" s="180"/>
      <c r="J458" s="180"/>
      <c r="K458" s="180"/>
      <c r="L458" s="180"/>
      <c r="M458" s="181"/>
      <c r="N458" s="163" t="str">
        <f t="shared" si="35"/>
        <v/>
      </c>
      <c r="O458" s="126" t="str">
        <f t="shared" si="36"/>
        <v>-</v>
      </c>
      <c r="P458" s="164"/>
      <c r="Q458" s="164"/>
      <c r="R458" s="164"/>
      <c r="S458" s="164"/>
      <c r="T458" s="164"/>
      <c r="U458" s="164"/>
      <c r="V458" s="164"/>
    </row>
    <row r="459" spans="1:22" ht="27" customHeight="1">
      <c r="A459" s="192" t="str">
        <f>IF(ISBLANK(C459)," ",454-COUNTBLANK($C$6:C459))</f>
        <v xml:space="preserve"> </v>
      </c>
      <c r="B459" s="178"/>
      <c r="C459" s="178"/>
      <c r="D459" s="193"/>
      <c r="E459" s="193"/>
      <c r="F459" s="180"/>
      <c r="G459" s="180"/>
      <c r="H459" s="180"/>
      <c r="I459" s="180"/>
      <c r="J459" s="180"/>
      <c r="K459" s="180"/>
      <c r="L459" s="180"/>
      <c r="M459" s="181"/>
      <c r="N459" s="163" t="str">
        <f t="shared" si="35"/>
        <v/>
      </c>
      <c r="O459" s="126" t="str">
        <f t="shared" si="36"/>
        <v>-</v>
      </c>
      <c r="P459" s="164"/>
      <c r="Q459" s="164"/>
      <c r="R459" s="164"/>
      <c r="S459" s="164"/>
      <c r="T459" s="164"/>
      <c r="U459" s="164"/>
      <c r="V459" s="164"/>
    </row>
    <row r="460" spans="1:22" ht="27" customHeight="1">
      <c r="A460" s="192" t="str">
        <f>IF(ISBLANK(C460)," ",455-COUNTBLANK($C$6:C460))</f>
        <v xml:space="preserve"> </v>
      </c>
      <c r="B460" s="178"/>
      <c r="C460" s="178"/>
      <c r="D460" s="193"/>
      <c r="E460" s="193"/>
      <c r="F460" s="180"/>
      <c r="G460" s="180"/>
      <c r="H460" s="180"/>
      <c r="I460" s="180"/>
      <c r="J460" s="180"/>
      <c r="K460" s="180"/>
      <c r="L460" s="180"/>
      <c r="M460" s="181"/>
      <c r="N460" s="163" t="str">
        <f t="shared" si="35"/>
        <v/>
      </c>
      <c r="O460" s="126" t="str">
        <f t="shared" si="36"/>
        <v>-</v>
      </c>
      <c r="P460" s="164"/>
      <c r="Q460" s="164"/>
      <c r="R460" s="164"/>
      <c r="S460" s="164"/>
      <c r="T460" s="164"/>
      <c r="U460" s="164"/>
      <c r="V460" s="164"/>
    </row>
    <row r="461" spans="1:22" ht="27" customHeight="1">
      <c r="A461" s="192" t="str">
        <f>IF(ISBLANK(C461)," ",456-COUNTBLANK($C$6:C461))</f>
        <v xml:space="preserve"> </v>
      </c>
      <c r="B461" s="178"/>
      <c r="C461" s="178"/>
      <c r="D461" s="193"/>
      <c r="E461" s="193"/>
      <c r="F461" s="180"/>
      <c r="G461" s="180"/>
      <c r="H461" s="180"/>
      <c r="I461" s="180"/>
      <c r="J461" s="180"/>
      <c r="K461" s="180"/>
      <c r="L461" s="180"/>
      <c r="M461" s="181"/>
      <c r="N461" s="163" t="str">
        <f t="shared" si="35"/>
        <v/>
      </c>
      <c r="O461" s="126" t="str">
        <f t="shared" si="36"/>
        <v>-</v>
      </c>
      <c r="P461" s="164"/>
      <c r="Q461" s="164"/>
      <c r="R461" s="164"/>
      <c r="S461" s="164"/>
      <c r="T461" s="164"/>
      <c r="U461" s="164"/>
      <c r="V461" s="164"/>
    </row>
    <row r="462" spans="1:22" ht="27" customHeight="1">
      <c r="A462" s="192" t="str">
        <f>IF(ISBLANK(C462)," ",457-COUNTBLANK($C$6:C462))</f>
        <v xml:space="preserve"> </v>
      </c>
      <c r="B462" s="178"/>
      <c r="C462" s="178"/>
      <c r="D462" s="193"/>
      <c r="E462" s="193"/>
      <c r="F462" s="180"/>
      <c r="G462" s="180"/>
      <c r="H462" s="180"/>
      <c r="I462" s="180"/>
      <c r="J462" s="180"/>
      <c r="K462" s="180"/>
      <c r="L462" s="180"/>
      <c r="M462" s="181"/>
      <c r="N462" s="163" t="str">
        <f t="shared" si="35"/>
        <v/>
      </c>
      <c r="O462" s="126" t="str">
        <f t="shared" si="36"/>
        <v>-</v>
      </c>
      <c r="P462" s="164"/>
      <c r="Q462" s="164"/>
      <c r="R462" s="164"/>
      <c r="S462" s="164"/>
      <c r="T462" s="164"/>
      <c r="U462" s="164"/>
      <c r="V462" s="165"/>
    </row>
    <row r="463" spans="1:22" ht="27" customHeight="1">
      <c r="A463" s="192" t="str">
        <f>IF(ISBLANK(C463)," ",458-COUNTBLANK($C$6:C463))</f>
        <v xml:space="preserve"> </v>
      </c>
      <c r="B463" s="178"/>
      <c r="C463" s="178"/>
      <c r="D463" s="193"/>
      <c r="E463" s="193"/>
      <c r="F463" s="180"/>
      <c r="G463" s="180"/>
      <c r="H463" s="180"/>
      <c r="I463" s="180"/>
      <c r="J463" s="180"/>
      <c r="K463" s="180"/>
      <c r="L463" s="180"/>
      <c r="M463" s="181"/>
      <c r="N463" s="163" t="str">
        <f t="shared" si="35"/>
        <v/>
      </c>
      <c r="O463" s="126" t="str">
        <f t="shared" si="36"/>
        <v>-</v>
      </c>
      <c r="P463" s="164"/>
      <c r="Q463" s="164"/>
      <c r="R463" s="164"/>
      <c r="S463" s="164"/>
      <c r="T463" s="164"/>
      <c r="U463" s="164"/>
      <c r="V463" s="165"/>
    </row>
    <row r="464" spans="1:22" ht="27" customHeight="1">
      <c r="A464" s="192" t="str">
        <f>IF(ISBLANK(C464)," ",459-COUNTBLANK($C$6:C464))</f>
        <v xml:space="preserve"> </v>
      </c>
      <c r="B464" s="178"/>
      <c r="C464" s="178"/>
      <c r="D464" s="193"/>
      <c r="E464" s="193"/>
      <c r="F464" s="180"/>
      <c r="G464" s="180"/>
      <c r="H464" s="180"/>
      <c r="I464" s="180"/>
      <c r="J464" s="180"/>
      <c r="K464" s="180"/>
      <c r="L464" s="180"/>
      <c r="M464" s="181"/>
      <c r="N464" s="163" t="str">
        <f t="shared" si="35"/>
        <v/>
      </c>
      <c r="O464" s="126" t="str">
        <f t="shared" si="36"/>
        <v>-</v>
      </c>
      <c r="P464" s="164"/>
      <c r="Q464" s="164"/>
      <c r="R464" s="164"/>
      <c r="S464" s="164"/>
      <c r="T464" s="164"/>
      <c r="U464" s="164"/>
      <c r="V464" s="165"/>
    </row>
    <row r="465" spans="1:25" ht="27" customHeight="1">
      <c r="A465" s="192" t="str">
        <f>IF(ISBLANK(C465)," ",460-COUNTBLANK($C$6:C465))</f>
        <v xml:space="preserve"> </v>
      </c>
      <c r="B465" s="178"/>
      <c r="C465" s="178"/>
      <c r="D465" s="193"/>
      <c r="E465" s="193"/>
      <c r="F465" s="180"/>
      <c r="G465" s="180"/>
      <c r="H465" s="180"/>
      <c r="I465" s="180"/>
      <c r="J465" s="180"/>
      <c r="K465" s="180"/>
      <c r="L465" s="180"/>
      <c r="M465" s="181"/>
      <c r="N465" s="163" t="str">
        <f t="shared" si="35"/>
        <v/>
      </c>
      <c r="O465" s="126" t="str">
        <f t="shared" si="36"/>
        <v>-</v>
      </c>
      <c r="P465" s="164"/>
      <c r="Q465" s="164"/>
      <c r="R465" s="164"/>
      <c r="S465" s="164"/>
      <c r="T465" s="164"/>
      <c r="U465" s="164"/>
      <c r="V465" s="165"/>
    </row>
    <row r="466" spans="1:25" ht="27" customHeight="1">
      <c r="A466" s="192" t="str">
        <f>IF(ISBLANK(C466)," ",461-COUNTBLANK($C$6:C466))</f>
        <v xml:space="preserve"> </v>
      </c>
      <c r="B466" s="178"/>
      <c r="C466" s="178"/>
      <c r="D466" s="193"/>
      <c r="E466" s="193"/>
      <c r="F466" s="180"/>
      <c r="G466" s="180"/>
      <c r="H466" s="180"/>
      <c r="I466" s="180"/>
      <c r="J466" s="180"/>
      <c r="K466" s="180"/>
      <c r="L466" s="180"/>
      <c r="M466" s="181"/>
      <c r="N466" s="163" t="str">
        <f t="shared" si="35"/>
        <v/>
      </c>
      <c r="O466" s="126" t="str">
        <f t="shared" si="36"/>
        <v>-</v>
      </c>
      <c r="P466" s="164"/>
      <c r="Q466" s="164"/>
      <c r="R466" s="164"/>
      <c r="S466" s="164"/>
      <c r="T466" s="164"/>
      <c r="U466" s="164"/>
      <c r="V466" s="166"/>
      <c r="W466" s="164"/>
      <c r="X466" s="164"/>
      <c r="Y466" s="164"/>
    </row>
    <row r="467" spans="1:25" ht="27" customHeight="1">
      <c r="A467" s="172" t="s">
        <v>44</v>
      </c>
      <c r="B467" s="173"/>
      <c r="C467" s="174"/>
      <c r="D467" s="194"/>
      <c r="E467" s="194">
        <f>SUM(E447:E466)</f>
        <v>0</v>
      </c>
      <c r="F467" s="176"/>
      <c r="G467" s="176"/>
      <c r="H467" s="176"/>
      <c r="I467" s="176"/>
      <c r="J467" s="176"/>
      <c r="K467" s="176"/>
      <c r="L467" s="176"/>
      <c r="M467" s="177"/>
      <c r="N467" s="163" t="str">
        <f t="shared" si="35"/>
        <v/>
      </c>
      <c r="O467" s="126"/>
      <c r="P467" s="164"/>
      <c r="Q467" s="164"/>
      <c r="R467" s="164"/>
      <c r="S467" s="164"/>
      <c r="T467" s="164"/>
      <c r="U467" s="164"/>
      <c r="V467" s="166"/>
      <c r="W467" s="164"/>
      <c r="X467" s="164"/>
      <c r="Y467" s="164"/>
    </row>
    <row r="468" spans="1:25" ht="27" customHeight="1">
      <c r="A468" s="187" t="str">
        <f>IF(ISBLANK(C468)," ",463-COUNTBLANK($C$6:C468))</f>
        <v xml:space="preserve"> </v>
      </c>
      <c r="B468" s="188"/>
      <c r="C468" s="188"/>
      <c r="D468" s="189"/>
      <c r="E468" s="189"/>
      <c r="F468" s="190"/>
      <c r="G468" s="190"/>
      <c r="H468" s="190"/>
      <c r="I468" s="190"/>
      <c r="J468" s="190"/>
      <c r="K468" s="190"/>
      <c r="L468" s="190"/>
      <c r="M468" s="191"/>
      <c r="N468" s="163" t="str">
        <f>CONCATENATE(C468,H468)</f>
        <v/>
      </c>
      <c r="O468" s="126" t="str">
        <f>IF(D468&gt;=E468,"-","ERR")</f>
        <v>-</v>
      </c>
      <c r="P468" s="164"/>
      <c r="Q468" s="164"/>
      <c r="R468" s="164"/>
      <c r="S468" s="164"/>
      <c r="T468" s="164"/>
      <c r="U468" s="164"/>
      <c r="V468" s="164"/>
    </row>
    <row r="469" spans="1:25" ht="27" customHeight="1">
      <c r="A469" s="192" t="str">
        <f>IF(ISBLANK(C469)," ",464-COUNTBLANK($C$6:C469))</f>
        <v xml:space="preserve"> </v>
      </c>
      <c r="B469" s="178"/>
      <c r="C469" s="178"/>
      <c r="D469" s="193"/>
      <c r="E469" s="193"/>
      <c r="F469" s="180"/>
      <c r="G469" s="180"/>
      <c r="H469" s="180"/>
      <c r="I469" s="180"/>
      <c r="J469" s="180"/>
      <c r="K469" s="180"/>
      <c r="L469" s="180"/>
      <c r="M469" s="181"/>
      <c r="N469" s="163" t="str">
        <f t="shared" ref="N469:N488" si="37">CONCATENATE(C469,H469)</f>
        <v/>
      </c>
      <c r="O469" s="126" t="str">
        <f t="shared" ref="O469:O487" si="38">IF(D469&gt;=E469,"-","ERR")</f>
        <v>-</v>
      </c>
      <c r="P469" s="164"/>
      <c r="Q469" s="164"/>
      <c r="R469" s="164"/>
      <c r="S469" s="164"/>
      <c r="T469" s="164"/>
      <c r="U469" s="164"/>
      <c r="V469" s="164"/>
    </row>
    <row r="470" spans="1:25" ht="27" customHeight="1">
      <c r="A470" s="192" t="str">
        <f>IF(ISBLANK(C470)," ",465-COUNTBLANK($C$6:C470))</f>
        <v xml:space="preserve"> </v>
      </c>
      <c r="B470" s="178"/>
      <c r="C470" s="178"/>
      <c r="D470" s="193"/>
      <c r="E470" s="193"/>
      <c r="F470" s="180"/>
      <c r="G470" s="180"/>
      <c r="H470" s="180"/>
      <c r="I470" s="180"/>
      <c r="J470" s="180"/>
      <c r="K470" s="180"/>
      <c r="L470" s="180"/>
      <c r="M470" s="181"/>
      <c r="N470" s="163" t="str">
        <f t="shared" si="37"/>
        <v/>
      </c>
      <c r="O470" s="126" t="str">
        <f t="shared" si="38"/>
        <v>-</v>
      </c>
      <c r="P470" s="164"/>
      <c r="Q470" s="164"/>
      <c r="R470" s="164"/>
      <c r="S470" s="164"/>
      <c r="T470" s="164"/>
      <c r="U470" s="164"/>
      <c r="V470" s="164"/>
    </row>
    <row r="471" spans="1:25" ht="27" customHeight="1">
      <c r="A471" s="192" t="str">
        <f>IF(ISBLANK(C471)," ",466-COUNTBLANK($C$6:C471))</f>
        <v xml:space="preserve"> </v>
      </c>
      <c r="B471" s="178"/>
      <c r="C471" s="178"/>
      <c r="D471" s="193"/>
      <c r="E471" s="193"/>
      <c r="F471" s="180"/>
      <c r="G471" s="180"/>
      <c r="H471" s="180"/>
      <c r="I471" s="180"/>
      <c r="J471" s="180"/>
      <c r="K471" s="180"/>
      <c r="L471" s="180"/>
      <c r="M471" s="181"/>
      <c r="N471" s="163" t="str">
        <f t="shared" si="37"/>
        <v/>
      </c>
      <c r="O471" s="126" t="str">
        <f t="shared" si="38"/>
        <v>-</v>
      </c>
      <c r="P471" s="164"/>
      <c r="Q471" s="164"/>
      <c r="R471" s="164"/>
      <c r="S471" s="164"/>
      <c r="T471" s="164"/>
      <c r="U471" s="164"/>
      <c r="V471" s="164"/>
    </row>
    <row r="472" spans="1:25" ht="27" customHeight="1">
      <c r="A472" s="192" t="str">
        <f>IF(ISBLANK(C472)," ",467-COUNTBLANK($C$6:C472))</f>
        <v xml:space="preserve"> </v>
      </c>
      <c r="B472" s="178"/>
      <c r="C472" s="178"/>
      <c r="D472" s="193"/>
      <c r="E472" s="193"/>
      <c r="F472" s="180"/>
      <c r="G472" s="180"/>
      <c r="H472" s="180"/>
      <c r="I472" s="180"/>
      <c r="J472" s="180"/>
      <c r="K472" s="180"/>
      <c r="L472" s="180"/>
      <c r="M472" s="181"/>
      <c r="N472" s="163" t="str">
        <f t="shared" si="37"/>
        <v/>
      </c>
      <c r="O472" s="126" t="str">
        <f t="shared" si="38"/>
        <v>-</v>
      </c>
      <c r="P472" s="164"/>
      <c r="Q472" s="164"/>
      <c r="R472" s="164"/>
      <c r="S472" s="164"/>
      <c r="T472" s="164"/>
      <c r="U472" s="164"/>
      <c r="V472" s="164"/>
    </row>
    <row r="473" spans="1:25" ht="27" customHeight="1">
      <c r="A473" s="192" t="str">
        <f>IF(ISBLANK(C473)," ",468-COUNTBLANK($C$6:C473))</f>
        <v xml:space="preserve"> </v>
      </c>
      <c r="B473" s="178"/>
      <c r="C473" s="178"/>
      <c r="D473" s="193"/>
      <c r="E473" s="193"/>
      <c r="F473" s="180"/>
      <c r="G473" s="180"/>
      <c r="H473" s="180"/>
      <c r="I473" s="180"/>
      <c r="J473" s="180"/>
      <c r="K473" s="180"/>
      <c r="L473" s="180"/>
      <c r="M473" s="181"/>
      <c r="N473" s="163" t="str">
        <f t="shared" si="37"/>
        <v/>
      </c>
      <c r="O473" s="126" t="str">
        <f t="shared" si="38"/>
        <v>-</v>
      </c>
      <c r="P473" s="164"/>
      <c r="Q473" s="164"/>
      <c r="R473" s="164"/>
      <c r="S473" s="164"/>
      <c r="T473" s="164"/>
      <c r="U473" s="164"/>
      <c r="V473" s="164"/>
    </row>
    <row r="474" spans="1:25" ht="27" customHeight="1">
      <c r="A474" s="192" t="str">
        <f>IF(ISBLANK(C474)," ",469-COUNTBLANK($C$6:C474))</f>
        <v xml:space="preserve"> </v>
      </c>
      <c r="B474" s="178"/>
      <c r="C474" s="178"/>
      <c r="D474" s="193"/>
      <c r="E474" s="193"/>
      <c r="F474" s="180"/>
      <c r="G474" s="180"/>
      <c r="H474" s="180"/>
      <c r="I474" s="180"/>
      <c r="J474" s="180"/>
      <c r="K474" s="180"/>
      <c r="L474" s="180"/>
      <c r="M474" s="181"/>
      <c r="N474" s="163" t="str">
        <f t="shared" si="37"/>
        <v/>
      </c>
      <c r="O474" s="126" t="str">
        <f t="shared" si="38"/>
        <v>-</v>
      </c>
      <c r="P474" s="164"/>
      <c r="Q474" s="164"/>
      <c r="R474" s="164"/>
      <c r="S474" s="164"/>
      <c r="T474" s="164"/>
      <c r="U474" s="164"/>
      <c r="V474" s="164"/>
    </row>
    <row r="475" spans="1:25" ht="27" customHeight="1">
      <c r="A475" s="192" t="str">
        <f>IF(ISBLANK(C475)," ",470-COUNTBLANK($C$6:C475))</f>
        <v xml:space="preserve"> </v>
      </c>
      <c r="B475" s="178"/>
      <c r="C475" s="178"/>
      <c r="D475" s="193"/>
      <c r="E475" s="193"/>
      <c r="F475" s="180"/>
      <c r="G475" s="180"/>
      <c r="H475" s="180"/>
      <c r="I475" s="180"/>
      <c r="J475" s="180"/>
      <c r="K475" s="180"/>
      <c r="L475" s="180"/>
      <c r="M475" s="181"/>
      <c r="N475" s="163" t="str">
        <f t="shared" si="37"/>
        <v/>
      </c>
      <c r="O475" s="126" t="str">
        <f t="shared" si="38"/>
        <v>-</v>
      </c>
      <c r="P475" s="164"/>
      <c r="Q475" s="164"/>
      <c r="R475" s="164"/>
      <c r="S475" s="164"/>
      <c r="T475" s="164"/>
      <c r="U475" s="164"/>
      <c r="V475" s="164"/>
    </row>
    <row r="476" spans="1:25" ht="27" customHeight="1">
      <c r="A476" s="192" t="str">
        <f>IF(ISBLANK(C476)," ",471-COUNTBLANK($C$6:C476))</f>
        <v xml:space="preserve"> </v>
      </c>
      <c r="B476" s="178"/>
      <c r="C476" s="178"/>
      <c r="D476" s="193"/>
      <c r="E476" s="193"/>
      <c r="F476" s="180"/>
      <c r="G476" s="180"/>
      <c r="H476" s="180"/>
      <c r="I476" s="180"/>
      <c r="J476" s="180"/>
      <c r="K476" s="180"/>
      <c r="L476" s="180"/>
      <c r="M476" s="181"/>
      <c r="N476" s="163" t="str">
        <f t="shared" si="37"/>
        <v/>
      </c>
      <c r="O476" s="126" t="str">
        <f t="shared" si="38"/>
        <v>-</v>
      </c>
      <c r="P476" s="164"/>
      <c r="Q476" s="164"/>
      <c r="R476" s="164"/>
      <c r="S476" s="164"/>
      <c r="T476" s="164"/>
      <c r="U476" s="164"/>
      <c r="V476" s="164"/>
    </row>
    <row r="477" spans="1:25" ht="27" customHeight="1">
      <c r="A477" s="192" t="str">
        <f>IF(ISBLANK(C477)," ",472-COUNTBLANK($C$6:C477))</f>
        <v xml:space="preserve"> </v>
      </c>
      <c r="B477" s="178"/>
      <c r="C477" s="178"/>
      <c r="D477" s="193"/>
      <c r="E477" s="193"/>
      <c r="F477" s="180"/>
      <c r="G477" s="180"/>
      <c r="H477" s="180"/>
      <c r="I477" s="180"/>
      <c r="J477" s="180"/>
      <c r="K477" s="180"/>
      <c r="L477" s="180"/>
      <c r="M477" s="181"/>
      <c r="N477" s="163" t="str">
        <f t="shared" si="37"/>
        <v/>
      </c>
      <c r="O477" s="126" t="str">
        <f t="shared" si="38"/>
        <v>-</v>
      </c>
      <c r="P477" s="164"/>
      <c r="Q477" s="164"/>
      <c r="R477" s="164"/>
      <c r="S477" s="164"/>
      <c r="T477" s="164"/>
      <c r="U477" s="164"/>
      <c r="V477" s="164"/>
    </row>
    <row r="478" spans="1:25" ht="27" customHeight="1">
      <c r="A478" s="192" t="str">
        <f>IF(ISBLANK(C478)," ",473-COUNTBLANK($C$6:C478))</f>
        <v xml:space="preserve"> </v>
      </c>
      <c r="B478" s="178"/>
      <c r="C478" s="178"/>
      <c r="D478" s="193"/>
      <c r="E478" s="193"/>
      <c r="F478" s="180"/>
      <c r="G478" s="180"/>
      <c r="H478" s="180"/>
      <c r="I478" s="180"/>
      <c r="J478" s="180"/>
      <c r="K478" s="180"/>
      <c r="L478" s="180"/>
      <c r="M478" s="181"/>
      <c r="N478" s="163" t="str">
        <f t="shared" si="37"/>
        <v/>
      </c>
      <c r="O478" s="126" t="str">
        <f t="shared" si="38"/>
        <v>-</v>
      </c>
      <c r="P478" s="164"/>
      <c r="Q478" s="164"/>
      <c r="R478" s="164"/>
      <c r="S478" s="164"/>
      <c r="T478" s="164"/>
      <c r="U478" s="164"/>
      <c r="V478" s="164"/>
    </row>
    <row r="479" spans="1:25" ht="27" customHeight="1">
      <c r="A479" s="192" t="str">
        <f>IF(ISBLANK(C479)," ",474-COUNTBLANK($C$6:C479))</f>
        <v xml:space="preserve"> </v>
      </c>
      <c r="B479" s="178"/>
      <c r="C479" s="178"/>
      <c r="D479" s="193"/>
      <c r="E479" s="193"/>
      <c r="F479" s="180"/>
      <c r="G479" s="180"/>
      <c r="H479" s="180"/>
      <c r="I479" s="180"/>
      <c r="J479" s="180"/>
      <c r="K479" s="180"/>
      <c r="L479" s="180"/>
      <c r="M479" s="181"/>
      <c r="N479" s="163" t="str">
        <f t="shared" si="37"/>
        <v/>
      </c>
      <c r="O479" s="126" t="str">
        <f t="shared" si="38"/>
        <v>-</v>
      </c>
      <c r="P479" s="164"/>
      <c r="Q479" s="164"/>
      <c r="R479" s="164"/>
      <c r="S479" s="164"/>
      <c r="T479" s="164"/>
      <c r="U479" s="164"/>
      <c r="V479" s="164"/>
    </row>
    <row r="480" spans="1:25" ht="27" customHeight="1">
      <c r="A480" s="192" t="str">
        <f>IF(ISBLANK(C480)," ",475-COUNTBLANK($C$6:C480))</f>
        <v xml:space="preserve"> </v>
      </c>
      <c r="B480" s="178"/>
      <c r="C480" s="178"/>
      <c r="D480" s="193"/>
      <c r="E480" s="193"/>
      <c r="F480" s="180"/>
      <c r="G480" s="180"/>
      <c r="H480" s="180"/>
      <c r="I480" s="180"/>
      <c r="J480" s="180"/>
      <c r="K480" s="180"/>
      <c r="L480" s="180"/>
      <c r="M480" s="181"/>
      <c r="N480" s="163" t="str">
        <f t="shared" si="37"/>
        <v/>
      </c>
      <c r="O480" s="126" t="str">
        <f t="shared" si="38"/>
        <v>-</v>
      </c>
      <c r="P480" s="164"/>
      <c r="Q480" s="164"/>
      <c r="R480" s="164"/>
      <c r="S480" s="164"/>
      <c r="T480" s="164"/>
      <c r="U480" s="164"/>
      <c r="V480" s="164"/>
    </row>
    <row r="481" spans="1:25" ht="27" customHeight="1">
      <c r="A481" s="192" t="str">
        <f>IF(ISBLANK(C481)," ",476-COUNTBLANK($C$6:C481))</f>
        <v xml:space="preserve"> </v>
      </c>
      <c r="B481" s="178"/>
      <c r="C481" s="178"/>
      <c r="D481" s="193"/>
      <c r="E481" s="193"/>
      <c r="F481" s="180"/>
      <c r="G481" s="180"/>
      <c r="H481" s="180"/>
      <c r="I481" s="180"/>
      <c r="J481" s="180"/>
      <c r="K481" s="180"/>
      <c r="L481" s="180"/>
      <c r="M481" s="181"/>
      <c r="N481" s="163" t="str">
        <f t="shared" si="37"/>
        <v/>
      </c>
      <c r="O481" s="126" t="str">
        <f t="shared" si="38"/>
        <v>-</v>
      </c>
      <c r="P481" s="164"/>
      <c r="Q481" s="164"/>
      <c r="R481" s="164"/>
      <c r="S481" s="164"/>
      <c r="T481" s="164"/>
      <c r="U481" s="164"/>
      <c r="V481" s="164"/>
    </row>
    <row r="482" spans="1:25" ht="27" customHeight="1">
      <c r="A482" s="192" t="str">
        <f>IF(ISBLANK(C482)," ",477-COUNTBLANK($C$6:C482))</f>
        <v xml:space="preserve"> </v>
      </c>
      <c r="B482" s="178"/>
      <c r="C482" s="178"/>
      <c r="D482" s="193"/>
      <c r="E482" s="193"/>
      <c r="F482" s="180"/>
      <c r="G482" s="180"/>
      <c r="H482" s="180"/>
      <c r="I482" s="180"/>
      <c r="J482" s="180"/>
      <c r="K482" s="180"/>
      <c r="L482" s="180"/>
      <c r="M482" s="181"/>
      <c r="N482" s="163" t="str">
        <f t="shared" si="37"/>
        <v/>
      </c>
      <c r="O482" s="126" t="str">
        <f t="shared" si="38"/>
        <v>-</v>
      </c>
      <c r="P482" s="164"/>
      <c r="Q482" s="164"/>
      <c r="R482" s="164"/>
      <c r="S482" s="164"/>
      <c r="T482" s="164"/>
      <c r="U482" s="164"/>
      <c r="V482" s="164"/>
    </row>
    <row r="483" spans="1:25" ht="27" customHeight="1">
      <c r="A483" s="192" t="str">
        <f>IF(ISBLANK(C483)," ",478-COUNTBLANK($C$6:C483))</f>
        <v xml:space="preserve"> </v>
      </c>
      <c r="B483" s="178"/>
      <c r="C483" s="178"/>
      <c r="D483" s="193"/>
      <c r="E483" s="193"/>
      <c r="F483" s="180"/>
      <c r="G483" s="180"/>
      <c r="H483" s="180"/>
      <c r="I483" s="180"/>
      <c r="J483" s="180"/>
      <c r="K483" s="180"/>
      <c r="L483" s="180"/>
      <c r="M483" s="181"/>
      <c r="N483" s="163" t="str">
        <f t="shared" si="37"/>
        <v/>
      </c>
      <c r="O483" s="126" t="str">
        <f t="shared" si="38"/>
        <v>-</v>
      </c>
      <c r="P483" s="164"/>
      <c r="Q483" s="164"/>
      <c r="R483" s="164"/>
      <c r="S483" s="164"/>
      <c r="T483" s="164"/>
      <c r="U483" s="164"/>
      <c r="V483" s="165"/>
    </row>
    <row r="484" spans="1:25" ht="27" customHeight="1">
      <c r="A484" s="192" t="str">
        <f>IF(ISBLANK(C484)," ",479-COUNTBLANK($C$6:C484))</f>
        <v xml:space="preserve"> </v>
      </c>
      <c r="B484" s="178"/>
      <c r="C484" s="178"/>
      <c r="D484" s="193"/>
      <c r="E484" s="193"/>
      <c r="F484" s="180"/>
      <c r="G484" s="180"/>
      <c r="H484" s="180"/>
      <c r="I484" s="180"/>
      <c r="J484" s="180"/>
      <c r="K484" s="180"/>
      <c r="L484" s="180"/>
      <c r="M484" s="181"/>
      <c r="N484" s="163" t="str">
        <f t="shared" si="37"/>
        <v/>
      </c>
      <c r="O484" s="126" t="str">
        <f t="shared" si="38"/>
        <v>-</v>
      </c>
      <c r="P484" s="164"/>
      <c r="Q484" s="164"/>
      <c r="R484" s="164"/>
      <c r="S484" s="164"/>
      <c r="T484" s="164"/>
      <c r="U484" s="164"/>
      <c r="V484" s="165"/>
    </row>
    <row r="485" spans="1:25" ht="27" customHeight="1">
      <c r="A485" s="192" t="str">
        <f>IF(ISBLANK(C485)," ",480-COUNTBLANK($C$6:C485))</f>
        <v xml:space="preserve"> </v>
      </c>
      <c r="B485" s="178"/>
      <c r="C485" s="178"/>
      <c r="D485" s="193"/>
      <c r="E485" s="193"/>
      <c r="F485" s="180"/>
      <c r="G485" s="180"/>
      <c r="H485" s="180"/>
      <c r="I485" s="180"/>
      <c r="J485" s="180"/>
      <c r="K485" s="180"/>
      <c r="L485" s="180"/>
      <c r="M485" s="181"/>
      <c r="N485" s="163" t="str">
        <f t="shared" si="37"/>
        <v/>
      </c>
      <c r="O485" s="126" t="str">
        <f t="shared" si="38"/>
        <v>-</v>
      </c>
      <c r="P485" s="164"/>
      <c r="Q485" s="164"/>
      <c r="R485" s="164"/>
      <c r="S485" s="164"/>
      <c r="T485" s="164"/>
      <c r="U485" s="164"/>
      <c r="V485" s="165"/>
    </row>
    <row r="486" spans="1:25" ht="27" customHeight="1">
      <c r="A486" s="192" t="str">
        <f>IF(ISBLANK(C486)," ",481-COUNTBLANK($C$6:C486))</f>
        <v xml:space="preserve"> </v>
      </c>
      <c r="B486" s="178"/>
      <c r="C486" s="178"/>
      <c r="D486" s="193"/>
      <c r="E486" s="193"/>
      <c r="F486" s="180"/>
      <c r="G486" s="180"/>
      <c r="H486" s="180"/>
      <c r="I486" s="180"/>
      <c r="J486" s="180"/>
      <c r="K486" s="180"/>
      <c r="L486" s="180"/>
      <c r="M486" s="181"/>
      <c r="N486" s="163" t="str">
        <f t="shared" si="37"/>
        <v/>
      </c>
      <c r="O486" s="126" t="str">
        <f t="shared" si="38"/>
        <v>-</v>
      </c>
      <c r="P486" s="164"/>
      <c r="Q486" s="164"/>
      <c r="R486" s="164"/>
      <c r="S486" s="164"/>
      <c r="T486" s="164"/>
      <c r="U486" s="164"/>
      <c r="V486" s="165"/>
    </row>
    <row r="487" spans="1:25" ht="27" customHeight="1">
      <c r="A487" s="192" t="str">
        <f>IF(ISBLANK(C487)," ",482-COUNTBLANK($C$6:C487))</f>
        <v xml:space="preserve"> </v>
      </c>
      <c r="B487" s="178"/>
      <c r="C487" s="178"/>
      <c r="D487" s="193"/>
      <c r="E487" s="193"/>
      <c r="F487" s="180"/>
      <c r="G487" s="180"/>
      <c r="H487" s="180"/>
      <c r="I487" s="180"/>
      <c r="J487" s="180"/>
      <c r="K487" s="180"/>
      <c r="L487" s="180"/>
      <c r="M487" s="181"/>
      <c r="N487" s="163" t="str">
        <f t="shared" si="37"/>
        <v/>
      </c>
      <c r="O487" s="126" t="str">
        <f t="shared" si="38"/>
        <v>-</v>
      </c>
      <c r="P487" s="164"/>
      <c r="Q487" s="164"/>
      <c r="R487" s="164"/>
      <c r="S487" s="164"/>
      <c r="T487" s="164"/>
      <c r="U487" s="164"/>
      <c r="V487" s="166"/>
      <c r="W487" s="164"/>
      <c r="X487" s="164"/>
      <c r="Y487" s="164"/>
    </row>
    <row r="488" spans="1:25" ht="27" customHeight="1">
      <c r="A488" s="172" t="s">
        <v>44</v>
      </c>
      <c r="B488" s="173"/>
      <c r="C488" s="174"/>
      <c r="D488" s="194"/>
      <c r="E488" s="194">
        <f>SUM(E468:E487)</f>
        <v>0</v>
      </c>
      <c r="F488" s="176"/>
      <c r="G488" s="176"/>
      <c r="H488" s="176"/>
      <c r="I488" s="176"/>
      <c r="J488" s="176"/>
      <c r="K488" s="176"/>
      <c r="L488" s="176"/>
      <c r="M488" s="177"/>
      <c r="N488" s="163" t="str">
        <f t="shared" si="37"/>
        <v/>
      </c>
      <c r="O488" s="126"/>
      <c r="P488" s="164"/>
      <c r="Q488" s="164"/>
      <c r="R488" s="164"/>
      <c r="S488" s="164"/>
      <c r="T488" s="164"/>
      <c r="U488" s="164"/>
      <c r="V488" s="166"/>
      <c r="W488" s="164"/>
      <c r="X488" s="164"/>
      <c r="Y488" s="164"/>
    </row>
    <row r="489" spans="1:25" ht="27" customHeight="1">
      <c r="A489" s="187" t="str">
        <f>IF(ISBLANK(C489)," ",484-COUNTBLANK($C$6:C489))</f>
        <v xml:space="preserve"> </v>
      </c>
      <c r="B489" s="188"/>
      <c r="C489" s="188"/>
      <c r="D489" s="189"/>
      <c r="E489" s="189"/>
      <c r="F489" s="190"/>
      <c r="G489" s="190"/>
      <c r="H489" s="190"/>
      <c r="I489" s="190"/>
      <c r="J489" s="190"/>
      <c r="K489" s="190"/>
      <c r="L489" s="190"/>
      <c r="M489" s="191"/>
      <c r="N489" s="163" t="str">
        <f>CONCATENATE(C489,H489)</f>
        <v/>
      </c>
      <c r="O489" s="126" t="str">
        <f>IF(D489&gt;=E489,"-","ERR")</f>
        <v>-</v>
      </c>
      <c r="P489" s="164"/>
      <c r="Q489" s="164"/>
      <c r="R489" s="164"/>
      <c r="S489" s="164"/>
      <c r="T489" s="164"/>
      <c r="U489" s="164"/>
      <c r="V489" s="164"/>
    </row>
    <row r="490" spans="1:25" ht="27" customHeight="1">
      <c r="A490" s="192" t="str">
        <f>IF(ISBLANK(C490)," ",485-COUNTBLANK($C$6:C490))</f>
        <v xml:space="preserve"> </v>
      </c>
      <c r="B490" s="178"/>
      <c r="C490" s="178"/>
      <c r="D490" s="193"/>
      <c r="E490" s="193"/>
      <c r="F490" s="180"/>
      <c r="G490" s="180"/>
      <c r="H490" s="180"/>
      <c r="I490" s="180"/>
      <c r="J490" s="180"/>
      <c r="K490" s="180"/>
      <c r="L490" s="180"/>
      <c r="M490" s="181"/>
      <c r="N490" s="163" t="str">
        <f t="shared" ref="N490:N509" si="39">CONCATENATE(C490,H490)</f>
        <v/>
      </c>
      <c r="O490" s="126" t="str">
        <f t="shared" ref="O490:O508" si="40">IF(D490&gt;=E490,"-","ERR")</f>
        <v>-</v>
      </c>
      <c r="P490" s="164"/>
      <c r="Q490" s="164"/>
      <c r="R490" s="164"/>
      <c r="S490" s="164"/>
      <c r="T490" s="164"/>
      <c r="U490" s="164"/>
      <c r="V490" s="164"/>
    </row>
    <row r="491" spans="1:25" ht="27" customHeight="1">
      <c r="A491" s="192" t="str">
        <f>IF(ISBLANK(C491)," ",486-COUNTBLANK($C$6:C491))</f>
        <v xml:space="preserve"> </v>
      </c>
      <c r="B491" s="178"/>
      <c r="C491" s="178"/>
      <c r="D491" s="193"/>
      <c r="E491" s="193"/>
      <c r="F491" s="180"/>
      <c r="G491" s="180"/>
      <c r="H491" s="180"/>
      <c r="I491" s="180"/>
      <c r="J491" s="180"/>
      <c r="K491" s="180"/>
      <c r="L491" s="180"/>
      <c r="M491" s="181"/>
      <c r="N491" s="163" t="str">
        <f t="shared" si="39"/>
        <v/>
      </c>
      <c r="O491" s="126" t="str">
        <f t="shared" si="40"/>
        <v>-</v>
      </c>
      <c r="P491" s="164"/>
      <c r="Q491" s="164"/>
      <c r="R491" s="164"/>
      <c r="S491" s="164"/>
      <c r="T491" s="164"/>
      <c r="U491" s="164"/>
      <c r="V491" s="164"/>
    </row>
    <row r="492" spans="1:25" ht="27" customHeight="1">
      <c r="A492" s="192" t="str">
        <f>IF(ISBLANK(C492)," ",487-COUNTBLANK($C$6:C492))</f>
        <v xml:space="preserve"> </v>
      </c>
      <c r="B492" s="178"/>
      <c r="C492" s="178"/>
      <c r="D492" s="193"/>
      <c r="E492" s="193"/>
      <c r="F492" s="180"/>
      <c r="G492" s="180"/>
      <c r="H492" s="180"/>
      <c r="I492" s="180"/>
      <c r="J492" s="180"/>
      <c r="K492" s="180"/>
      <c r="L492" s="180"/>
      <c r="M492" s="181"/>
      <c r="N492" s="163" t="str">
        <f t="shared" si="39"/>
        <v/>
      </c>
      <c r="O492" s="126" t="str">
        <f t="shared" si="40"/>
        <v>-</v>
      </c>
      <c r="P492" s="164"/>
      <c r="Q492" s="164"/>
      <c r="R492" s="164"/>
      <c r="S492" s="164"/>
      <c r="T492" s="164"/>
      <c r="U492" s="164"/>
      <c r="V492" s="164"/>
    </row>
    <row r="493" spans="1:25" ht="27" customHeight="1">
      <c r="A493" s="192" t="str">
        <f>IF(ISBLANK(C493)," ",488-COUNTBLANK($C$6:C493))</f>
        <v xml:space="preserve"> </v>
      </c>
      <c r="B493" s="178"/>
      <c r="C493" s="178"/>
      <c r="D493" s="193"/>
      <c r="E493" s="193"/>
      <c r="F493" s="180"/>
      <c r="G493" s="180"/>
      <c r="H493" s="180"/>
      <c r="I493" s="180"/>
      <c r="J493" s="180"/>
      <c r="K493" s="180"/>
      <c r="L493" s="180"/>
      <c r="M493" s="181"/>
      <c r="N493" s="163" t="str">
        <f t="shared" si="39"/>
        <v/>
      </c>
      <c r="O493" s="126" t="str">
        <f t="shared" si="40"/>
        <v>-</v>
      </c>
      <c r="P493" s="164"/>
      <c r="Q493" s="164"/>
      <c r="R493" s="164"/>
      <c r="S493" s="164"/>
      <c r="T493" s="164"/>
      <c r="U493" s="164"/>
      <c r="V493" s="164"/>
    </row>
    <row r="494" spans="1:25" ht="27" customHeight="1">
      <c r="A494" s="192" t="str">
        <f>IF(ISBLANK(C494)," ",489-COUNTBLANK($C$6:C494))</f>
        <v xml:space="preserve"> </v>
      </c>
      <c r="B494" s="178"/>
      <c r="C494" s="178"/>
      <c r="D494" s="193"/>
      <c r="E494" s="193"/>
      <c r="F494" s="180"/>
      <c r="G494" s="180"/>
      <c r="H494" s="180"/>
      <c r="I494" s="180"/>
      <c r="J494" s="180"/>
      <c r="K494" s="180"/>
      <c r="L494" s="180"/>
      <c r="M494" s="181"/>
      <c r="N494" s="163" t="str">
        <f t="shared" si="39"/>
        <v/>
      </c>
      <c r="O494" s="126" t="str">
        <f t="shared" si="40"/>
        <v>-</v>
      </c>
      <c r="P494" s="164"/>
      <c r="Q494" s="164"/>
      <c r="R494" s="164"/>
      <c r="S494" s="164"/>
      <c r="T494" s="164"/>
      <c r="U494" s="164"/>
      <c r="V494" s="164"/>
    </row>
    <row r="495" spans="1:25" ht="27" customHeight="1">
      <c r="A495" s="192" t="str">
        <f>IF(ISBLANK(C495)," ",490-COUNTBLANK($C$6:C495))</f>
        <v xml:space="preserve"> </v>
      </c>
      <c r="B495" s="178"/>
      <c r="C495" s="178"/>
      <c r="D495" s="193"/>
      <c r="E495" s="193"/>
      <c r="F495" s="180"/>
      <c r="G495" s="180"/>
      <c r="H495" s="180"/>
      <c r="I495" s="180"/>
      <c r="J495" s="180"/>
      <c r="K495" s="180"/>
      <c r="L495" s="180"/>
      <c r="M495" s="181"/>
      <c r="N495" s="163" t="str">
        <f t="shared" si="39"/>
        <v/>
      </c>
      <c r="O495" s="126" t="str">
        <f t="shared" si="40"/>
        <v>-</v>
      </c>
      <c r="P495" s="164"/>
      <c r="Q495" s="164"/>
      <c r="R495" s="164"/>
      <c r="S495" s="164"/>
      <c r="T495" s="164"/>
      <c r="U495" s="164"/>
      <c r="V495" s="164"/>
    </row>
    <row r="496" spans="1:25" ht="27" customHeight="1">
      <c r="A496" s="192" t="str">
        <f>IF(ISBLANK(C496)," ",491-COUNTBLANK($C$6:C496))</f>
        <v xml:space="preserve"> </v>
      </c>
      <c r="B496" s="178"/>
      <c r="C496" s="178"/>
      <c r="D496" s="193"/>
      <c r="E496" s="193"/>
      <c r="F496" s="180"/>
      <c r="G496" s="180"/>
      <c r="H496" s="180"/>
      <c r="I496" s="180"/>
      <c r="J496" s="180"/>
      <c r="K496" s="180"/>
      <c r="L496" s="180"/>
      <c r="M496" s="181"/>
      <c r="N496" s="163" t="str">
        <f t="shared" si="39"/>
        <v/>
      </c>
      <c r="O496" s="126" t="str">
        <f t="shared" si="40"/>
        <v>-</v>
      </c>
      <c r="P496" s="164"/>
      <c r="Q496" s="164"/>
      <c r="R496" s="164"/>
      <c r="S496" s="164"/>
      <c r="T496" s="164"/>
      <c r="U496" s="164"/>
      <c r="V496" s="164"/>
    </row>
    <row r="497" spans="1:25" ht="27" customHeight="1">
      <c r="A497" s="192" t="str">
        <f>IF(ISBLANK(C497)," ",492-COUNTBLANK($C$6:C497))</f>
        <v xml:space="preserve"> </v>
      </c>
      <c r="B497" s="178"/>
      <c r="C497" s="178"/>
      <c r="D497" s="193"/>
      <c r="E497" s="193"/>
      <c r="F497" s="180"/>
      <c r="G497" s="180"/>
      <c r="H497" s="180"/>
      <c r="I497" s="180"/>
      <c r="J497" s="180"/>
      <c r="K497" s="180"/>
      <c r="L497" s="180"/>
      <c r="M497" s="181"/>
      <c r="N497" s="163" t="str">
        <f t="shared" si="39"/>
        <v/>
      </c>
      <c r="O497" s="126" t="str">
        <f t="shared" si="40"/>
        <v>-</v>
      </c>
      <c r="P497" s="164"/>
      <c r="Q497" s="164"/>
      <c r="R497" s="164"/>
      <c r="S497" s="164"/>
      <c r="T497" s="164"/>
      <c r="U497" s="164"/>
      <c r="V497" s="164"/>
    </row>
    <row r="498" spans="1:25" ht="27" customHeight="1">
      <c r="A498" s="192" t="str">
        <f>IF(ISBLANK(C498)," ",493-COUNTBLANK($C$6:C498))</f>
        <v xml:space="preserve"> </v>
      </c>
      <c r="B498" s="178"/>
      <c r="C498" s="178"/>
      <c r="D498" s="193"/>
      <c r="E498" s="193"/>
      <c r="F498" s="180"/>
      <c r="G498" s="180"/>
      <c r="H498" s="180"/>
      <c r="I498" s="180"/>
      <c r="J498" s="180"/>
      <c r="K498" s="180"/>
      <c r="L498" s="180"/>
      <c r="M498" s="181"/>
      <c r="N498" s="163" t="str">
        <f t="shared" si="39"/>
        <v/>
      </c>
      <c r="O498" s="126" t="str">
        <f t="shared" si="40"/>
        <v>-</v>
      </c>
      <c r="P498" s="164"/>
      <c r="Q498" s="164"/>
      <c r="R498" s="164"/>
      <c r="S498" s="164"/>
      <c r="T498" s="164"/>
      <c r="U498" s="164"/>
      <c r="V498" s="164"/>
    </row>
    <row r="499" spans="1:25" ht="27" customHeight="1">
      <c r="A499" s="192" t="str">
        <f>IF(ISBLANK(C499)," ",494-COUNTBLANK($C$6:C499))</f>
        <v xml:space="preserve"> </v>
      </c>
      <c r="B499" s="178"/>
      <c r="C499" s="178"/>
      <c r="D499" s="193"/>
      <c r="E499" s="193"/>
      <c r="F499" s="180"/>
      <c r="G499" s="180"/>
      <c r="H499" s="180"/>
      <c r="I499" s="180"/>
      <c r="J499" s="180"/>
      <c r="K499" s="180"/>
      <c r="L499" s="180"/>
      <c r="M499" s="181"/>
      <c r="N499" s="163" t="str">
        <f t="shared" si="39"/>
        <v/>
      </c>
      <c r="O499" s="126" t="str">
        <f t="shared" si="40"/>
        <v>-</v>
      </c>
      <c r="P499" s="164"/>
      <c r="Q499" s="164"/>
      <c r="R499" s="164"/>
      <c r="S499" s="164"/>
      <c r="T499" s="164"/>
      <c r="U499" s="164"/>
      <c r="V499" s="164"/>
    </row>
    <row r="500" spans="1:25" ht="27" customHeight="1">
      <c r="A500" s="192" t="str">
        <f>IF(ISBLANK(C500)," ",495-COUNTBLANK($C$6:C500))</f>
        <v xml:space="preserve"> </v>
      </c>
      <c r="B500" s="178"/>
      <c r="C500" s="178"/>
      <c r="D500" s="193"/>
      <c r="E500" s="193"/>
      <c r="F500" s="180"/>
      <c r="G500" s="180"/>
      <c r="H500" s="180"/>
      <c r="I500" s="180"/>
      <c r="J500" s="180"/>
      <c r="K500" s="180"/>
      <c r="L500" s="180"/>
      <c r="M500" s="181"/>
      <c r="N500" s="163" t="str">
        <f t="shared" si="39"/>
        <v/>
      </c>
      <c r="O500" s="126" t="str">
        <f t="shared" si="40"/>
        <v>-</v>
      </c>
      <c r="P500" s="164"/>
      <c r="Q500" s="164"/>
      <c r="R500" s="164"/>
      <c r="S500" s="164"/>
      <c r="T500" s="164"/>
      <c r="U500" s="164"/>
      <c r="V500" s="164"/>
    </row>
    <row r="501" spans="1:25" ht="27" customHeight="1">
      <c r="A501" s="192" t="str">
        <f>IF(ISBLANK(C501)," ",496-COUNTBLANK($C$6:C501))</f>
        <v xml:space="preserve"> </v>
      </c>
      <c r="B501" s="178"/>
      <c r="C501" s="178"/>
      <c r="D501" s="193"/>
      <c r="E501" s="193"/>
      <c r="F501" s="180"/>
      <c r="G501" s="180"/>
      <c r="H501" s="180"/>
      <c r="I501" s="180"/>
      <c r="J501" s="180"/>
      <c r="K501" s="180"/>
      <c r="L501" s="180"/>
      <c r="M501" s="181"/>
      <c r="N501" s="163" t="str">
        <f t="shared" si="39"/>
        <v/>
      </c>
      <c r="O501" s="126" t="str">
        <f t="shared" si="40"/>
        <v>-</v>
      </c>
      <c r="P501" s="164"/>
      <c r="Q501" s="164"/>
      <c r="R501" s="164"/>
      <c r="S501" s="164"/>
      <c r="T501" s="164"/>
      <c r="U501" s="164"/>
      <c r="V501" s="164"/>
    </row>
    <row r="502" spans="1:25" ht="27" customHeight="1">
      <c r="A502" s="192" t="str">
        <f>IF(ISBLANK(C502)," ",497-COUNTBLANK($C$6:C502))</f>
        <v xml:space="preserve"> </v>
      </c>
      <c r="B502" s="178"/>
      <c r="C502" s="178"/>
      <c r="D502" s="193"/>
      <c r="E502" s="193"/>
      <c r="F502" s="180"/>
      <c r="G502" s="180"/>
      <c r="H502" s="180"/>
      <c r="I502" s="180"/>
      <c r="J502" s="180"/>
      <c r="K502" s="180"/>
      <c r="L502" s="180"/>
      <c r="M502" s="181"/>
      <c r="N502" s="163" t="str">
        <f t="shared" si="39"/>
        <v/>
      </c>
      <c r="O502" s="126" t="str">
        <f t="shared" si="40"/>
        <v>-</v>
      </c>
      <c r="P502" s="164"/>
      <c r="Q502" s="164"/>
      <c r="R502" s="164"/>
      <c r="S502" s="164"/>
      <c r="T502" s="164"/>
      <c r="U502" s="164"/>
      <c r="V502" s="164"/>
    </row>
    <row r="503" spans="1:25" ht="27" customHeight="1">
      <c r="A503" s="192" t="str">
        <f>IF(ISBLANK(C503)," ",498-COUNTBLANK($C$6:C503))</f>
        <v xml:space="preserve"> </v>
      </c>
      <c r="B503" s="178"/>
      <c r="C503" s="178"/>
      <c r="D503" s="193"/>
      <c r="E503" s="193"/>
      <c r="F503" s="180"/>
      <c r="G503" s="180"/>
      <c r="H503" s="180"/>
      <c r="I503" s="180"/>
      <c r="J503" s="180"/>
      <c r="K503" s="180"/>
      <c r="L503" s="180"/>
      <c r="M503" s="181"/>
      <c r="N503" s="163" t="str">
        <f t="shared" si="39"/>
        <v/>
      </c>
      <c r="O503" s="126" t="str">
        <f t="shared" si="40"/>
        <v>-</v>
      </c>
      <c r="P503" s="164"/>
      <c r="Q503" s="164"/>
      <c r="R503" s="164"/>
      <c r="S503" s="164"/>
      <c r="T503" s="164"/>
      <c r="U503" s="164"/>
      <c r="V503" s="164"/>
    </row>
    <row r="504" spans="1:25" ht="27" customHeight="1">
      <c r="A504" s="192" t="str">
        <f>IF(ISBLANK(C504)," ",499-COUNTBLANK($C$6:C504))</f>
        <v xml:space="preserve"> </v>
      </c>
      <c r="B504" s="178"/>
      <c r="C504" s="178"/>
      <c r="D504" s="193"/>
      <c r="E504" s="193"/>
      <c r="F504" s="180"/>
      <c r="G504" s="180"/>
      <c r="H504" s="180"/>
      <c r="I504" s="180"/>
      <c r="J504" s="180"/>
      <c r="K504" s="180"/>
      <c r="L504" s="180"/>
      <c r="M504" s="181"/>
      <c r="N504" s="163" t="str">
        <f t="shared" si="39"/>
        <v/>
      </c>
      <c r="O504" s="126" t="str">
        <f t="shared" si="40"/>
        <v>-</v>
      </c>
      <c r="P504" s="164"/>
      <c r="Q504" s="164"/>
      <c r="R504" s="164"/>
      <c r="S504" s="164"/>
      <c r="T504" s="164"/>
      <c r="U504" s="164"/>
      <c r="V504" s="165"/>
    </row>
    <row r="505" spans="1:25" ht="27" customHeight="1">
      <c r="A505" s="192" t="str">
        <f>IF(ISBLANK(C505)," ",500-COUNTBLANK($C$6:C505))</f>
        <v xml:space="preserve"> </v>
      </c>
      <c r="B505" s="178"/>
      <c r="C505" s="178"/>
      <c r="D505" s="193"/>
      <c r="E505" s="193"/>
      <c r="F505" s="180"/>
      <c r="G505" s="180"/>
      <c r="H505" s="180"/>
      <c r="I505" s="180"/>
      <c r="J505" s="180"/>
      <c r="K505" s="180"/>
      <c r="L505" s="180"/>
      <c r="M505" s="181"/>
      <c r="N505" s="163" t="str">
        <f t="shared" si="39"/>
        <v/>
      </c>
      <c r="O505" s="126" t="str">
        <f t="shared" si="40"/>
        <v>-</v>
      </c>
      <c r="P505" s="164"/>
      <c r="Q505" s="164"/>
      <c r="R505" s="164"/>
      <c r="S505" s="164"/>
      <c r="T505" s="164"/>
      <c r="U505" s="164"/>
      <c r="V505" s="165"/>
    </row>
    <row r="506" spans="1:25" ht="27" customHeight="1">
      <c r="A506" s="192" t="str">
        <f>IF(ISBLANK(C506)," ",501-COUNTBLANK($C$6:C506))</f>
        <v xml:space="preserve"> </v>
      </c>
      <c r="B506" s="178"/>
      <c r="C506" s="178"/>
      <c r="D506" s="193"/>
      <c r="E506" s="193"/>
      <c r="F506" s="180"/>
      <c r="G506" s="180"/>
      <c r="H506" s="180"/>
      <c r="I506" s="180"/>
      <c r="J506" s="180"/>
      <c r="K506" s="180"/>
      <c r="L506" s="180"/>
      <c r="M506" s="181"/>
      <c r="N506" s="163" t="str">
        <f t="shared" si="39"/>
        <v/>
      </c>
      <c r="O506" s="126" t="str">
        <f t="shared" si="40"/>
        <v>-</v>
      </c>
      <c r="P506" s="164"/>
      <c r="Q506" s="164"/>
      <c r="R506" s="164"/>
      <c r="S506" s="164"/>
      <c r="T506" s="164"/>
      <c r="U506" s="164"/>
      <c r="V506" s="165"/>
    </row>
    <row r="507" spans="1:25" ht="27" customHeight="1">
      <c r="A507" s="192" t="str">
        <f>IF(ISBLANK(C507)," ",502-COUNTBLANK($C$6:C507))</f>
        <v xml:space="preserve"> </v>
      </c>
      <c r="B507" s="178"/>
      <c r="C507" s="178"/>
      <c r="D507" s="193"/>
      <c r="E507" s="193"/>
      <c r="F507" s="180"/>
      <c r="G507" s="180"/>
      <c r="H507" s="180"/>
      <c r="I507" s="180"/>
      <c r="J507" s="180"/>
      <c r="K507" s="180"/>
      <c r="L507" s="180"/>
      <c r="M507" s="181"/>
      <c r="N507" s="163" t="str">
        <f t="shared" si="39"/>
        <v/>
      </c>
      <c r="O507" s="126" t="str">
        <f t="shared" si="40"/>
        <v>-</v>
      </c>
      <c r="P507" s="164"/>
      <c r="Q507" s="164"/>
      <c r="R507" s="164"/>
      <c r="S507" s="164"/>
      <c r="T507" s="164"/>
      <c r="U507" s="164"/>
      <c r="V507" s="165"/>
    </row>
    <row r="508" spans="1:25" ht="27" customHeight="1">
      <c r="A508" s="192" t="str">
        <f>IF(ISBLANK(C508)," ",503-COUNTBLANK($C$6:C508))</f>
        <v xml:space="preserve"> </v>
      </c>
      <c r="B508" s="178"/>
      <c r="C508" s="178"/>
      <c r="D508" s="193"/>
      <c r="E508" s="193"/>
      <c r="F508" s="180"/>
      <c r="G508" s="180"/>
      <c r="H508" s="180"/>
      <c r="I508" s="180"/>
      <c r="J508" s="180"/>
      <c r="K508" s="180"/>
      <c r="L508" s="180"/>
      <c r="M508" s="181"/>
      <c r="N508" s="163" t="str">
        <f t="shared" si="39"/>
        <v/>
      </c>
      <c r="O508" s="126" t="str">
        <f t="shared" si="40"/>
        <v>-</v>
      </c>
      <c r="P508" s="164"/>
      <c r="Q508" s="164"/>
      <c r="R508" s="164"/>
      <c r="S508" s="164"/>
      <c r="T508" s="164"/>
      <c r="U508" s="164"/>
      <c r="V508" s="166"/>
      <c r="W508" s="164"/>
      <c r="X508" s="164"/>
      <c r="Y508" s="164"/>
    </row>
    <row r="509" spans="1:25" ht="27" customHeight="1">
      <c r="A509" s="172" t="s">
        <v>44</v>
      </c>
      <c r="B509" s="173"/>
      <c r="C509" s="174"/>
      <c r="D509" s="194"/>
      <c r="E509" s="194">
        <f>SUM(E489:E508)</f>
        <v>0</v>
      </c>
      <c r="F509" s="176"/>
      <c r="G509" s="176"/>
      <c r="H509" s="176"/>
      <c r="I509" s="176"/>
      <c r="J509" s="176"/>
      <c r="K509" s="176"/>
      <c r="L509" s="176"/>
      <c r="M509" s="177"/>
      <c r="N509" s="163" t="str">
        <f t="shared" si="39"/>
        <v/>
      </c>
      <c r="O509" s="126"/>
      <c r="P509" s="164"/>
      <c r="Q509" s="164"/>
      <c r="R509" s="164"/>
      <c r="S509" s="164"/>
      <c r="T509" s="164"/>
      <c r="U509" s="164"/>
      <c r="V509" s="166"/>
      <c r="W509" s="164"/>
      <c r="X509" s="164"/>
      <c r="Y509" s="164"/>
    </row>
    <row r="510" spans="1:25" ht="27" customHeight="1">
      <c r="A510" s="187" t="str">
        <f>IF(ISBLANK(C510)," ",505-COUNTBLANK($C$6:C510))</f>
        <v xml:space="preserve"> </v>
      </c>
      <c r="B510" s="188"/>
      <c r="C510" s="188"/>
      <c r="D510" s="189"/>
      <c r="E510" s="189"/>
      <c r="F510" s="190"/>
      <c r="G510" s="190"/>
      <c r="H510" s="190"/>
      <c r="I510" s="190"/>
      <c r="J510" s="190"/>
      <c r="K510" s="190"/>
      <c r="L510" s="190"/>
      <c r="M510" s="191"/>
      <c r="N510" s="163" t="str">
        <f>CONCATENATE(C510,H510)</f>
        <v/>
      </c>
      <c r="O510" s="126" t="str">
        <f>IF(D510&gt;=E510,"-","ERR")</f>
        <v>-</v>
      </c>
      <c r="P510" s="164"/>
      <c r="Q510" s="164"/>
      <c r="R510" s="164"/>
      <c r="S510" s="164"/>
      <c r="T510" s="164"/>
      <c r="U510" s="164"/>
      <c r="V510" s="164"/>
    </row>
    <row r="511" spans="1:25" ht="27" customHeight="1">
      <c r="A511" s="192" t="str">
        <f>IF(ISBLANK(C511)," ",506-COUNTBLANK($C$6:C511))</f>
        <v xml:space="preserve"> </v>
      </c>
      <c r="B511" s="178"/>
      <c r="C511" s="178"/>
      <c r="D511" s="193"/>
      <c r="E511" s="193"/>
      <c r="F511" s="180"/>
      <c r="G511" s="180"/>
      <c r="H511" s="180"/>
      <c r="I511" s="180"/>
      <c r="J511" s="180"/>
      <c r="K511" s="180"/>
      <c r="L511" s="180"/>
      <c r="M511" s="181"/>
      <c r="N511" s="163" t="str">
        <f t="shared" ref="N511:N530" si="41">CONCATENATE(C511,H511)</f>
        <v/>
      </c>
      <c r="O511" s="126" t="str">
        <f t="shared" ref="O511:O529" si="42">IF(D511&gt;=E511,"-","ERR")</f>
        <v>-</v>
      </c>
      <c r="P511" s="164"/>
      <c r="Q511" s="164"/>
      <c r="R511" s="164"/>
      <c r="S511" s="164"/>
      <c r="T511" s="164"/>
      <c r="U511" s="164"/>
      <c r="V511" s="164"/>
    </row>
    <row r="512" spans="1:25" ht="27" customHeight="1">
      <c r="A512" s="192" t="str">
        <f>IF(ISBLANK(C512)," ",507-COUNTBLANK($C$6:C512))</f>
        <v xml:space="preserve"> </v>
      </c>
      <c r="B512" s="178"/>
      <c r="C512" s="178"/>
      <c r="D512" s="193"/>
      <c r="E512" s="193"/>
      <c r="F512" s="180"/>
      <c r="G512" s="180"/>
      <c r="H512" s="180"/>
      <c r="I512" s="180"/>
      <c r="J512" s="180"/>
      <c r="K512" s="180"/>
      <c r="L512" s="180"/>
      <c r="M512" s="181"/>
      <c r="N512" s="163" t="str">
        <f t="shared" si="41"/>
        <v/>
      </c>
      <c r="O512" s="126" t="str">
        <f t="shared" si="42"/>
        <v>-</v>
      </c>
      <c r="P512" s="164"/>
      <c r="Q512" s="164"/>
      <c r="R512" s="164"/>
      <c r="S512" s="164"/>
      <c r="T512" s="164"/>
      <c r="U512" s="164"/>
      <c r="V512" s="164"/>
    </row>
    <row r="513" spans="1:22" ht="27" customHeight="1">
      <c r="A513" s="192" t="str">
        <f>IF(ISBLANK(C513)," ",508-COUNTBLANK($C$6:C513))</f>
        <v xml:space="preserve"> </v>
      </c>
      <c r="B513" s="178"/>
      <c r="C513" s="178"/>
      <c r="D513" s="193"/>
      <c r="E513" s="193"/>
      <c r="F513" s="180"/>
      <c r="G513" s="180"/>
      <c r="H513" s="180"/>
      <c r="I513" s="180"/>
      <c r="J513" s="180"/>
      <c r="K513" s="180"/>
      <c r="L513" s="180"/>
      <c r="M513" s="181"/>
      <c r="N513" s="163" t="str">
        <f t="shared" si="41"/>
        <v/>
      </c>
      <c r="O513" s="126" t="str">
        <f t="shared" si="42"/>
        <v>-</v>
      </c>
      <c r="P513" s="164"/>
      <c r="Q513" s="164"/>
      <c r="R513" s="164"/>
      <c r="S513" s="164"/>
      <c r="T513" s="164"/>
      <c r="U513" s="164"/>
      <c r="V513" s="164"/>
    </row>
    <row r="514" spans="1:22" ht="27" customHeight="1">
      <c r="A514" s="192" t="str">
        <f>IF(ISBLANK(C514)," ",509-COUNTBLANK($C$6:C514))</f>
        <v xml:space="preserve"> </v>
      </c>
      <c r="B514" s="178"/>
      <c r="C514" s="178"/>
      <c r="D514" s="193"/>
      <c r="E514" s="193"/>
      <c r="F514" s="180"/>
      <c r="G514" s="180"/>
      <c r="H514" s="180"/>
      <c r="I514" s="180"/>
      <c r="J514" s="180"/>
      <c r="K514" s="180"/>
      <c r="L514" s="180"/>
      <c r="M514" s="181"/>
      <c r="N514" s="163" t="str">
        <f t="shared" si="41"/>
        <v/>
      </c>
      <c r="O514" s="126" t="str">
        <f t="shared" si="42"/>
        <v>-</v>
      </c>
      <c r="P514" s="164"/>
      <c r="Q514" s="164"/>
      <c r="R514" s="164"/>
      <c r="S514" s="164"/>
      <c r="T514" s="164"/>
      <c r="U514" s="164"/>
      <c r="V514" s="164"/>
    </row>
    <row r="515" spans="1:22" ht="27" customHeight="1">
      <c r="A515" s="192" t="str">
        <f>IF(ISBLANK(C515)," ",510-COUNTBLANK($C$6:C515))</f>
        <v xml:space="preserve"> </v>
      </c>
      <c r="B515" s="178"/>
      <c r="C515" s="178"/>
      <c r="D515" s="193"/>
      <c r="E515" s="193"/>
      <c r="F515" s="180"/>
      <c r="G515" s="180"/>
      <c r="H515" s="180"/>
      <c r="I515" s="180"/>
      <c r="J515" s="180"/>
      <c r="K515" s="180"/>
      <c r="L515" s="180"/>
      <c r="M515" s="181"/>
      <c r="N515" s="163" t="str">
        <f t="shared" si="41"/>
        <v/>
      </c>
      <c r="O515" s="126" t="str">
        <f t="shared" si="42"/>
        <v>-</v>
      </c>
      <c r="P515" s="164"/>
      <c r="Q515" s="164"/>
      <c r="R515" s="164"/>
      <c r="S515" s="164"/>
      <c r="T515" s="164"/>
      <c r="U515" s="164"/>
      <c r="V515" s="164"/>
    </row>
    <row r="516" spans="1:22" ht="27" customHeight="1">
      <c r="A516" s="192" t="str">
        <f>IF(ISBLANK(C516)," ",511-COUNTBLANK($C$6:C516))</f>
        <v xml:space="preserve"> </v>
      </c>
      <c r="B516" s="178"/>
      <c r="C516" s="178"/>
      <c r="D516" s="193"/>
      <c r="E516" s="193"/>
      <c r="F516" s="180"/>
      <c r="G516" s="180"/>
      <c r="H516" s="180"/>
      <c r="I516" s="180"/>
      <c r="J516" s="180"/>
      <c r="K516" s="180"/>
      <c r="L516" s="180"/>
      <c r="M516" s="181"/>
      <c r="N516" s="163" t="str">
        <f t="shared" si="41"/>
        <v/>
      </c>
      <c r="O516" s="126" t="str">
        <f t="shared" si="42"/>
        <v>-</v>
      </c>
      <c r="P516" s="164"/>
      <c r="Q516" s="164"/>
      <c r="R516" s="164"/>
      <c r="S516" s="164"/>
      <c r="T516" s="164"/>
      <c r="U516" s="164"/>
      <c r="V516" s="164"/>
    </row>
    <row r="517" spans="1:22" ht="27" customHeight="1">
      <c r="A517" s="192" t="str">
        <f>IF(ISBLANK(C517)," ",512-COUNTBLANK($C$6:C517))</f>
        <v xml:space="preserve"> </v>
      </c>
      <c r="B517" s="178"/>
      <c r="C517" s="178"/>
      <c r="D517" s="193"/>
      <c r="E517" s="193"/>
      <c r="F517" s="180"/>
      <c r="G517" s="180"/>
      <c r="H517" s="180"/>
      <c r="I517" s="180"/>
      <c r="J517" s="180"/>
      <c r="K517" s="180"/>
      <c r="L517" s="180"/>
      <c r="M517" s="181"/>
      <c r="N517" s="163" t="str">
        <f t="shared" si="41"/>
        <v/>
      </c>
      <c r="O517" s="126" t="str">
        <f t="shared" si="42"/>
        <v>-</v>
      </c>
      <c r="P517" s="164"/>
      <c r="Q517" s="164"/>
      <c r="R517" s="164"/>
      <c r="S517" s="164"/>
      <c r="T517" s="164"/>
      <c r="U517" s="164"/>
      <c r="V517" s="164"/>
    </row>
    <row r="518" spans="1:22" ht="27" customHeight="1">
      <c r="A518" s="192" t="str">
        <f>IF(ISBLANK(C518)," ",513-COUNTBLANK($C$6:C518))</f>
        <v xml:space="preserve"> </v>
      </c>
      <c r="B518" s="178"/>
      <c r="C518" s="178"/>
      <c r="D518" s="193"/>
      <c r="E518" s="193"/>
      <c r="F518" s="180"/>
      <c r="G518" s="180"/>
      <c r="H518" s="180"/>
      <c r="I518" s="180"/>
      <c r="J518" s="180"/>
      <c r="K518" s="180"/>
      <c r="L518" s="180"/>
      <c r="M518" s="181"/>
      <c r="N518" s="163" t="str">
        <f t="shared" si="41"/>
        <v/>
      </c>
      <c r="O518" s="126" t="str">
        <f t="shared" si="42"/>
        <v>-</v>
      </c>
      <c r="P518" s="164"/>
      <c r="Q518" s="164"/>
      <c r="R518" s="164"/>
      <c r="S518" s="164"/>
      <c r="T518" s="164"/>
      <c r="U518" s="164"/>
      <c r="V518" s="164"/>
    </row>
    <row r="519" spans="1:22" ht="27" customHeight="1">
      <c r="A519" s="192" t="str">
        <f>IF(ISBLANK(C519)," ",514-COUNTBLANK($C$6:C519))</f>
        <v xml:space="preserve"> </v>
      </c>
      <c r="B519" s="178"/>
      <c r="C519" s="178"/>
      <c r="D519" s="193"/>
      <c r="E519" s="193"/>
      <c r="F519" s="180"/>
      <c r="G519" s="180"/>
      <c r="H519" s="180"/>
      <c r="I519" s="180"/>
      <c r="J519" s="180"/>
      <c r="K519" s="180"/>
      <c r="L519" s="180"/>
      <c r="M519" s="181"/>
      <c r="N519" s="163" t="str">
        <f t="shared" si="41"/>
        <v/>
      </c>
      <c r="O519" s="126" t="str">
        <f t="shared" si="42"/>
        <v>-</v>
      </c>
      <c r="P519" s="164"/>
      <c r="Q519" s="164"/>
      <c r="R519" s="164"/>
      <c r="S519" s="164"/>
      <c r="T519" s="164"/>
      <c r="U519" s="164"/>
      <c r="V519" s="164"/>
    </row>
    <row r="520" spans="1:22" ht="27" customHeight="1">
      <c r="A520" s="192" t="str">
        <f>IF(ISBLANK(C520)," ",515-COUNTBLANK($C$6:C520))</f>
        <v xml:space="preserve"> </v>
      </c>
      <c r="B520" s="178"/>
      <c r="C520" s="178"/>
      <c r="D520" s="193"/>
      <c r="E520" s="193"/>
      <c r="F520" s="180"/>
      <c r="G520" s="180"/>
      <c r="H520" s="180"/>
      <c r="I520" s="180"/>
      <c r="J520" s="180"/>
      <c r="K520" s="180"/>
      <c r="L520" s="180"/>
      <c r="M520" s="181"/>
      <c r="N520" s="163" t="str">
        <f t="shared" si="41"/>
        <v/>
      </c>
      <c r="O520" s="126" t="str">
        <f t="shared" si="42"/>
        <v>-</v>
      </c>
      <c r="P520" s="164"/>
      <c r="Q520" s="164"/>
      <c r="R520" s="164"/>
      <c r="S520" s="164"/>
      <c r="T520" s="164"/>
      <c r="U520" s="164"/>
      <c r="V520" s="164"/>
    </row>
    <row r="521" spans="1:22" ht="27" customHeight="1">
      <c r="A521" s="192" t="str">
        <f>IF(ISBLANK(C521)," ",516-COUNTBLANK($C$6:C521))</f>
        <v xml:space="preserve"> </v>
      </c>
      <c r="B521" s="178"/>
      <c r="C521" s="178"/>
      <c r="D521" s="193"/>
      <c r="E521" s="193"/>
      <c r="F521" s="180"/>
      <c r="G521" s="180"/>
      <c r="H521" s="180"/>
      <c r="I521" s="180"/>
      <c r="J521" s="180"/>
      <c r="K521" s="180"/>
      <c r="L521" s="180"/>
      <c r="M521" s="181"/>
      <c r="N521" s="163" t="str">
        <f t="shared" si="41"/>
        <v/>
      </c>
      <c r="O521" s="126" t="str">
        <f t="shared" si="42"/>
        <v>-</v>
      </c>
      <c r="P521" s="164"/>
      <c r="Q521" s="164"/>
      <c r="R521" s="164"/>
      <c r="S521" s="164"/>
      <c r="T521" s="164"/>
      <c r="U521" s="164"/>
      <c r="V521" s="164"/>
    </row>
    <row r="522" spans="1:22" ht="27" customHeight="1">
      <c r="A522" s="192" t="str">
        <f>IF(ISBLANK(C522)," ",517-COUNTBLANK($C$6:C522))</f>
        <v xml:space="preserve"> </v>
      </c>
      <c r="B522" s="178"/>
      <c r="C522" s="178"/>
      <c r="D522" s="193"/>
      <c r="E522" s="193"/>
      <c r="F522" s="180"/>
      <c r="G522" s="180"/>
      <c r="H522" s="180"/>
      <c r="I522" s="180"/>
      <c r="J522" s="180"/>
      <c r="K522" s="180"/>
      <c r="L522" s="180"/>
      <c r="M522" s="181"/>
      <c r="N522" s="163" t="str">
        <f t="shared" si="41"/>
        <v/>
      </c>
      <c r="O522" s="126" t="str">
        <f t="shared" si="42"/>
        <v>-</v>
      </c>
      <c r="P522" s="164"/>
      <c r="Q522" s="164"/>
      <c r="R522" s="164"/>
      <c r="S522" s="164"/>
      <c r="T522" s="164"/>
      <c r="U522" s="164"/>
      <c r="V522" s="164"/>
    </row>
    <row r="523" spans="1:22" ht="27" customHeight="1">
      <c r="A523" s="192" t="str">
        <f>IF(ISBLANK(C523)," ",518-COUNTBLANK($C$6:C523))</f>
        <v xml:space="preserve"> </v>
      </c>
      <c r="B523" s="178"/>
      <c r="C523" s="178"/>
      <c r="D523" s="193"/>
      <c r="E523" s="193"/>
      <c r="F523" s="180"/>
      <c r="G523" s="180"/>
      <c r="H523" s="180"/>
      <c r="I523" s="180"/>
      <c r="J523" s="180"/>
      <c r="K523" s="180"/>
      <c r="L523" s="180"/>
      <c r="M523" s="181"/>
      <c r="N523" s="163" t="str">
        <f t="shared" si="41"/>
        <v/>
      </c>
      <c r="O523" s="126" t="str">
        <f t="shared" si="42"/>
        <v>-</v>
      </c>
      <c r="P523" s="164"/>
      <c r="Q523" s="164"/>
      <c r="R523" s="164"/>
      <c r="S523" s="164"/>
      <c r="T523" s="164"/>
      <c r="U523" s="164"/>
      <c r="V523" s="164"/>
    </row>
    <row r="524" spans="1:22" ht="27" customHeight="1">
      <c r="A524" s="192" t="str">
        <f>IF(ISBLANK(C524)," ",519-COUNTBLANK($C$6:C524))</f>
        <v xml:space="preserve"> </v>
      </c>
      <c r="B524" s="178"/>
      <c r="C524" s="178"/>
      <c r="D524" s="193"/>
      <c r="E524" s="193"/>
      <c r="F524" s="180"/>
      <c r="G524" s="180"/>
      <c r="H524" s="180"/>
      <c r="I524" s="180"/>
      <c r="J524" s="180"/>
      <c r="K524" s="180"/>
      <c r="L524" s="180"/>
      <c r="M524" s="181"/>
      <c r="N524" s="163" t="str">
        <f t="shared" si="41"/>
        <v/>
      </c>
      <c r="O524" s="126" t="str">
        <f t="shared" si="42"/>
        <v>-</v>
      </c>
      <c r="P524" s="164"/>
      <c r="Q524" s="164"/>
      <c r="R524" s="164"/>
      <c r="S524" s="164"/>
      <c r="T524" s="164"/>
      <c r="U524" s="164"/>
      <c r="V524" s="164"/>
    </row>
    <row r="525" spans="1:22" ht="27" customHeight="1">
      <c r="A525" s="192" t="str">
        <f>IF(ISBLANK(C525)," ",520-COUNTBLANK($C$6:C525))</f>
        <v xml:space="preserve"> </v>
      </c>
      <c r="B525" s="178"/>
      <c r="C525" s="178"/>
      <c r="D525" s="193"/>
      <c r="E525" s="193"/>
      <c r="F525" s="180"/>
      <c r="G525" s="180"/>
      <c r="H525" s="180"/>
      <c r="I525" s="180"/>
      <c r="J525" s="180"/>
      <c r="K525" s="180"/>
      <c r="L525" s="180"/>
      <c r="M525" s="181"/>
      <c r="N525" s="163" t="str">
        <f t="shared" si="41"/>
        <v/>
      </c>
      <c r="O525" s="126" t="str">
        <f t="shared" si="42"/>
        <v>-</v>
      </c>
      <c r="P525" s="164"/>
      <c r="Q525" s="164"/>
      <c r="R525" s="164"/>
      <c r="S525" s="164"/>
      <c r="T525" s="164"/>
      <c r="U525" s="164"/>
      <c r="V525" s="165"/>
    </row>
    <row r="526" spans="1:22" ht="27" customHeight="1">
      <c r="A526" s="192" t="str">
        <f>IF(ISBLANK(C526)," ",521-COUNTBLANK($C$6:C526))</f>
        <v xml:space="preserve"> </v>
      </c>
      <c r="B526" s="178"/>
      <c r="C526" s="178"/>
      <c r="D526" s="193"/>
      <c r="E526" s="193"/>
      <c r="F526" s="180"/>
      <c r="G526" s="180"/>
      <c r="H526" s="180"/>
      <c r="I526" s="180"/>
      <c r="J526" s="180"/>
      <c r="K526" s="180"/>
      <c r="L526" s="180"/>
      <c r="M526" s="181"/>
      <c r="N526" s="163" t="str">
        <f t="shared" si="41"/>
        <v/>
      </c>
      <c r="O526" s="126" t="str">
        <f t="shared" si="42"/>
        <v>-</v>
      </c>
      <c r="P526" s="164"/>
      <c r="Q526" s="164"/>
      <c r="R526" s="164"/>
      <c r="S526" s="164"/>
      <c r="T526" s="164"/>
      <c r="U526" s="164"/>
      <c r="V526" s="165"/>
    </row>
    <row r="527" spans="1:22" ht="27" customHeight="1">
      <c r="A527" s="192" t="str">
        <f>IF(ISBLANK(C527)," ",522-COUNTBLANK($C$6:C527))</f>
        <v xml:space="preserve"> </v>
      </c>
      <c r="B527" s="178"/>
      <c r="C527" s="178"/>
      <c r="D527" s="193"/>
      <c r="E527" s="193"/>
      <c r="F527" s="180"/>
      <c r="G527" s="180"/>
      <c r="H527" s="180"/>
      <c r="I527" s="180"/>
      <c r="J527" s="180"/>
      <c r="K527" s="180"/>
      <c r="L527" s="180"/>
      <c r="M527" s="181"/>
      <c r="N527" s="163" t="str">
        <f t="shared" si="41"/>
        <v/>
      </c>
      <c r="O527" s="126" t="str">
        <f t="shared" si="42"/>
        <v>-</v>
      </c>
      <c r="P527" s="164"/>
      <c r="Q527" s="164"/>
      <c r="R527" s="164"/>
      <c r="S527" s="164"/>
      <c r="T527" s="164"/>
      <c r="U527" s="164"/>
      <c r="V527" s="165"/>
    </row>
    <row r="528" spans="1:22" ht="27" customHeight="1">
      <c r="A528" s="192" t="str">
        <f>IF(ISBLANK(C528)," ",523-COUNTBLANK($C$6:C528))</f>
        <v xml:space="preserve"> </v>
      </c>
      <c r="B528" s="178"/>
      <c r="C528" s="178"/>
      <c r="D528" s="193"/>
      <c r="E528" s="193"/>
      <c r="F528" s="180"/>
      <c r="G528" s="180"/>
      <c r="H528" s="180"/>
      <c r="I528" s="180"/>
      <c r="J528" s="180"/>
      <c r="K528" s="180"/>
      <c r="L528" s="180"/>
      <c r="M528" s="181"/>
      <c r="N528" s="163" t="str">
        <f t="shared" si="41"/>
        <v/>
      </c>
      <c r="O528" s="126" t="str">
        <f t="shared" si="42"/>
        <v>-</v>
      </c>
      <c r="P528" s="164"/>
      <c r="Q528" s="164"/>
      <c r="R528" s="164"/>
      <c r="S528" s="164"/>
      <c r="T528" s="164"/>
      <c r="U528" s="164"/>
      <c r="V528" s="165"/>
    </row>
    <row r="529" spans="1:25" ht="27" customHeight="1">
      <c r="A529" s="192" t="str">
        <f>IF(ISBLANK(C529)," ",524-COUNTBLANK($C$6:C529))</f>
        <v xml:space="preserve"> </v>
      </c>
      <c r="B529" s="178"/>
      <c r="C529" s="178"/>
      <c r="D529" s="193"/>
      <c r="E529" s="193"/>
      <c r="F529" s="180"/>
      <c r="G529" s="180"/>
      <c r="H529" s="180"/>
      <c r="I529" s="180"/>
      <c r="J529" s="180"/>
      <c r="K529" s="180"/>
      <c r="L529" s="180"/>
      <c r="M529" s="181"/>
      <c r="N529" s="163" t="str">
        <f t="shared" si="41"/>
        <v/>
      </c>
      <c r="O529" s="126" t="str">
        <f t="shared" si="42"/>
        <v>-</v>
      </c>
      <c r="P529" s="164"/>
      <c r="Q529" s="164"/>
      <c r="R529" s="164"/>
      <c r="S529" s="164"/>
      <c r="T529" s="164"/>
      <c r="U529" s="164"/>
      <c r="V529" s="166"/>
      <c r="W529" s="164"/>
      <c r="X529" s="164"/>
      <c r="Y529" s="164"/>
    </row>
    <row r="530" spans="1:25" ht="27" customHeight="1">
      <c r="A530" s="172" t="s">
        <v>44</v>
      </c>
      <c r="B530" s="173"/>
      <c r="C530" s="174"/>
      <c r="D530" s="194"/>
      <c r="E530" s="194">
        <f>SUM(E510:E529)</f>
        <v>0</v>
      </c>
      <c r="F530" s="176"/>
      <c r="G530" s="176"/>
      <c r="H530" s="176"/>
      <c r="I530" s="176"/>
      <c r="J530" s="176"/>
      <c r="K530" s="176"/>
      <c r="L530" s="176"/>
      <c r="M530" s="177"/>
      <c r="N530" s="163" t="str">
        <f t="shared" si="41"/>
        <v/>
      </c>
      <c r="O530" s="126"/>
      <c r="P530" s="164"/>
      <c r="Q530" s="164"/>
      <c r="R530" s="164"/>
      <c r="S530" s="164"/>
      <c r="T530" s="164"/>
      <c r="U530" s="164"/>
      <c r="V530" s="166"/>
      <c r="W530" s="164"/>
      <c r="X530" s="164"/>
      <c r="Y530" s="164"/>
    </row>
    <row r="531" spans="1:25">
      <c r="O531" s="142"/>
      <c r="P531" s="197"/>
      <c r="Q531" s="197"/>
      <c r="R531" s="197"/>
      <c r="S531" s="197"/>
      <c r="T531" s="197"/>
      <c r="U531" s="197"/>
      <c r="V531" s="197"/>
    </row>
    <row r="532" spans="1:25">
      <c r="O532" s="142"/>
      <c r="P532" s="197"/>
      <c r="Q532" s="197"/>
      <c r="R532" s="197"/>
      <c r="S532" s="197"/>
      <c r="T532" s="197"/>
      <c r="U532" s="197"/>
      <c r="V532" s="197"/>
    </row>
  </sheetData>
  <autoFilter ref="A5:N5"/>
  <mergeCells count="4">
    <mergeCell ref="B4:B5"/>
    <mergeCell ref="C4:C5"/>
    <mergeCell ref="H4:I4"/>
    <mergeCell ref="M4:M5"/>
  </mergeCells>
  <phoneticPr fontId="7" type="noConversion"/>
  <printOptions horizontalCentered="1" verticalCentered="1"/>
  <pageMargins left="0.19685039370078741" right="0.19685039370078741" top="1.1811023622047245" bottom="0.59055118110236227" header="0.59055118110236227" footer="0.19685039370078741"/>
  <pageSetup paperSize="9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showZeros="0" view="pageBreakPreview" topLeftCell="H1" zoomScale="115" zoomScaleNormal="100" workbookViewId="0">
      <selection activeCell="G139" sqref="G139"/>
    </sheetView>
  </sheetViews>
  <sheetFormatPr defaultRowHeight="11.25"/>
  <cols>
    <col min="1" max="1" width="3.88671875" style="149" customWidth="1"/>
    <col min="2" max="2" width="5.77734375" style="195" customWidth="1"/>
    <col min="3" max="3" width="3.77734375" style="149" customWidth="1"/>
    <col min="4" max="4" width="8.44140625" style="149" customWidth="1"/>
    <col min="5" max="5" width="6.77734375" style="196" customWidth="1"/>
    <col min="6" max="6" width="4.21875" style="149" customWidth="1"/>
    <col min="7" max="7" width="6.77734375" style="149" customWidth="1"/>
    <col min="8" max="8" width="5.77734375" style="149" customWidth="1"/>
    <col min="9" max="9" width="11.6640625" style="149" customWidth="1"/>
    <col min="10" max="10" width="5.77734375" style="149" customWidth="1"/>
    <col min="11" max="11" width="11.77734375" style="149" customWidth="1"/>
    <col min="12" max="12" width="6.77734375" style="149" customWidth="1"/>
    <col min="13" max="13" width="4.77734375" style="149" customWidth="1"/>
    <col min="14" max="14" width="20.77734375" style="197" customWidth="1"/>
    <col min="15" max="15" width="9.77734375" style="56" customWidth="1"/>
    <col min="16" max="21" width="9.77734375" style="149" customWidth="1"/>
    <col min="22" max="22" width="10.77734375" style="149" customWidth="1"/>
    <col min="23" max="16384" width="8.88671875" style="149"/>
  </cols>
  <sheetData>
    <row r="1" spans="1:22" ht="30" customHeight="1">
      <c r="A1" s="143" t="s">
        <v>45</v>
      </c>
      <c r="B1" s="144"/>
      <c r="C1" s="145"/>
      <c r="D1" s="145"/>
      <c r="E1" s="146"/>
      <c r="F1" s="145"/>
      <c r="G1" s="145"/>
      <c r="H1" s="145"/>
      <c r="I1" s="145"/>
      <c r="J1" s="145"/>
      <c r="K1" s="145"/>
      <c r="L1" s="145"/>
      <c r="M1" s="145"/>
      <c r="N1" s="147"/>
      <c r="O1" s="80"/>
      <c r="P1" s="148"/>
      <c r="Q1" s="148"/>
      <c r="R1" s="148"/>
      <c r="S1" s="148"/>
      <c r="T1" s="148"/>
      <c r="U1" s="148"/>
      <c r="V1" s="148"/>
    </row>
    <row r="2" spans="1:22" ht="19.899999999999999" customHeight="1">
      <c r="A2" s="150"/>
      <c r="B2" s="151"/>
      <c r="C2" s="150"/>
      <c r="D2" s="150"/>
      <c r="E2" s="152"/>
      <c r="F2" s="150"/>
      <c r="G2" s="150"/>
      <c r="H2" s="150"/>
      <c r="I2" s="150"/>
      <c r="J2" s="153"/>
      <c r="K2" s="154"/>
      <c r="L2" s="155"/>
      <c r="M2" s="155"/>
      <c r="N2" s="156"/>
      <c r="O2" s="80"/>
      <c r="P2" s="148"/>
      <c r="Q2" s="148"/>
      <c r="R2" s="148"/>
      <c r="S2" s="148"/>
      <c r="T2" s="148"/>
      <c r="U2" s="148"/>
      <c r="V2" s="148"/>
    </row>
    <row r="3" spans="1:22" ht="10.15" customHeight="1">
      <c r="A3" s="150"/>
      <c r="B3" s="151"/>
      <c r="C3" s="150"/>
      <c r="D3" s="150"/>
      <c r="E3" s="152"/>
      <c r="F3" s="150"/>
      <c r="G3" s="150"/>
      <c r="H3" s="150"/>
      <c r="I3" s="150"/>
      <c r="J3" s="150"/>
      <c r="K3" s="150"/>
      <c r="L3" s="150"/>
      <c r="M3" s="150"/>
      <c r="N3" s="150"/>
      <c r="O3" s="80"/>
      <c r="P3" s="148"/>
      <c r="Q3" s="148"/>
      <c r="R3" s="148"/>
      <c r="S3" s="148"/>
      <c r="T3" s="148"/>
      <c r="U3" s="148"/>
      <c r="V3" s="148"/>
    </row>
    <row r="4" spans="1:22" s="159" customFormat="1" ht="27" customHeight="1">
      <c r="A4" s="19" t="s">
        <v>31</v>
      </c>
      <c r="B4" s="225" t="s">
        <v>32</v>
      </c>
      <c r="C4" s="227" t="s">
        <v>33</v>
      </c>
      <c r="D4" s="20" t="s">
        <v>34</v>
      </c>
      <c r="E4" s="21" t="s">
        <v>35</v>
      </c>
      <c r="F4" s="22" t="s">
        <v>36</v>
      </c>
      <c r="G4" s="22"/>
      <c r="H4" s="229" t="s">
        <v>37</v>
      </c>
      <c r="I4" s="230"/>
      <c r="J4" s="23" t="s">
        <v>38</v>
      </c>
      <c r="K4" s="22"/>
      <c r="L4" s="24"/>
      <c r="M4" s="231" t="s">
        <v>30</v>
      </c>
      <c r="N4" s="157"/>
      <c r="O4" s="134"/>
      <c r="P4" s="158"/>
      <c r="Q4" s="158"/>
      <c r="R4" s="158"/>
      <c r="S4" s="158"/>
      <c r="T4" s="158"/>
      <c r="U4" s="158"/>
      <c r="V4" s="158"/>
    </row>
    <row r="5" spans="1:22" s="159" customFormat="1" ht="27" customHeight="1">
      <c r="A5" s="25" t="s">
        <v>39</v>
      </c>
      <c r="B5" s="226"/>
      <c r="C5" s="228"/>
      <c r="D5" s="26" t="s">
        <v>46</v>
      </c>
      <c r="E5" s="26" t="s">
        <v>46</v>
      </c>
      <c r="F5" s="1" t="s">
        <v>33</v>
      </c>
      <c r="G5" s="27" t="s">
        <v>40</v>
      </c>
      <c r="H5" s="27" t="s">
        <v>41</v>
      </c>
      <c r="I5" s="1" t="s">
        <v>42</v>
      </c>
      <c r="J5" s="27" t="s">
        <v>41</v>
      </c>
      <c r="K5" s="27" t="s">
        <v>42</v>
      </c>
      <c r="L5" s="1" t="s">
        <v>43</v>
      </c>
      <c r="M5" s="232"/>
      <c r="N5" s="160"/>
      <c r="O5" s="137"/>
      <c r="P5" s="161"/>
      <c r="Q5" s="161"/>
      <c r="R5" s="161"/>
      <c r="S5" s="161"/>
      <c r="T5" s="161"/>
      <c r="U5" s="161"/>
      <c r="V5" s="162"/>
    </row>
    <row r="6" spans="1:22" ht="27" customHeight="1">
      <c r="A6" s="37" t="str">
        <f>IF(ISBLANK(C6)," ",1-COUNTBLANK($C$6:C6))</f>
        <v xml:space="preserve"> </v>
      </c>
      <c r="B6" s="9"/>
      <c r="C6" s="10"/>
      <c r="D6" s="33"/>
      <c r="E6" s="33"/>
      <c r="F6" s="11"/>
      <c r="G6" s="11"/>
      <c r="H6" s="12"/>
      <c r="I6" s="12"/>
      <c r="J6" s="32"/>
      <c r="K6" s="32"/>
      <c r="L6" s="32"/>
      <c r="M6" s="13"/>
      <c r="N6" s="163" t="str">
        <f>CONCATENATE(C6,H6)</f>
        <v/>
      </c>
      <c r="O6" s="126" t="str">
        <f>IF(D6&gt;=E6,"-","ERR")</f>
        <v>-</v>
      </c>
      <c r="P6" s="164"/>
      <c r="Q6" s="164"/>
      <c r="R6" s="164"/>
      <c r="S6" s="164"/>
      <c r="T6" s="164"/>
      <c r="U6" s="164"/>
      <c r="V6" s="164"/>
    </row>
    <row r="7" spans="1:22" ht="27" customHeight="1">
      <c r="A7" s="38" t="str">
        <f>IF(ISBLANK(C7)," ",2-COUNTBLANK($C$6:C7))</f>
        <v xml:space="preserve"> </v>
      </c>
      <c r="B7" s="4"/>
      <c r="C7" s="5"/>
      <c r="D7" s="34"/>
      <c r="E7" s="34"/>
      <c r="F7" s="6"/>
      <c r="G7" s="6"/>
      <c r="H7" s="7"/>
      <c r="I7" s="7"/>
      <c r="J7" s="2"/>
      <c r="K7" s="2"/>
      <c r="L7" s="2"/>
      <c r="M7" s="8"/>
      <c r="N7" s="163" t="str">
        <f t="shared" ref="N7:N70" si="0">CONCATENATE(C7,H7)</f>
        <v/>
      </c>
      <c r="O7" s="126" t="str">
        <f t="shared" ref="O7:O25" si="1">IF(D7&gt;=E7,"-","ERR")</f>
        <v>-</v>
      </c>
      <c r="P7" s="164"/>
      <c r="Q7" s="164"/>
      <c r="R7" s="164"/>
      <c r="S7" s="164"/>
      <c r="T7" s="164"/>
      <c r="U7" s="164"/>
      <c r="V7" s="164"/>
    </row>
    <row r="8" spans="1:22" ht="27" customHeight="1">
      <c r="A8" s="38" t="str">
        <f>IF(ISBLANK(C8)," ",3-COUNTBLANK($C$6:C8))</f>
        <v xml:space="preserve"> </v>
      </c>
      <c r="B8" s="4"/>
      <c r="C8" s="5"/>
      <c r="D8" s="34"/>
      <c r="E8" s="34"/>
      <c r="F8" s="6"/>
      <c r="G8" s="6"/>
      <c r="H8" s="7"/>
      <c r="I8" s="7"/>
      <c r="J8" s="2"/>
      <c r="K8" s="2"/>
      <c r="L8" s="2"/>
      <c r="M8" s="8"/>
      <c r="N8" s="163" t="str">
        <f t="shared" si="0"/>
        <v/>
      </c>
      <c r="O8" s="126" t="str">
        <f t="shared" si="1"/>
        <v>-</v>
      </c>
      <c r="P8" s="164"/>
      <c r="Q8" s="164"/>
      <c r="R8" s="164"/>
      <c r="S8" s="164"/>
      <c r="T8" s="164"/>
      <c r="U8" s="164"/>
      <c r="V8" s="164"/>
    </row>
    <row r="9" spans="1:22" ht="27" customHeight="1">
      <c r="A9" s="38" t="str">
        <f>IF(ISBLANK(C9)," ",4-COUNTBLANK($C$6:C9))</f>
        <v xml:space="preserve"> </v>
      </c>
      <c r="B9" s="4"/>
      <c r="C9" s="5"/>
      <c r="D9" s="34"/>
      <c r="E9" s="34"/>
      <c r="F9" s="6"/>
      <c r="G9" s="6"/>
      <c r="H9" s="7"/>
      <c r="I9" s="7"/>
      <c r="J9" s="2"/>
      <c r="K9" s="2"/>
      <c r="L9" s="2"/>
      <c r="M9" s="8"/>
      <c r="N9" s="163" t="str">
        <f t="shared" si="0"/>
        <v/>
      </c>
      <c r="O9" s="126" t="str">
        <f t="shared" si="1"/>
        <v>-</v>
      </c>
      <c r="P9" s="164"/>
      <c r="Q9" s="164"/>
      <c r="R9" s="164"/>
      <c r="S9" s="164"/>
      <c r="T9" s="164"/>
      <c r="U9" s="164"/>
      <c r="V9" s="164"/>
    </row>
    <row r="10" spans="1:22" ht="27" customHeight="1">
      <c r="A10" s="38" t="str">
        <f>IF(ISBLANK(C10)," ",5-COUNTBLANK($C$6:C10))</f>
        <v xml:space="preserve"> </v>
      </c>
      <c r="B10" s="4"/>
      <c r="C10" s="5"/>
      <c r="D10" s="34"/>
      <c r="E10" s="34"/>
      <c r="F10" s="6"/>
      <c r="G10" s="6"/>
      <c r="H10" s="7"/>
      <c r="I10" s="7"/>
      <c r="J10" s="2"/>
      <c r="K10" s="2"/>
      <c r="L10" s="2"/>
      <c r="M10" s="8"/>
      <c r="N10" s="163" t="str">
        <f t="shared" si="0"/>
        <v/>
      </c>
      <c r="O10" s="126" t="str">
        <f t="shared" si="1"/>
        <v>-</v>
      </c>
      <c r="P10" s="164"/>
      <c r="Q10" s="164"/>
      <c r="R10" s="164"/>
      <c r="S10" s="164"/>
      <c r="T10" s="164"/>
      <c r="U10" s="164"/>
      <c r="V10" s="164"/>
    </row>
    <row r="11" spans="1:22" ht="27" customHeight="1">
      <c r="A11" s="38" t="str">
        <f>IF(ISBLANK(C11)," ",6-COUNTBLANK($C$6:C11))</f>
        <v xml:space="preserve"> </v>
      </c>
      <c r="B11" s="4"/>
      <c r="C11" s="5"/>
      <c r="D11" s="34"/>
      <c r="E11" s="34"/>
      <c r="F11" s="6"/>
      <c r="G11" s="6"/>
      <c r="H11" s="7"/>
      <c r="I11" s="7"/>
      <c r="J11" s="2"/>
      <c r="K11" s="2"/>
      <c r="L11" s="2"/>
      <c r="M11" s="8"/>
      <c r="N11" s="163" t="str">
        <f t="shared" si="0"/>
        <v/>
      </c>
      <c r="O11" s="126" t="str">
        <f t="shared" si="1"/>
        <v>-</v>
      </c>
      <c r="P11" s="164"/>
      <c r="Q11" s="164"/>
      <c r="R11" s="164"/>
      <c r="S11" s="164"/>
      <c r="T11" s="164"/>
      <c r="U11" s="164"/>
      <c r="V11" s="164"/>
    </row>
    <row r="12" spans="1:22" ht="27" customHeight="1">
      <c r="A12" s="38" t="str">
        <f>IF(ISBLANK(C12)," ",7-COUNTBLANK($C$6:C12))</f>
        <v xml:space="preserve"> </v>
      </c>
      <c r="B12" s="4"/>
      <c r="C12" s="5"/>
      <c r="D12" s="34"/>
      <c r="E12" s="34"/>
      <c r="F12" s="6"/>
      <c r="G12" s="6"/>
      <c r="H12" s="7"/>
      <c r="I12" s="7"/>
      <c r="J12" s="2"/>
      <c r="K12" s="2"/>
      <c r="L12" s="2"/>
      <c r="M12" s="8"/>
      <c r="N12" s="163" t="str">
        <f t="shared" si="0"/>
        <v/>
      </c>
      <c r="O12" s="126" t="str">
        <f t="shared" si="1"/>
        <v>-</v>
      </c>
      <c r="P12" s="164"/>
      <c r="Q12" s="164"/>
      <c r="R12" s="164"/>
      <c r="S12" s="164"/>
      <c r="T12" s="164"/>
      <c r="U12" s="164"/>
      <c r="V12" s="164"/>
    </row>
    <row r="13" spans="1:22" ht="27" customHeight="1">
      <c r="A13" s="38" t="str">
        <f>IF(ISBLANK(C13)," ",8-COUNTBLANK($C$6:C13))</f>
        <v xml:space="preserve"> </v>
      </c>
      <c r="B13" s="4"/>
      <c r="C13" s="5"/>
      <c r="D13" s="34"/>
      <c r="E13" s="34"/>
      <c r="F13" s="6"/>
      <c r="G13" s="6"/>
      <c r="H13" s="7"/>
      <c r="I13" s="7"/>
      <c r="J13" s="2"/>
      <c r="K13" s="2"/>
      <c r="L13" s="2"/>
      <c r="M13" s="8"/>
      <c r="N13" s="163" t="str">
        <f t="shared" si="0"/>
        <v/>
      </c>
      <c r="O13" s="126" t="str">
        <f t="shared" si="1"/>
        <v>-</v>
      </c>
      <c r="P13" s="164"/>
      <c r="Q13" s="164"/>
      <c r="R13" s="164"/>
      <c r="S13" s="164"/>
      <c r="T13" s="164"/>
      <c r="U13" s="164"/>
      <c r="V13" s="164"/>
    </row>
    <row r="14" spans="1:22" ht="27" customHeight="1">
      <c r="A14" s="38" t="str">
        <f>IF(ISBLANK(C14)," ",9-COUNTBLANK($C$6:C14))</f>
        <v xml:space="preserve"> </v>
      </c>
      <c r="B14" s="4"/>
      <c r="C14" s="5"/>
      <c r="D14" s="34"/>
      <c r="E14" s="34"/>
      <c r="F14" s="6"/>
      <c r="G14" s="6"/>
      <c r="H14" s="7"/>
      <c r="I14" s="7"/>
      <c r="J14" s="2"/>
      <c r="K14" s="2"/>
      <c r="L14" s="2"/>
      <c r="M14" s="8"/>
      <c r="N14" s="163" t="str">
        <f t="shared" si="0"/>
        <v/>
      </c>
      <c r="O14" s="126" t="str">
        <f t="shared" si="1"/>
        <v>-</v>
      </c>
      <c r="P14" s="164"/>
      <c r="Q14" s="164"/>
      <c r="R14" s="164"/>
      <c r="S14" s="164"/>
      <c r="T14" s="164"/>
      <c r="U14" s="164"/>
      <c r="V14" s="164"/>
    </row>
    <row r="15" spans="1:22" ht="27" customHeight="1">
      <c r="A15" s="38" t="str">
        <f>IF(ISBLANK(C15)," ",10-COUNTBLANK($C$6:C15))</f>
        <v xml:space="preserve"> </v>
      </c>
      <c r="B15" s="4"/>
      <c r="C15" s="5"/>
      <c r="D15" s="34"/>
      <c r="E15" s="34"/>
      <c r="F15" s="6"/>
      <c r="G15" s="6"/>
      <c r="H15" s="7"/>
      <c r="I15" s="7"/>
      <c r="J15" s="2"/>
      <c r="K15" s="2"/>
      <c r="L15" s="2"/>
      <c r="M15" s="8"/>
      <c r="N15" s="163" t="str">
        <f t="shared" si="0"/>
        <v/>
      </c>
      <c r="O15" s="126" t="str">
        <f t="shared" si="1"/>
        <v>-</v>
      </c>
      <c r="P15" s="164"/>
      <c r="Q15" s="164"/>
      <c r="R15" s="164"/>
      <c r="S15" s="164"/>
      <c r="T15" s="164"/>
      <c r="U15" s="164"/>
      <c r="V15" s="164"/>
    </row>
    <row r="16" spans="1:22" ht="27" customHeight="1">
      <c r="A16" s="38" t="str">
        <f>IF(ISBLANK(C16)," ",11-COUNTBLANK($C$6:C16))</f>
        <v xml:space="preserve"> </v>
      </c>
      <c r="B16" s="4"/>
      <c r="C16" s="5"/>
      <c r="D16" s="34"/>
      <c r="E16" s="34"/>
      <c r="F16" s="6"/>
      <c r="G16" s="6"/>
      <c r="H16" s="7"/>
      <c r="I16" s="7"/>
      <c r="J16" s="2"/>
      <c r="K16" s="2"/>
      <c r="L16" s="2"/>
      <c r="M16" s="8"/>
      <c r="N16" s="163" t="str">
        <f t="shared" si="0"/>
        <v/>
      </c>
      <c r="O16" s="126" t="str">
        <f t="shared" si="1"/>
        <v>-</v>
      </c>
      <c r="P16" s="164"/>
      <c r="Q16" s="164"/>
      <c r="R16" s="164"/>
      <c r="S16" s="164"/>
      <c r="T16" s="164"/>
      <c r="U16" s="164"/>
      <c r="V16" s="164"/>
    </row>
    <row r="17" spans="1:25" ht="27" customHeight="1">
      <c r="A17" s="38" t="str">
        <f>IF(ISBLANK(C17)," ",12-COUNTBLANK($C$6:C17))</f>
        <v xml:space="preserve"> </v>
      </c>
      <c r="B17" s="4"/>
      <c r="C17" s="5"/>
      <c r="D17" s="34"/>
      <c r="E17" s="34"/>
      <c r="F17" s="6"/>
      <c r="G17" s="6"/>
      <c r="H17" s="7"/>
      <c r="I17" s="7"/>
      <c r="J17" s="2"/>
      <c r="K17" s="2"/>
      <c r="L17" s="2"/>
      <c r="M17" s="8"/>
      <c r="N17" s="163" t="str">
        <f t="shared" si="0"/>
        <v/>
      </c>
      <c r="O17" s="126" t="str">
        <f t="shared" si="1"/>
        <v>-</v>
      </c>
      <c r="P17" s="164"/>
      <c r="Q17" s="164"/>
      <c r="R17" s="164"/>
      <c r="S17" s="164"/>
      <c r="T17" s="164"/>
      <c r="U17" s="164"/>
      <c r="V17" s="164"/>
    </row>
    <row r="18" spans="1:25" ht="27" customHeight="1">
      <c r="A18" s="38" t="str">
        <f>IF(ISBLANK(C18)," ",13-COUNTBLANK($C$6:C18))</f>
        <v xml:space="preserve"> </v>
      </c>
      <c r="B18" s="4"/>
      <c r="C18" s="5"/>
      <c r="D18" s="34"/>
      <c r="E18" s="34"/>
      <c r="F18" s="6"/>
      <c r="G18" s="6"/>
      <c r="H18" s="7"/>
      <c r="I18" s="7"/>
      <c r="J18" s="2"/>
      <c r="K18" s="2"/>
      <c r="L18" s="2"/>
      <c r="M18" s="8"/>
      <c r="N18" s="163" t="str">
        <f t="shared" si="0"/>
        <v/>
      </c>
      <c r="O18" s="126" t="str">
        <f t="shared" si="1"/>
        <v>-</v>
      </c>
      <c r="P18" s="164"/>
      <c r="Q18" s="164"/>
      <c r="R18" s="164"/>
      <c r="S18" s="164"/>
      <c r="T18" s="164"/>
      <c r="U18" s="164"/>
      <c r="V18" s="164"/>
    </row>
    <row r="19" spans="1:25" ht="27" customHeight="1">
      <c r="A19" s="38" t="str">
        <f>IF(ISBLANK(C19)," ",14-COUNTBLANK($C$6:C19))</f>
        <v xml:space="preserve"> </v>
      </c>
      <c r="B19" s="4"/>
      <c r="C19" s="5"/>
      <c r="D19" s="34"/>
      <c r="E19" s="34"/>
      <c r="F19" s="6"/>
      <c r="G19" s="6"/>
      <c r="H19" s="7"/>
      <c r="I19" s="7"/>
      <c r="J19" s="2"/>
      <c r="K19" s="2"/>
      <c r="L19" s="2"/>
      <c r="M19" s="8"/>
      <c r="N19" s="163" t="str">
        <f t="shared" si="0"/>
        <v/>
      </c>
      <c r="O19" s="126" t="str">
        <f t="shared" si="1"/>
        <v>-</v>
      </c>
      <c r="P19" s="164"/>
      <c r="Q19" s="164"/>
      <c r="R19" s="164"/>
      <c r="S19" s="164"/>
      <c r="T19" s="164"/>
      <c r="U19" s="164"/>
      <c r="V19" s="164"/>
    </row>
    <row r="20" spans="1:25" ht="27" customHeight="1">
      <c r="A20" s="38" t="str">
        <f>IF(ISBLANK(C20)," ",15-COUNTBLANK($C$6:C20))</f>
        <v xml:space="preserve"> </v>
      </c>
      <c r="B20" s="4"/>
      <c r="C20" s="5"/>
      <c r="D20" s="34"/>
      <c r="E20" s="34"/>
      <c r="F20" s="6"/>
      <c r="G20" s="6"/>
      <c r="H20" s="7"/>
      <c r="I20" s="7"/>
      <c r="J20" s="2"/>
      <c r="K20" s="2"/>
      <c r="L20" s="2"/>
      <c r="M20" s="8"/>
      <c r="N20" s="163" t="str">
        <f t="shared" si="0"/>
        <v/>
      </c>
      <c r="O20" s="126" t="str">
        <f t="shared" si="1"/>
        <v>-</v>
      </c>
      <c r="P20" s="164"/>
      <c r="Q20" s="164"/>
      <c r="R20" s="164"/>
      <c r="S20" s="164"/>
      <c r="T20" s="164"/>
      <c r="U20" s="164"/>
      <c r="V20" s="164"/>
    </row>
    <row r="21" spans="1:25" ht="27" customHeight="1">
      <c r="A21" s="38" t="str">
        <f>IF(ISBLANK(C21)," ",16-COUNTBLANK($C$6:C21))</f>
        <v xml:space="preserve"> </v>
      </c>
      <c r="B21" s="4"/>
      <c r="C21" s="5"/>
      <c r="D21" s="34"/>
      <c r="E21" s="34"/>
      <c r="F21" s="6"/>
      <c r="G21" s="6"/>
      <c r="H21" s="7"/>
      <c r="I21" s="7"/>
      <c r="J21" s="2"/>
      <c r="K21" s="2"/>
      <c r="L21" s="2"/>
      <c r="M21" s="8"/>
      <c r="N21" s="163" t="str">
        <f t="shared" si="0"/>
        <v/>
      </c>
      <c r="O21" s="126" t="str">
        <f t="shared" si="1"/>
        <v>-</v>
      </c>
      <c r="P21" s="164"/>
      <c r="Q21" s="164"/>
      <c r="R21" s="164"/>
      <c r="S21" s="164"/>
      <c r="T21" s="164"/>
      <c r="U21" s="164"/>
      <c r="V21" s="165"/>
    </row>
    <row r="22" spans="1:25" ht="27" customHeight="1">
      <c r="A22" s="38" t="str">
        <f>IF(ISBLANK(C22)," ",17-COUNTBLANK($C$6:C22))</f>
        <v xml:space="preserve"> </v>
      </c>
      <c r="B22" s="4"/>
      <c r="C22" s="5"/>
      <c r="D22" s="34"/>
      <c r="E22" s="34"/>
      <c r="F22" s="6"/>
      <c r="G22" s="6"/>
      <c r="H22" s="7"/>
      <c r="I22" s="7"/>
      <c r="J22" s="2"/>
      <c r="K22" s="2"/>
      <c r="L22" s="2"/>
      <c r="M22" s="8"/>
      <c r="N22" s="163" t="str">
        <f t="shared" si="0"/>
        <v/>
      </c>
      <c r="O22" s="126" t="str">
        <f t="shared" si="1"/>
        <v>-</v>
      </c>
      <c r="P22" s="164"/>
      <c r="Q22" s="164"/>
      <c r="R22" s="164"/>
      <c r="S22" s="164"/>
      <c r="T22" s="164"/>
      <c r="U22" s="164"/>
      <c r="V22" s="165"/>
    </row>
    <row r="23" spans="1:25" ht="27" customHeight="1">
      <c r="A23" s="38" t="str">
        <f>IF(ISBLANK(C23)," ",18-COUNTBLANK($C$6:C23))</f>
        <v xml:space="preserve"> </v>
      </c>
      <c r="B23" s="4"/>
      <c r="C23" s="5"/>
      <c r="D23" s="34"/>
      <c r="E23" s="34"/>
      <c r="F23" s="6"/>
      <c r="G23" s="6"/>
      <c r="H23" s="7"/>
      <c r="I23" s="7"/>
      <c r="J23" s="2"/>
      <c r="K23" s="2"/>
      <c r="L23" s="2"/>
      <c r="M23" s="8"/>
      <c r="N23" s="163" t="str">
        <f t="shared" si="0"/>
        <v/>
      </c>
      <c r="O23" s="126" t="str">
        <f t="shared" si="1"/>
        <v>-</v>
      </c>
      <c r="P23" s="164"/>
      <c r="Q23" s="164"/>
      <c r="R23" s="164"/>
      <c r="S23" s="164"/>
      <c r="T23" s="164"/>
      <c r="U23" s="164"/>
      <c r="V23" s="165"/>
    </row>
    <row r="24" spans="1:25" ht="27" customHeight="1">
      <c r="A24" s="38" t="str">
        <f>IF(ISBLANK(C24)," ",19-COUNTBLANK($C$6:C24))</f>
        <v xml:space="preserve"> </v>
      </c>
      <c r="B24" s="4"/>
      <c r="C24" s="5"/>
      <c r="D24" s="34"/>
      <c r="E24" s="34"/>
      <c r="F24" s="6"/>
      <c r="G24" s="6"/>
      <c r="H24" s="7"/>
      <c r="I24" s="7"/>
      <c r="J24" s="2"/>
      <c r="K24" s="2"/>
      <c r="L24" s="2"/>
      <c r="M24" s="8"/>
      <c r="N24" s="163" t="str">
        <f t="shared" si="0"/>
        <v/>
      </c>
      <c r="O24" s="126" t="str">
        <f t="shared" si="1"/>
        <v>-</v>
      </c>
      <c r="P24" s="164"/>
      <c r="Q24" s="164"/>
      <c r="R24" s="164"/>
      <c r="S24" s="164"/>
      <c r="T24" s="164"/>
      <c r="U24" s="164"/>
      <c r="V24" s="165"/>
    </row>
    <row r="25" spans="1:25" ht="27" customHeight="1">
      <c r="A25" s="39" t="str">
        <f>IF(ISBLANK(C25)," ",20-COUNTBLANK($C$6:C25))</f>
        <v xml:space="preserve"> </v>
      </c>
      <c r="B25" s="14"/>
      <c r="C25" s="15"/>
      <c r="D25" s="35"/>
      <c r="E25" s="35"/>
      <c r="F25" s="16"/>
      <c r="G25" s="16"/>
      <c r="H25" s="17"/>
      <c r="I25" s="17"/>
      <c r="J25" s="3"/>
      <c r="K25" s="3"/>
      <c r="L25" s="3"/>
      <c r="M25" s="18"/>
      <c r="N25" s="163" t="str">
        <f t="shared" si="0"/>
        <v/>
      </c>
      <c r="O25" s="126" t="str">
        <f t="shared" si="1"/>
        <v>-</v>
      </c>
      <c r="P25" s="164"/>
      <c r="Q25" s="164"/>
      <c r="R25" s="164"/>
      <c r="S25" s="164"/>
      <c r="T25" s="164"/>
      <c r="U25" s="164"/>
      <c r="V25" s="166"/>
      <c r="W25" s="164"/>
      <c r="X25" s="164"/>
      <c r="Y25" s="164"/>
    </row>
    <row r="26" spans="1:25" ht="27" customHeight="1">
      <c r="A26" s="167" t="s">
        <v>44</v>
      </c>
      <c r="B26" s="168"/>
      <c r="C26" s="168"/>
      <c r="D26" s="169"/>
      <c r="E26" s="169">
        <f>SUM(E6:E25)</f>
        <v>0</v>
      </c>
      <c r="F26" s="170"/>
      <c r="G26" s="170"/>
      <c r="H26" s="170"/>
      <c r="I26" s="170"/>
      <c r="J26" s="170"/>
      <c r="K26" s="170"/>
      <c r="L26" s="170"/>
      <c r="M26" s="171"/>
      <c r="N26" s="163" t="str">
        <f t="shared" si="0"/>
        <v/>
      </c>
      <c r="O26" s="126"/>
      <c r="P26" s="164"/>
      <c r="Q26" s="164"/>
      <c r="R26" s="164"/>
      <c r="S26" s="164"/>
      <c r="T26" s="164"/>
      <c r="U26" s="164"/>
      <c r="V26" s="166"/>
      <c r="W26" s="164"/>
      <c r="X26" s="164"/>
      <c r="Y26" s="164"/>
    </row>
    <row r="27" spans="1:25" ht="27" customHeight="1">
      <c r="A27" s="37" t="str">
        <f>IF(ISBLANK(C27)," ",22-COUNTBLANK($C$6:C27))</f>
        <v xml:space="preserve"> </v>
      </c>
      <c r="B27" s="9"/>
      <c r="C27" s="10"/>
      <c r="D27" s="33"/>
      <c r="E27" s="33"/>
      <c r="F27" s="11"/>
      <c r="G27" s="11"/>
      <c r="H27" s="12"/>
      <c r="I27" s="12"/>
      <c r="J27" s="32"/>
      <c r="K27" s="32"/>
      <c r="L27" s="32"/>
      <c r="M27" s="13"/>
      <c r="N27" s="163" t="str">
        <f t="shared" si="0"/>
        <v/>
      </c>
      <c r="O27" s="126" t="str">
        <f>IF(D27&gt;=E27,"-","ERR")</f>
        <v>-</v>
      </c>
      <c r="P27" s="164"/>
      <c r="Q27" s="164"/>
      <c r="R27" s="164"/>
      <c r="S27" s="164"/>
      <c r="T27" s="164"/>
      <c r="U27" s="164"/>
      <c r="V27" s="164"/>
    </row>
    <row r="28" spans="1:25" ht="27" customHeight="1">
      <c r="A28" s="38" t="str">
        <f>IF(ISBLANK(C28)," ",23-COUNTBLANK($C$6:C28))</f>
        <v xml:space="preserve"> </v>
      </c>
      <c r="B28" s="4"/>
      <c r="C28" s="5"/>
      <c r="D28" s="34"/>
      <c r="E28" s="34"/>
      <c r="F28" s="6"/>
      <c r="G28" s="6"/>
      <c r="H28" s="7"/>
      <c r="I28" s="7"/>
      <c r="J28" s="2"/>
      <c r="K28" s="2"/>
      <c r="L28" s="2"/>
      <c r="M28" s="8"/>
      <c r="N28" s="163" t="str">
        <f t="shared" si="0"/>
        <v/>
      </c>
      <c r="O28" s="126" t="str">
        <f t="shared" ref="O28:O46" si="2">IF(D28&gt;=E28,"-","ERR")</f>
        <v>-</v>
      </c>
      <c r="P28" s="164"/>
      <c r="Q28" s="164"/>
      <c r="R28" s="164"/>
      <c r="S28" s="164"/>
      <c r="T28" s="164"/>
      <c r="U28" s="164"/>
      <c r="V28" s="164"/>
    </row>
    <row r="29" spans="1:25" ht="27" customHeight="1">
      <c r="A29" s="38" t="str">
        <f>IF(ISBLANK(C29)," ",24-COUNTBLANK($C$6:C29))</f>
        <v xml:space="preserve"> </v>
      </c>
      <c r="B29" s="4"/>
      <c r="C29" s="5"/>
      <c r="D29" s="34"/>
      <c r="E29" s="34"/>
      <c r="F29" s="6"/>
      <c r="G29" s="6"/>
      <c r="H29" s="7"/>
      <c r="I29" s="7"/>
      <c r="J29" s="2"/>
      <c r="K29" s="2"/>
      <c r="L29" s="2"/>
      <c r="M29" s="8"/>
      <c r="N29" s="163" t="str">
        <f t="shared" si="0"/>
        <v/>
      </c>
      <c r="O29" s="126" t="str">
        <f t="shared" si="2"/>
        <v>-</v>
      </c>
      <c r="P29" s="164"/>
      <c r="Q29" s="164"/>
      <c r="R29" s="164"/>
      <c r="S29" s="164"/>
      <c r="T29" s="164"/>
      <c r="U29" s="164"/>
      <c r="V29" s="164"/>
    </row>
    <row r="30" spans="1:25" ht="27" customHeight="1">
      <c r="A30" s="38" t="str">
        <f>IF(ISBLANK(C30)," ",25-COUNTBLANK($C$6:C30))</f>
        <v xml:space="preserve"> </v>
      </c>
      <c r="B30" s="4"/>
      <c r="C30" s="5"/>
      <c r="D30" s="34"/>
      <c r="E30" s="34"/>
      <c r="F30" s="6"/>
      <c r="G30" s="6"/>
      <c r="H30" s="7"/>
      <c r="I30" s="7"/>
      <c r="J30" s="2"/>
      <c r="K30" s="2"/>
      <c r="L30" s="2"/>
      <c r="M30" s="8"/>
      <c r="N30" s="163" t="str">
        <f t="shared" si="0"/>
        <v/>
      </c>
      <c r="O30" s="126" t="str">
        <f t="shared" si="2"/>
        <v>-</v>
      </c>
      <c r="P30" s="164"/>
      <c r="Q30" s="164"/>
      <c r="R30" s="164"/>
      <c r="S30" s="164"/>
      <c r="T30" s="164"/>
      <c r="U30" s="164"/>
      <c r="V30" s="164"/>
    </row>
    <row r="31" spans="1:25" ht="27" customHeight="1">
      <c r="A31" s="38" t="str">
        <f>IF(ISBLANK(C31)," ",26-COUNTBLANK($C$6:C31))</f>
        <v xml:space="preserve"> </v>
      </c>
      <c r="B31" s="4"/>
      <c r="C31" s="5"/>
      <c r="D31" s="34"/>
      <c r="E31" s="34"/>
      <c r="F31" s="6"/>
      <c r="G31" s="6"/>
      <c r="H31" s="7"/>
      <c r="I31" s="7"/>
      <c r="J31" s="2"/>
      <c r="K31" s="2"/>
      <c r="L31" s="2"/>
      <c r="M31" s="8"/>
      <c r="N31" s="163" t="str">
        <f t="shared" si="0"/>
        <v/>
      </c>
      <c r="O31" s="126" t="str">
        <f t="shared" si="2"/>
        <v>-</v>
      </c>
      <c r="P31" s="164"/>
      <c r="Q31" s="164"/>
      <c r="R31" s="164"/>
      <c r="S31" s="164"/>
      <c r="T31" s="164"/>
      <c r="U31" s="164"/>
      <c r="V31" s="164"/>
    </row>
    <row r="32" spans="1:25" ht="27" customHeight="1">
      <c r="A32" s="38" t="str">
        <f>IF(ISBLANK(C32)," ",27-COUNTBLANK($C$6:C32))</f>
        <v xml:space="preserve"> </v>
      </c>
      <c r="B32" s="4"/>
      <c r="C32" s="5"/>
      <c r="D32" s="34"/>
      <c r="E32" s="34"/>
      <c r="F32" s="6"/>
      <c r="G32" s="6"/>
      <c r="H32" s="7"/>
      <c r="I32" s="7"/>
      <c r="J32" s="2"/>
      <c r="K32" s="2"/>
      <c r="L32" s="2"/>
      <c r="M32" s="8"/>
      <c r="N32" s="163" t="str">
        <f t="shared" si="0"/>
        <v/>
      </c>
      <c r="O32" s="126" t="str">
        <f t="shared" si="2"/>
        <v>-</v>
      </c>
      <c r="P32" s="164"/>
      <c r="Q32" s="164"/>
      <c r="R32" s="164"/>
      <c r="S32" s="164"/>
      <c r="T32" s="164"/>
      <c r="U32" s="164"/>
      <c r="V32" s="164"/>
    </row>
    <row r="33" spans="1:25" ht="27" customHeight="1">
      <c r="A33" s="38" t="str">
        <f>IF(ISBLANK(C33)," ",28-COUNTBLANK($C$6:C33))</f>
        <v xml:space="preserve"> </v>
      </c>
      <c r="B33" s="4"/>
      <c r="C33" s="5"/>
      <c r="D33" s="34"/>
      <c r="E33" s="34"/>
      <c r="F33" s="6"/>
      <c r="G33" s="6"/>
      <c r="H33" s="7"/>
      <c r="I33" s="7"/>
      <c r="J33" s="2"/>
      <c r="K33" s="2"/>
      <c r="L33" s="2"/>
      <c r="M33" s="8"/>
      <c r="N33" s="163" t="str">
        <f t="shared" si="0"/>
        <v/>
      </c>
      <c r="O33" s="126" t="str">
        <f t="shared" si="2"/>
        <v>-</v>
      </c>
      <c r="P33" s="164"/>
      <c r="Q33" s="164"/>
      <c r="R33" s="164"/>
      <c r="S33" s="164"/>
      <c r="T33" s="164"/>
      <c r="U33" s="164"/>
      <c r="V33" s="164"/>
    </row>
    <row r="34" spans="1:25" ht="27" customHeight="1">
      <c r="A34" s="38" t="str">
        <f>IF(ISBLANK(C34)," ",29-COUNTBLANK($C$6:C34))</f>
        <v xml:space="preserve"> </v>
      </c>
      <c r="B34" s="4"/>
      <c r="C34" s="5"/>
      <c r="D34" s="34"/>
      <c r="E34" s="34"/>
      <c r="F34" s="6"/>
      <c r="G34" s="6"/>
      <c r="H34" s="7"/>
      <c r="I34" s="7"/>
      <c r="J34" s="2"/>
      <c r="K34" s="2"/>
      <c r="L34" s="2"/>
      <c r="M34" s="8"/>
      <c r="N34" s="163" t="str">
        <f t="shared" si="0"/>
        <v/>
      </c>
      <c r="O34" s="126" t="str">
        <f t="shared" si="2"/>
        <v>-</v>
      </c>
      <c r="P34" s="164"/>
      <c r="Q34" s="164"/>
      <c r="R34" s="164"/>
      <c r="S34" s="164"/>
      <c r="T34" s="164"/>
      <c r="U34" s="164"/>
      <c r="V34" s="164"/>
    </row>
    <row r="35" spans="1:25" ht="27" customHeight="1">
      <c r="A35" s="38" t="str">
        <f>IF(ISBLANK(C35)," ",30-COUNTBLANK($C$6:C35))</f>
        <v xml:space="preserve"> </v>
      </c>
      <c r="B35" s="4"/>
      <c r="C35" s="5"/>
      <c r="D35" s="34"/>
      <c r="E35" s="34"/>
      <c r="F35" s="6"/>
      <c r="G35" s="6"/>
      <c r="H35" s="7"/>
      <c r="I35" s="7"/>
      <c r="J35" s="2"/>
      <c r="K35" s="2"/>
      <c r="L35" s="2"/>
      <c r="M35" s="8"/>
      <c r="N35" s="163" t="str">
        <f t="shared" si="0"/>
        <v/>
      </c>
      <c r="O35" s="126" t="str">
        <f t="shared" si="2"/>
        <v>-</v>
      </c>
      <c r="P35" s="164"/>
      <c r="Q35" s="164"/>
      <c r="R35" s="164"/>
      <c r="S35" s="164"/>
      <c r="T35" s="164"/>
      <c r="U35" s="164"/>
      <c r="V35" s="164"/>
    </row>
    <row r="36" spans="1:25" ht="27" customHeight="1">
      <c r="A36" s="38" t="str">
        <f>IF(ISBLANK(C36)," ",31-COUNTBLANK($C$6:C36))</f>
        <v xml:space="preserve"> </v>
      </c>
      <c r="B36" s="4"/>
      <c r="C36" s="5"/>
      <c r="D36" s="34"/>
      <c r="E36" s="34"/>
      <c r="F36" s="6"/>
      <c r="G36" s="6"/>
      <c r="H36" s="7"/>
      <c r="I36" s="7"/>
      <c r="J36" s="2"/>
      <c r="K36" s="2"/>
      <c r="L36" s="2"/>
      <c r="M36" s="8"/>
      <c r="N36" s="163" t="str">
        <f t="shared" si="0"/>
        <v/>
      </c>
      <c r="O36" s="126" t="str">
        <f t="shared" si="2"/>
        <v>-</v>
      </c>
      <c r="P36" s="164"/>
      <c r="Q36" s="164"/>
      <c r="R36" s="164"/>
      <c r="S36" s="164"/>
      <c r="T36" s="164"/>
      <c r="U36" s="164"/>
      <c r="V36" s="164"/>
    </row>
    <row r="37" spans="1:25" ht="27" customHeight="1">
      <c r="A37" s="38" t="str">
        <f>IF(ISBLANK(C37)," ",32-COUNTBLANK($C$6:C37))</f>
        <v xml:space="preserve"> </v>
      </c>
      <c r="B37" s="4"/>
      <c r="C37" s="5"/>
      <c r="D37" s="34"/>
      <c r="E37" s="34"/>
      <c r="F37" s="6"/>
      <c r="G37" s="6"/>
      <c r="H37" s="7"/>
      <c r="I37" s="7"/>
      <c r="J37" s="2"/>
      <c r="K37" s="2"/>
      <c r="L37" s="2"/>
      <c r="M37" s="8"/>
      <c r="N37" s="163" t="str">
        <f t="shared" si="0"/>
        <v/>
      </c>
      <c r="O37" s="126" t="str">
        <f t="shared" si="2"/>
        <v>-</v>
      </c>
      <c r="P37" s="164"/>
      <c r="Q37" s="164"/>
      <c r="R37" s="164"/>
      <c r="S37" s="164"/>
      <c r="T37" s="164"/>
      <c r="U37" s="164"/>
      <c r="V37" s="164"/>
    </row>
    <row r="38" spans="1:25" ht="27" customHeight="1">
      <c r="A38" s="38" t="str">
        <f>IF(ISBLANK(C38)," ",33-COUNTBLANK($C$6:C38))</f>
        <v xml:space="preserve"> </v>
      </c>
      <c r="B38" s="4"/>
      <c r="C38" s="5"/>
      <c r="D38" s="34"/>
      <c r="E38" s="34"/>
      <c r="F38" s="6"/>
      <c r="G38" s="6"/>
      <c r="H38" s="7"/>
      <c r="I38" s="7"/>
      <c r="J38" s="2"/>
      <c r="K38" s="2"/>
      <c r="L38" s="2"/>
      <c r="M38" s="8"/>
      <c r="N38" s="163" t="str">
        <f t="shared" si="0"/>
        <v/>
      </c>
      <c r="O38" s="126" t="str">
        <f t="shared" si="2"/>
        <v>-</v>
      </c>
      <c r="P38" s="164"/>
      <c r="Q38" s="164"/>
      <c r="R38" s="164"/>
      <c r="S38" s="164"/>
      <c r="T38" s="164"/>
      <c r="U38" s="164"/>
      <c r="V38" s="164"/>
    </row>
    <row r="39" spans="1:25" ht="27" customHeight="1">
      <c r="A39" s="38" t="str">
        <f>IF(ISBLANK(C39)," ",34-COUNTBLANK($C$6:C39))</f>
        <v xml:space="preserve"> </v>
      </c>
      <c r="B39" s="4"/>
      <c r="C39" s="5"/>
      <c r="D39" s="34"/>
      <c r="E39" s="34"/>
      <c r="F39" s="6"/>
      <c r="G39" s="6"/>
      <c r="H39" s="7"/>
      <c r="I39" s="7"/>
      <c r="J39" s="2"/>
      <c r="K39" s="2"/>
      <c r="L39" s="2"/>
      <c r="M39" s="8"/>
      <c r="N39" s="163" t="str">
        <f t="shared" si="0"/>
        <v/>
      </c>
      <c r="O39" s="126" t="str">
        <f t="shared" si="2"/>
        <v>-</v>
      </c>
      <c r="P39" s="164"/>
      <c r="Q39" s="164"/>
      <c r="R39" s="164"/>
      <c r="S39" s="164"/>
      <c r="T39" s="164"/>
      <c r="U39" s="164"/>
      <c r="V39" s="164"/>
    </row>
    <row r="40" spans="1:25" ht="27" customHeight="1">
      <c r="A40" s="38" t="str">
        <f>IF(ISBLANK(C40)," ",35-COUNTBLANK($C$6:C40))</f>
        <v xml:space="preserve"> </v>
      </c>
      <c r="B40" s="4"/>
      <c r="C40" s="5"/>
      <c r="D40" s="34"/>
      <c r="E40" s="34"/>
      <c r="F40" s="6"/>
      <c r="G40" s="6"/>
      <c r="H40" s="7"/>
      <c r="I40" s="7"/>
      <c r="J40" s="2"/>
      <c r="K40" s="2"/>
      <c r="L40" s="2"/>
      <c r="M40" s="8"/>
      <c r="N40" s="163" t="str">
        <f t="shared" si="0"/>
        <v/>
      </c>
      <c r="O40" s="126" t="str">
        <f t="shared" si="2"/>
        <v>-</v>
      </c>
      <c r="P40" s="164"/>
      <c r="Q40" s="164"/>
      <c r="R40" s="164"/>
      <c r="S40" s="164"/>
      <c r="T40" s="164"/>
      <c r="U40" s="164"/>
      <c r="V40" s="164"/>
    </row>
    <row r="41" spans="1:25" ht="27" customHeight="1">
      <c r="A41" s="38" t="str">
        <f>IF(ISBLANK(C41)," ",36-COUNTBLANK($C$6:C41))</f>
        <v xml:space="preserve"> </v>
      </c>
      <c r="B41" s="4"/>
      <c r="C41" s="5"/>
      <c r="D41" s="34"/>
      <c r="E41" s="34"/>
      <c r="F41" s="6"/>
      <c r="G41" s="6"/>
      <c r="H41" s="7"/>
      <c r="I41" s="7"/>
      <c r="J41" s="2"/>
      <c r="K41" s="2"/>
      <c r="L41" s="2"/>
      <c r="M41" s="8"/>
      <c r="N41" s="163" t="str">
        <f t="shared" si="0"/>
        <v/>
      </c>
      <c r="O41" s="126" t="str">
        <f t="shared" si="2"/>
        <v>-</v>
      </c>
      <c r="P41" s="164"/>
      <c r="Q41" s="164"/>
      <c r="R41" s="164"/>
      <c r="S41" s="164"/>
      <c r="T41" s="164"/>
      <c r="U41" s="164"/>
      <c r="V41" s="164"/>
    </row>
    <row r="42" spans="1:25" ht="27" customHeight="1">
      <c r="A42" s="38" t="str">
        <f>IF(ISBLANK(C42)," ",37-COUNTBLANK($C$6:C42))</f>
        <v xml:space="preserve"> </v>
      </c>
      <c r="B42" s="4"/>
      <c r="C42" s="5"/>
      <c r="D42" s="34"/>
      <c r="E42" s="34"/>
      <c r="F42" s="6"/>
      <c r="G42" s="6"/>
      <c r="H42" s="7"/>
      <c r="I42" s="7"/>
      <c r="J42" s="2"/>
      <c r="K42" s="2"/>
      <c r="L42" s="2"/>
      <c r="M42" s="8"/>
      <c r="N42" s="163" t="str">
        <f t="shared" si="0"/>
        <v/>
      </c>
      <c r="O42" s="126" t="str">
        <f t="shared" si="2"/>
        <v>-</v>
      </c>
      <c r="P42" s="164"/>
      <c r="Q42" s="164"/>
      <c r="R42" s="164"/>
      <c r="S42" s="164"/>
      <c r="T42" s="164"/>
      <c r="U42" s="164"/>
      <c r="V42" s="165"/>
    </row>
    <row r="43" spans="1:25" ht="27" customHeight="1">
      <c r="A43" s="38" t="str">
        <f>IF(ISBLANK(C43)," ",38-COUNTBLANK($C$6:C43))</f>
        <v xml:space="preserve"> </v>
      </c>
      <c r="B43" s="4"/>
      <c r="C43" s="5"/>
      <c r="D43" s="34"/>
      <c r="E43" s="34"/>
      <c r="F43" s="6"/>
      <c r="G43" s="6"/>
      <c r="H43" s="7"/>
      <c r="I43" s="7"/>
      <c r="J43" s="2"/>
      <c r="K43" s="2"/>
      <c r="L43" s="2"/>
      <c r="M43" s="8"/>
      <c r="N43" s="163" t="str">
        <f t="shared" si="0"/>
        <v/>
      </c>
      <c r="O43" s="126" t="str">
        <f t="shared" si="2"/>
        <v>-</v>
      </c>
      <c r="P43" s="164"/>
      <c r="Q43" s="164"/>
      <c r="R43" s="164"/>
      <c r="S43" s="164"/>
      <c r="T43" s="164"/>
      <c r="U43" s="164"/>
      <c r="V43" s="165"/>
    </row>
    <row r="44" spans="1:25" ht="27" customHeight="1">
      <c r="A44" s="38" t="str">
        <f>IF(ISBLANK(C44)," ",39-COUNTBLANK($C$6:C44))</f>
        <v xml:space="preserve"> </v>
      </c>
      <c r="B44" s="4"/>
      <c r="C44" s="5"/>
      <c r="D44" s="34"/>
      <c r="E44" s="34"/>
      <c r="F44" s="6"/>
      <c r="G44" s="6"/>
      <c r="H44" s="7"/>
      <c r="I44" s="7"/>
      <c r="J44" s="2"/>
      <c r="K44" s="2"/>
      <c r="L44" s="2"/>
      <c r="M44" s="8"/>
      <c r="N44" s="163" t="str">
        <f t="shared" si="0"/>
        <v/>
      </c>
      <c r="O44" s="126" t="str">
        <f t="shared" si="2"/>
        <v>-</v>
      </c>
      <c r="P44" s="164"/>
      <c r="Q44" s="164"/>
      <c r="R44" s="164"/>
      <c r="S44" s="164"/>
      <c r="T44" s="164"/>
      <c r="U44" s="164"/>
      <c r="V44" s="165"/>
    </row>
    <row r="45" spans="1:25" ht="27" customHeight="1">
      <c r="A45" s="38" t="str">
        <f>IF(ISBLANK(C45)," ",40-COUNTBLANK($C$6:C45))</f>
        <v xml:space="preserve"> </v>
      </c>
      <c r="B45" s="4"/>
      <c r="C45" s="5"/>
      <c r="D45" s="34"/>
      <c r="E45" s="34"/>
      <c r="F45" s="6"/>
      <c r="G45" s="6"/>
      <c r="H45" s="7"/>
      <c r="I45" s="7"/>
      <c r="J45" s="2"/>
      <c r="K45" s="2"/>
      <c r="L45" s="2"/>
      <c r="M45" s="8"/>
      <c r="N45" s="163" t="str">
        <f t="shared" si="0"/>
        <v/>
      </c>
      <c r="O45" s="126" t="str">
        <f t="shared" si="2"/>
        <v>-</v>
      </c>
      <c r="P45" s="164"/>
      <c r="Q45" s="164"/>
      <c r="R45" s="164"/>
      <c r="S45" s="164"/>
      <c r="T45" s="164"/>
      <c r="U45" s="164"/>
      <c r="V45" s="165"/>
    </row>
    <row r="46" spans="1:25" ht="27" customHeight="1">
      <c r="A46" s="39" t="str">
        <f>IF(ISBLANK(C46)," ",41-COUNTBLANK($C$6:C46))</f>
        <v xml:space="preserve"> </v>
      </c>
      <c r="B46" s="14"/>
      <c r="C46" s="15"/>
      <c r="D46" s="35"/>
      <c r="E46" s="35"/>
      <c r="F46" s="16"/>
      <c r="G46" s="16"/>
      <c r="H46" s="17"/>
      <c r="I46" s="17"/>
      <c r="J46" s="3"/>
      <c r="K46" s="3"/>
      <c r="L46" s="3"/>
      <c r="M46" s="18"/>
      <c r="N46" s="163" t="str">
        <f t="shared" si="0"/>
        <v/>
      </c>
      <c r="O46" s="126" t="str">
        <f t="shared" si="2"/>
        <v>-</v>
      </c>
      <c r="P46" s="164"/>
      <c r="Q46" s="164"/>
      <c r="R46" s="164"/>
      <c r="S46" s="164"/>
      <c r="T46" s="164"/>
      <c r="U46" s="164"/>
      <c r="V46" s="166"/>
      <c r="W46" s="164"/>
      <c r="X46" s="164"/>
      <c r="Y46" s="164"/>
    </row>
    <row r="47" spans="1:25" ht="27" customHeight="1">
      <c r="A47" s="167" t="s">
        <v>44</v>
      </c>
      <c r="B47" s="168"/>
      <c r="C47" s="168"/>
      <c r="D47" s="169"/>
      <c r="E47" s="169">
        <f>SUM(E27:E46)</f>
        <v>0</v>
      </c>
      <c r="F47" s="170"/>
      <c r="G47" s="170"/>
      <c r="H47" s="170"/>
      <c r="I47" s="170"/>
      <c r="J47" s="170"/>
      <c r="K47" s="170"/>
      <c r="L47" s="170"/>
      <c r="M47" s="171"/>
      <c r="N47" s="163" t="str">
        <f t="shared" si="0"/>
        <v/>
      </c>
      <c r="O47" s="126"/>
      <c r="P47" s="164"/>
      <c r="Q47" s="164"/>
      <c r="R47" s="164"/>
      <c r="S47" s="164"/>
      <c r="T47" s="164"/>
      <c r="U47" s="164"/>
      <c r="V47" s="166"/>
      <c r="W47" s="164"/>
      <c r="X47" s="164"/>
      <c r="Y47" s="164"/>
    </row>
    <row r="48" spans="1:25" ht="27" customHeight="1">
      <c r="A48" s="37" t="str">
        <f>IF(ISBLANK(C48)," ",43-COUNTBLANK($C$6:C48))</f>
        <v xml:space="preserve"> </v>
      </c>
      <c r="B48" s="9"/>
      <c r="C48" s="10"/>
      <c r="D48" s="33"/>
      <c r="E48" s="33"/>
      <c r="F48" s="11"/>
      <c r="G48" s="11"/>
      <c r="H48" s="12"/>
      <c r="I48" s="12"/>
      <c r="J48" s="32"/>
      <c r="K48" s="32"/>
      <c r="L48" s="32"/>
      <c r="M48" s="13"/>
      <c r="N48" s="163" t="str">
        <f t="shared" si="0"/>
        <v/>
      </c>
      <c r="O48" s="126" t="str">
        <f>IF(D48&gt;=E48,"-","ERR")</f>
        <v>-</v>
      </c>
      <c r="P48" s="164"/>
      <c r="Q48" s="164"/>
      <c r="R48" s="164"/>
      <c r="S48" s="164"/>
      <c r="T48" s="164"/>
      <c r="U48" s="164"/>
      <c r="V48" s="164"/>
    </row>
    <row r="49" spans="1:22" ht="27" customHeight="1">
      <c r="A49" s="38" t="str">
        <f>IF(ISBLANK(C49)," ",44-COUNTBLANK($C$6:C49))</f>
        <v xml:space="preserve"> </v>
      </c>
      <c r="B49" s="4"/>
      <c r="C49" s="5"/>
      <c r="D49" s="34"/>
      <c r="E49" s="34"/>
      <c r="F49" s="6"/>
      <c r="G49" s="6"/>
      <c r="H49" s="7"/>
      <c r="I49" s="7"/>
      <c r="J49" s="2"/>
      <c r="K49" s="2"/>
      <c r="L49" s="2"/>
      <c r="M49" s="8"/>
      <c r="N49" s="163" t="str">
        <f t="shared" si="0"/>
        <v/>
      </c>
      <c r="O49" s="126" t="str">
        <f t="shared" ref="O49:O67" si="3">IF(D49&gt;=E49,"-","ERR")</f>
        <v>-</v>
      </c>
      <c r="P49" s="164"/>
      <c r="Q49" s="164"/>
      <c r="R49" s="164"/>
      <c r="S49" s="164"/>
      <c r="T49" s="164"/>
      <c r="U49" s="164"/>
      <c r="V49" s="164"/>
    </row>
    <row r="50" spans="1:22" ht="27" customHeight="1">
      <c r="A50" s="38" t="str">
        <f>IF(ISBLANK(C50)," ",45-COUNTBLANK($C$6:C50))</f>
        <v xml:space="preserve"> </v>
      </c>
      <c r="B50" s="4"/>
      <c r="C50" s="5"/>
      <c r="D50" s="34"/>
      <c r="E50" s="34"/>
      <c r="F50" s="6"/>
      <c r="G50" s="6"/>
      <c r="H50" s="7"/>
      <c r="I50" s="7"/>
      <c r="J50" s="2"/>
      <c r="K50" s="2"/>
      <c r="L50" s="2"/>
      <c r="M50" s="8"/>
      <c r="N50" s="163" t="str">
        <f t="shared" si="0"/>
        <v/>
      </c>
      <c r="O50" s="126" t="str">
        <f t="shared" si="3"/>
        <v>-</v>
      </c>
      <c r="P50" s="164"/>
      <c r="Q50" s="164"/>
      <c r="R50" s="164"/>
      <c r="S50" s="164"/>
      <c r="T50" s="164"/>
      <c r="U50" s="164"/>
      <c r="V50" s="164"/>
    </row>
    <row r="51" spans="1:22" ht="27" customHeight="1">
      <c r="A51" s="38" t="str">
        <f>IF(ISBLANK(C51)," ",46-COUNTBLANK($C$6:C51))</f>
        <v xml:space="preserve"> </v>
      </c>
      <c r="B51" s="4"/>
      <c r="C51" s="5"/>
      <c r="D51" s="34"/>
      <c r="E51" s="34"/>
      <c r="F51" s="6"/>
      <c r="G51" s="6"/>
      <c r="H51" s="7"/>
      <c r="I51" s="7"/>
      <c r="J51" s="2"/>
      <c r="K51" s="2"/>
      <c r="L51" s="2"/>
      <c r="M51" s="8"/>
      <c r="N51" s="163" t="str">
        <f t="shared" si="0"/>
        <v/>
      </c>
      <c r="O51" s="126" t="str">
        <f t="shared" si="3"/>
        <v>-</v>
      </c>
      <c r="P51" s="164"/>
      <c r="Q51" s="164"/>
      <c r="R51" s="164"/>
      <c r="S51" s="164"/>
      <c r="T51" s="164"/>
      <c r="U51" s="164"/>
      <c r="V51" s="164"/>
    </row>
    <row r="52" spans="1:22" ht="27" customHeight="1">
      <c r="A52" s="38" t="str">
        <f>IF(ISBLANK(C52)," ",47-COUNTBLANK($C$6:C52))</f>
        <v xml:space="preserve"> </v>
      </c>
      <c r="B52" s="4"/>
      <c r="C52" s="5"/>
      <c r="D52" s="34"/>
      <c r="E52" s="34"/>
      <c r="F52" s="6"/>
      <c r="G52" s="6"/>
      <c r="H52" s="7"/>
      <c r="I52" s="7"/>
      <c r="J52" s="2"/>
      <c r="K52" s="2"/>
      <c r="L52" s="2"/>
      <c r="M52" s="8"/>
      <c r="N52" s="163" t="str">
        <f t="shared" si="0"/>
        <v/>
      </c>
      <c r="O52" s="126" t="str">
        <f t="shared" si="3"/>
        <v>-</v>
      </c>
      <c r="P52" s="164"/>
      <c r="Q52" s="164"/>
      <c r="R52" s="164"/>
      <c r="S52" s="164"/>
      <c r="T52" s="164"/>
      <c r="U52" s="164"/>
      <c r="V52" s="164"/>
    </row>
    <row r="53" spans="1:22" ht="27" customHeight="1">
      <c r="A53" s="38" t="str">
        <f>IF(ISBLANK(C53)," ",48-COUNTBLANK($C$6:C53))</f>
        <v xml:space="preserve"> </v>
      </c>
      <c r="B53" s="4"/>
      <c r="C53" s="5"/>
      <c r="D53" s="34"/>
      <c r="E53" s="34"/>
      <c r="F53" s="6"/>
      <c r="G53" s="6"/>
      <c r="H53" s="7"/>
      <c r="I53" s="7"/>
      <c r="J53" s="2"/>
      <c r="K53" s="2"/>
      <c r="L53" s="2"/>
      <c r="M53" s="8"/>
      <c r="N53" s="163" t="str">
        <f t="shared" si="0"/>
        <v/>
      </c>
      <c r="O53" s="126" t="str">
        <f t="shared" si="3"/>
        <v>-</v>
      </c>
      <c r="P53" s="164"/>
      <c r="Q53" s="164"/>
      <c r="R53" s="164"/>
      <c r="S53" s="164"/>
      <c r="T53" s="164"/>
      <c r="U53" s="164"/>
      <c r="V53" s="164"/>
    </row>
    <row r="54" spans="1:22" ht="27" customHeight="1">
      <c r="A54" s="38" t="str">
        <f>IF(ISBLANK(C54)," ",49-COUNTBLANK($C$6:C54))</f>
        <v xml:space="preserve"> </v>
      </c>
      <c r="B54" s="4"/>
      <c r="C54" s="5"/>
      <c r="D54" s="34"/>
      <c r="E54" s="34"/>
      <c r="F54" s="6"/>
      <c r="G54" s="6"/>
      <c r="H54" s="7"/>
      <c r="I54" s="7"/>
      <c r="J54" s="2"/>
      <c r="K54" s="2"/>
      <c r="L54" s="2"/>
      <c r="M54" s="8"/>
      <c r="N54" s="163" t="str">
        <f t="shared" si="0"/>
        <v/>
      </c>
      <c r="O54" s="126" t="str">
        <f t="shared" si="3"/>
        <v>-</v>
      </c>
      <c r="P54" s="164"/>
      <c r="Q54" s="164"/>
      <c r="R54" s="164"/>
      <c r="S54" s="164"/>
      <c r="T54" s="164"/>
      <c r="U54" s="164"/>
      <c r="V54" s="164"/>
    </row>
    <row r="55" spans="1:22" ht="27" customHeight="1">
      <c r="A55" s="38" t="str">
        <f>IF(ISBLANK(C55)," ",50-COUNTBLANK($C$6:C55))</f>
        <v xml:space="preserve"> </v>
      </c>
      <c r="B55" s="4"/>
      <c r="C55" s="5"/>
      <c r="D55" s="34"/>
      <c r="E55" s="34"/>
      <c r="F55" s="6"/>
      <c r="G55" s="6"/>
      <c r="H55" s="7"/>
      <c r="I55" s="7"/>
      <c r="J55" s="2"/>
      <c r="K55" s="2"/>
      <c r="L55" s="2"/>
      <c r="M55" s="8"/>
      <c r="N55" s="163" t="str">
        <f t="shared" si="0"/>
        <v/>
      </c>
      <c r="O55" s="126" t="str">
        <f t="shared" si="3"/>
        <v>-</v>
      </c>
      <c r="P55" s="164"/>
      <c r="Q55" s="164"/>
      <c r="R55" s="164"/>
      <c r="S55" s="164"/>
      <c r="T55" s="164"/>
      <c r="U55" s="164"/>
      <c r="V55" s="164"/>
    </row>
    <row r="56" spans="1:22" ht="27" customHeight="1">
      <c r="A56" s="38" t="str">
        <f>IF(ISBLANK(C56)," ",51-COUNTBLANK($C$6:C56))</f>
        <v xml:space="preserve"> </v>
      </c>
      <c r="B56" s="4"/>
      <c r="C56" s="5"/>
      <c r="D56" s="34"/>
      <c r="E56" s="34"/>
      <c r="F56" s="6"/>
      <c r="G56" s="6"/>
      <c r="H56" s="7"/>
      <c r="I56" s="7"/>
      <c r="J56" s="2"/>
      <c r="K56" s="2"/>
      <c r="L56" s="2"/>
      <c r="M56" s="8"/>
      <c r="N56" s="163" t="str">
        <f t="shared" si="0"/>
        <v/>
      </c>
      <c r="O56" s="126" t="str">
        <f t="shared" si="3"/>
        <v>-</v>
      </c>
      <c r="P56" s="164"/>
      <c r="Q56" s="164"/>
      <c r="R56" s="164"/>
      <c r="S56" s="164"/>
      <c r="T56" s="164"/>
      <c r="U56" s="164"/>
      <c r="V56" s="164"/>
    </row>
    <row r="57" spans="1:22" ht="27" customHeight="1">
      <c r="A57" s="38" t="str">
        <f>IF(ISBLANK(C57)," ",52-COUNTBLANK($C$6:C57))</f>
        <v xml:space="preserve"> </v>
      </c>
      <c r="B57" s="4"/>
      <c r="C57" s="5"/>
      <c r="D57" s="34"/>
      <c r="E57" s="34"/>
      <c r="F57" s="6"/>
      <c r="G57" s="6"/>
      <c r="H57" s="7"/>
      <c r="I57" s="7"/>
      <c r="J57" s="2"/>
      <c r="K57" s="2"/>
      <c r="L57" s="2"/>
      <c r="M57" s="8"/>
      <c r="N57" s="163" t="str">
        <f t="shared" si="0"/>
        <v/>
      </c>
      <c r="O57" s="126" t="str">
        <f t="shared" si="3"/>
        <v>-</v>
      </c>
      <c r="P57" s="164"/>
      <c r="Q57" s="164"/>
      <c r="R57" s="164"/>
      <c r="S57" s="164"/>
      <c r="T57" s="164"/>
      <c r="U57" s="164"/>
      <c r="V57" s="164"/>
    </row>
    <row r="58" spans="1:22" ht="27" customHeight="1">
      <c r="A58" s="38" t="str">
        <f>IF(ISBLANK(C58)," ",53-COUNTBLANK($C$6:C58))</f>
        <v xml:space="preserve"> </v>
      </c>
      <c r="B58" s="4"/>
      <c r="C58" s="5"/>
      <c r="D58" s="34"/>
      <c r="E58" s="34"/>
      <c r="F58" s="6"/>
      <c r="G58" s="6"/>
      <c r="H58" s="7"/>
      <c r="I58" s="7"/>
      <c r="J58" s="2"/>
      <c r="K58" s="2"/>
      <c r="L58" s="2"/>
      <c r="M58" s="8"/>
      <c r="N58" s="163" t="str">
        <f t="shared" si="0"/>
        <v/>
      </c>
      <c r="O58" s="126" t="str">
        <f t="shared" si="3"/>
        <v>-</v>
      </c>
      <c r="P58" s="164"/>
      <c r="Q58" s="164"/>
      <c r="R58" s="164"/>
      <c r="S58" s="164"/>
      <c r="T58" s="164"/>
      <c r="U58" s="164"/>
      <c r="V58" s="164"/>
    </row>
    <row r="59" spans="1:22" ht="27" customHeight="1">
      <c r="A59" s="38" t="str">
        <f>IF(ISBLANK(C59)," ",54-COUNTBLANK($C$6:C59))</f>
        <v xml:space="preserve"> </v>
      </c>
      <c r="B59" s="4"/>
      <c r="C59" s="5"/>
      <c r="D59" s="34"/>
      <c r="E59" s="34"/>
      <c r="F59" s="6"/>
      <c r="G59" s="6"/>
      <c r="H59" s="7"/>
      <c r="I59" s="7"/>
      <c r="J59" s="2"/>
      <c r="K59" s="2"/>
      <c r="L59" s="2"/>
      <c r="M59" s="8"/>
      <c r="N59" s="163" t="str">
        <f t="shared" si="0"/>
        <v/>
      </c>
      <c r="O59" s="126" t="str">
        <f t="shared" si="3"/>
        <v>-</v>
      </c>
      <c r="P59" s="164"/>
      <c r="Q59" s="164"/>
      <c r="R59" s="164"/>
      <c r="S59" s="164"/>
      <c r="T59" s="164"/>
      <c r="U59" s="164"/>
      <c r="V59" s="164"/>
    </row>
    <row r="60" spans="1:22" ht="27" customHeight="1">
      <c r="A60" s="38" t="str">
        <f>IF(ISBLANK(C60)," ",55-COUNTBLANK($C$6:C60))</f>
        <v xml:space="preserve"> </v>
      </c>
      <c r="B60" s="4"/>
      <c r="C60" s="5"/>
      <c r="D60" s="34"/>
      <c r="E60" s="34"/>
      <c r="F60" s="6"/>
      <c r="G60" s="6"/>
      <c r="H60" s="7"/>
      <c r="I60" s="7"/>
      <c r="J60" s="2"/>
      <c r="K60" s="2"/>
      <c r="L60" s="2"/>
      <c r="M60" s="8"/>
      <c r="N60" s="163" t="str">
        <f t="shared" si="0"/>
        <v/>
      </c>
      <c r="O60" s="126" t="str">
        <f t="shared" si="3"/>
        <v>-</v>
      </c>
      <c r="P60" s="164"/>
      <c r="Q60" s="164"/>
      <c r="R60" s="164"/>
      <c r="S60" s="164"/>
      <c r="T60" s="164"/>
      <c r="U60" s="164"/>
      <c r="V60" s="164"/>
    </row>
    <row r="61" spans="1:22" ht="27" customHeight="1">
      <c r="A61" s="38" t="str">
        <f>IF(ISBLANK(C61)," ",56-COUNTBLANK($C$6:C61))</f>
        <v xml:space="preserve"> </v>
      </c>
      <c r="B61" s="4"/>
      <c r="C61" s="5"/>
      <c r="D61" s="34"/>
      <c r="E61" s="34"/>
      <c r="F61" s="6"/>
      <c r="G61" s="6"/>
      <c r="H61" s="7"/>
      <c r="I61" s="7"/>
      <c r="J61" s="2"/>
      <c r="K61" s="2"/>
      <c r="L61" s="2"/>
      <c r="M61" s="8"/>
      <c r="N61" s="163" t="str">
        <f t="shared" si="0"/>
        <v/>
      </c>
      <c r="O61" s="126" t="str">
        <f t="shared" si="3"/>
        <v>-</v>
      </c>
      <c r="P61" s="164"/>
      <c r="Q61" s="164"/>
      <c r="R61" s="164"/>
      <c r="S61" s="164"/>
      <c r="T61" s="164"/>
      <c r="U61" s="164"/>
      <c r="V61" s="164"/>
    </row>
    <row r="62" spans="1:22" ht="27" customHeight="1">
      <c r="A62" s="38" t="str">
        <f>IF(ISBLANK(C62)," ",57-COUNTBLANK($C$6:C62))</f>
        <v xml:space="preserve"> </v>
      </c>
      <c r="B62" s="4"/>
      <c r="C62" s="5"/>
      <c r="D62" s="34"/>
      <c r="E62" s="34"/>
      <c r="F62" s="6"/>
      <c r="G62" s="6"/>
      <c r="H62" s="7"/>
      <c r="I62" s="7"/>
      <c r="J62" s="2"/>
      <c r="K62" s="2"/>
      <c r="L62" s="2"/>
      <c r="M62" s="8"/>
      <c r="N62" s="163" t="str">
        <f t="shared" si="0"/>
        <v/>
      </c>
      <c r="O62" s="126" t="str">
        <f t="shared" si="3"/>
        <v>-</v>
      </c>
      <c r="P62" s="164"/>
      <c r="Q62" s="164"/>
      <c r="R62" s="164"/>
      <c r="S62" s="164"/>
      <c r="T62" s="164"/>
      <c r="U62" s="164"/>
      <c r="V62" s="164"/>
    </row>
    <row r="63" spans="1:22" ht="27" customHeight="1">
      <c r="A63" s="38" t="str">
        <f>IF(ISBLANK(C63)," ",58-COUNTBLANK($C$6:C63))</f>
        <v xml:space="preserve"> </v>
      </c>
      <c r="B63" s="4"/>
      <c r="C63" s="5"/>
      <c r="D63" s="34"/>
      <c r="E63" s="34"/>
      <c r="F63" s="6"/>
      <c r="G63" s="6"/>
      <c r="H63" s="7"/>
      <c r="I63" s="7"/>
      <c r="J63" s="2"/>
      <c r="K63" s="2"/>
      <c r="L63" s="2"/>
      <c r="M63" s="8"/>
      <c r="N63" s="163" t="str">
        <f t="shared" si="0"/>
        <v/>
      </c>
      <c r="O63" s="126" t="str">
        <f t="shared" si="3"/>
        <v>-</v>
      </c>
      <c r="P63" s="164"/>
      <c r="Q63" s="164"/>
      <c r="R63" s="164"/>
      <c r="S63" s="164"/>
      <c r="T63" s="164"/>
      <c r="U63" s="164"/>
      <c r="V63" s="165"/>
    </row>
    <row r="64" spans="1:22" ht="27" customHeight="1">
      <c r="A64" s="38" t="str">
        <f>IF(ISBLANK(C64)," ",59-COUNTBLANK($C$6:C64))</f>
        <v xml:space="preserve"> </v>
      </c>
      <c r="B64" s="4"/>
      <c r="C64" s="5"/>
      <c r="D64" s="34"/>
      <c r="E64" s="34"/>
      <c r="F64" s="6"/>
      <c r="G64" s="6"/>
      <c r="H64" s="7"/>
      <c r="I64" s="7"/>
      <c r="J64" s="2"/>
      <c r="K64" s="2"/>
      <c r="L64" s="2"/>
      <c r="M64" s="8"/>
      <c r="N64" s="163" t="str">
        <f t="shared" si="0"/>
        <v/>
      </c>
      <c r="O64" s="126" t="str">
        <f t="shared" si="3"/>
        <v>-</v>
      </c>
      <c r="P64" s="164"/>
      <c r="Q64" s="164"/>
      <c r="R64" s="164"/>
      <c r="S64" s="164"/>
      <c r="T64" s="164"/>
      <c r="U64" s="164"/>
      <c r="V64" s="165"/>
    </row>
    <row r="65" spans="1:25" ht="27" customHeight="1">
      <c r="A65" s="38" t="str">
        <f>IF(ISBLANK(C65)," ",60-COUNTBLANK($C$6:C65))</f>
        <v xml:space="preserve"> </v>
      </c>
      <c r="B65" s="4"/>
      <c r="C65" s="5"/>
      <c r="D65" s="34"/>
      <c r="E65" s="34"/>
      <c r="F65" s="6"/>
      <c r="G65" s="6"/>
      <c r="H65" s="7"/>
      <c r="I65" s="7"/>
      <c r="J65" s="2"/>
      <c r="K65" s="2"/>
      <c r="L65" s="2"/>
      <c r="M65" s="8"/>
      <c r="N65" s="163" t="str">
        <f t="shared" si="0"/>
        <v/>
      </c>
      <c r="O65" s="126" t="str">
        <f t="shared" si="3"/>
        <v>-</v>
      </c>
      <c r="P65" s="164"/>
      <c r="Q65" s="164"/>
      <c r="R65" s="164"/>
      <c r="S65" s="164"/>
      <c r="T65" s="164"/>
      <c r="U65" s="164"/>
      <c r="V65" s="165"/>
    </row>
    <row r="66" spans="1:25" ht="27" customHeight="1">
      <c r="A66" s="38" t="str">
        <f>IF(ISBLANK(C66)," ",61-COUNTBLANK($C$6:C66))</f>
        <v xml:space="preserve"> </v>
      </c>
      <c r="B66" s="4"/>
      <c r="C66" s="5"/>
      <c r="D66" s="34"/>
      <c r="E66" s="34"/>
      <c r="F66" s="6"/>
      <c r="G66" s="6"/>
      <c r="H66" s="7"/>
      <c r="I66" s="7"/>
      <c r="J66" s="2"/>
      <c r="K66" s="2"/>
      <c r="L66" s="2"/>
      <c r="M66" s="8"/>
      <c r="N66" s="163" t="str">
        <f t="shared" si="0"/>
        <v/>
      </c>
      <c r="O66" s="126" t="str">
        <f t="shared" si="3"/>
        <v>-</v>
      </c>
      <c r="P66" s="164"/>
      <c r="Q66" s="164"/>
      <c r="R66" s="164"/>
      <c r="S66" s="164"/>
      <c r="T66" s="164"/>
      <c r="U66" s="164"/>
      <c r="V66" s="165"/>
    </row>
    <row r="67" spans="1:25" ht="27" customHeight="1">
      <c r="A67" s="39" t="str">
        <f>IF(ISBLANK(C67)," ",62-COUNTBLANK($C$6:C67))</f>
        <v xml:space="preserve"> </v>
      </c>
      <c r="B67" s="14"/>
      <c r="C67" s="15"/>
      <c r="D67" s="35"/>
      <c r="E67" s="35"/>
      <c r="F67" s="16"/>
      <c r="G67" s="16"/>
      <c r="H67" s="17"/>
      <c r="I67" s="17"/>
      <c r="J67" s="3"/>
      <c r="K67" s="3"/>
      <c r="L67" s="3"/>
      <c r="M67" s="18"/>
      <c r="N67" s="163" t="str">
        <f t="shared" si="0"/>
        <v/>
      </c>
      <c r="O67" s="126" t="str">
        <f t="shared" si="3"/>
        <v>-</v>
      </c>
      <c r="P67" s="164"/>
      <c r="Q67" s="164"/>
      <c r="R67" s="164"/>
      <c r="S67" s="164"/>
      <c r="T67" s="164"/>
      <c r="U67" s="164"/>
      <c r="V67" s="166"/>
      <c r="W67" s="164"/>
      <c r="X67" s="164"/>
      <c r="Y67" s="164"/>
    </row>
    <row r="68" spans="1:25" ht="27" customHeight="1">
      <c r="A68" s="167" t="s">
        <v>44</v>
      </c>
      <c r="B68" s="168"/>
      <c r="C68" s="168"/>
      <c r="D68" s="169"/>
      <c r="E68" s="169">
        <f>SUM(E48:E67)</f>
        <v>0</v>
      </c>
      <c r="F68" s="170"/>
      <c r="G68" s="170"/>
      <c r="H68" s="170"/>
      <c r="I68" s="170"/>
      <c r="J68" s="170"/>
      <c r="K68" s="170"/>
      <c r="L68" s="170"/>
      <c r="M68" s="171"/>
      <c r="N68" s="163" t="str">
        <f t="shared" si="0"/>
        <v/>
      </c>
      <c r="O68" s="126"/>
      <c r="P68" s="164"/>
      <c r="Q68" s="164"/>
      <c r="R68" s="164"/>
      <c r="S68" s="164"/>
      <c r="T68" s="164"/>
      <c r="U68" s="164"/>
      <c r="V68" s="166"/>
      <c r="W68" s="164"/>
      <c r="X68" s="164"/>
      <c r="Y68" s="164"/>
    </row>
    <row r="69" spans="1:25" ht="27" customHeight="1">
      <c r="A69" s="37" t="str">
        <f>IF(ISBLANK(C69)," ",64-COUNTBLANK($C$6:C69))</f>
        <v xml:space="preserve"> </v>
      </c>
      <c r="B69" s="9"/>
      <c r="C69" s="10"/>
      <c r="D69" s="33"/>
      <c r="E69" s="33"/>
      <c r="F69" s="11"/>
      <c r="G69" s="11"/>
      <c r="H69" s="12"/>
      <c r="I69" s="12"/>
      <c r="J69" s="32"/>
      <c r="K69" s="32"/>
      <c r="L69" s="32"/>
      <c r="M69" s="13"/>
      <c r="N69" s="163" t="str">
        <f t="shared" si="0"/>
        <v/>
      </c>
      <c r="O69" s="126" t="str">
        <f>IF(D69&gt;=E69,"-","ERR")</f>
        <v>-</v>
      </c>
      <c r="P69" s="164"/>
      <c r="Q69" s="164"/>
      <c r="R69" s="164"/>
      <c r="S69" s="164"/>
      <c r="T69" s="164"/>
      <c r="U69" s="164"/>
      <c r="V69" s="164"/>
    </row>
    <row r="70" spans="1:25" ht="27" customHeight="1">
      <c r="A70" s="38" t="str">
        <f>IF(ISBLANK(C70)," ",65-COUNTBLANK($C$6:C70))</f>
        <v xml:space="preserve"> </v>
      </c>
      <c r="B70" s="4"/>
      <c r="C70" s="5"/>
      <c r="D70" s="34"/>
      <c r="E70" s="34"/>
      <c r="F70" s="6"/>
      <c r="G70" s="6"/>
      <c r="H70" s="7"/>
      <c r="I70" s="7"/>
      <c r="J70" s="2"/>
      <c r="K70" s="2"/>
      <c r="L70" s="2"/>
      <c r="M70" s="8"/>
      <c r="N70" s="163" t="str">
        <f t="shared" si="0"/>
        <v/>
      </c>
      <c r="O70" s="126" t="str">
        <f t="shared" ref="O70:O88" si="4">IF(D70&gt;=E70,"-","ERR")</f>
        <v>-</v>
      </c>
      <c r="P70" s="164"/>
      <c r="Q70" s="164"/>
      <c r="R70" s="164"/>
      <c r="S70" s="164"/>
      <c r="T70" s="164"/>
      <c r="U70" s="164"/>
      <c r="V70" s="164"/>
    </row>
    <row r="71" spans="1:25" ht="27" customHeight="1">
      <c r="A71" s="38" t="str">
        <f>IF(ISBLANK(C71)," ",66-COUNTBLANK($C$6:C71))</f>
        <v xml:space="preserve"> </v>
      </c>
      <c r="B71" s="4"/>
      <c r="C71" s="5"/>
      <c r="D71" s="34"/>
      <c r="E71" s="34"/>
      <c r="F71" s="6"/>
      <c r="G71" s="6"/>
      <c r="H71" s="7"/>
      <c r="I71" s="7"/>
      <c r="J71" s="2"/>
      <c r="K71" s="2"/>
      <c r="L71" s="2"/>
      <c r="M71" s="8"/>
      <c r="N71" s="163" t="str">
        <f t="shared" ref="N71:N134" si="5">CONCATENATE(C71,H71)</f>
        <v/>
      </c>
      <c r="O71" s="126" t="str">
        <f t="shared" si="4"/>
        <v>-</v>
      </c>
      <c r="P71" s="164"/>
      <c r="Q71" s="164"/>
      <c r="R71" s="164"/>
      <c r="S71" s="164"/>
      <c r="T71" s="164"/>
      <c r="U71" s="164"/>
      <c r="V71" s="164"/>
    </row>
    <row r="72" spans="1:25" ht="27" customHeight="1">
      <c r="A72" s="38" t="str">
        <f>IF(ISBLANK(C72)," ",67-COUNTBLANK($C$6:C72))</f>
        <v xml:space="preserve"> </v>
      </c>
      <c r="B72" s="4"/>
      <c r="C72" s="5"/>
      <c r="D72" s="34"/>
      <c r="E72" s="34"/>
      <c r="F72" s="6"/>
      <c r="G72" s="6"/>
      <c r="H72" s="7"/>
      <c r="I72" s="7"/>
      <c r="J72" s="2"/>
      <c r="K72" s="2"/>
      <c r="L72" s="2"/>
      <c r="M72" s="8"/>
      <c r="N72" s="163" t="str">
        <f t="shared" si="5"/>
        <v/>
      </c>
      <c r="O72" s="126" t="str">
        <f t="shared" si="4"/>
        <v>-</v>
      </c>
      <c r="P72" s="164"/>
      <c r="Q72" s="164"/>
      <c r="R72" s="164"/>
      <c r="S72" s="164"/>
      <c r="T72" s="164"/>
      <c r="U72" s="164"/>
      <c r="V72" s="164"/>
    </row>
    <row r="73" spans="1:25" ht="27" customHeight="1">
      <c r="A73" s="38" t="str">
        <f>IF(ISBLANK(C73)," ",68-COUNTBLANK($C$6:C73))</f>
        <v xml:space="preserve"> </v>
      </c>
      <c r="B73" s="4"/>
      <c r="C73" s="5"/>
      <c r="D73" s="34"/>
      <c r="E73" s="34"/>
      <c r="F73" s="6"/>
      <c r="G73" s="6"/>
      <c r="H73" s="7"/>
      <c r="I73" s="7"/>
      <c r="J73" s="2"/>
      <c r="K73" s="2"/>
      <c r="L73" s="2"/>
      <c r="M73" s="8"/>
      <c r="N73" s="163" t="str">
        <f t="shared" si="5"/>
        <v/>
      </c>
      <c r="O73" s="126" t="str">
        <f t="shared" si="4"/>
        <v>-</v>
      </c>
      <c r="P73" s="164"/>
      <c r="Q73" s="164"/>
      <c r="R73" s="164"/>
      <c r="S73" s="164"/>
      <c r="T73" s="164"/>
      <c r="U73" s="164"/>
      <c r="V73" s="164"/>
    </row>
    <row r="74" spans="1:25" ht="27" customHeight="1">
      <c r="A74" s="38" t="str">
        <f>IF(ISBLANK(C74)," ",69-COUNTBLANK($C$6:C74))</f>
        <v xml:space="preserve"> </v>
      </c>
      <c r="B74" s="4"/>
      <c r="C74" s="5"/>
      <c r="D74" s="34"/>
      <c r="E74" s="34"/>
      <c r="F74" s="6"/>
      <c r="G74" s="6"/>
      <c r="H74" s="7"/>
      <c r="I74" s="7"/>
      <c r="J74" s="2"/>
      <c r="K74" s="2"/>
      <c r="L74" s="2"/>
      <c r="M74" s="8"/>
      <c r="N74" s="163" t="str">
        <f t="shared" si="5"/>
        <v/>
      </c>
      <c r="O74" s="126" t="str">
        <f t="shared" si="4"/>
        <v>-</v>
      </c>
      <c r="P74" s="164"/>
      <c r="Q74" s="164"/>
      <c r="R74" s="164"/>
      <c r="S74" s="164"/>
      <c r="T74" s="164"/>
      <c r="U74" s="164"/>
      <c r="V74" s="164"/>
    </row>
    <row r="75" spans="1:25" ht="27" customHeight="1">
      <c r="A75" s="38" t="str">
        <f>IF(ISBLANK(C75)," ",70-COUNTBLANK($C$6:C75))</f>
        <v xml:space="preserve"> </v>
      </c>
      <c r="B75" s="4"/>
      <c r="C75" s="5"/>
      <c r="D75" s="34"/>
      <c r="E75" s="34"/>
      <c r="F75" s="6"/>
      <c r="G75" s="6"/>
      <c r="H75" s="7"/>
      <c r="I75" s="7"/>
      <c r="J75" s="2"/>
      <c r="K75" s="2"/>
      <c r="L75" s="2"/>
      <c r="M75" s="8"/>
      <c r="N75" s="163" t="str">
        <f t="shared" si="5"/>
        <v/>
      </c>
      <c r="O75" s="126" t="str">
        <f t="shared" si="4"/>
        <v>-</v>
      </c>
      <c r="P75" s="164"/>
      <c r="Q75" s="164"/>
      <c r="R75" s="164"/>
      <c r="S75" s="164"/>
      <c r="T75" s="164"/>
      <c r="U75" s="164"/>
      <c r="V75" s="164"/>
    </row>
    <row r="76" spans="1:25" ht="27" customHeight="1">
      <c r="A76" s="38" t="str">
        <f>IF(ISBLANK(C76)," ",71-COUNTBLANK($C$6:C76))</f>
        <v xml:space="preserve"> </v>
      </c>
      <c r="B76" s="4"/>
      <c r="C76" s="5"/>
      <c r="D76" s="34"/>
      <c r="E76" s="34"/>
      <c r="F76" s="6"/>
      <c r="G76" s="6"/>
      <c r="H76" s="7"/>
      <c r="I76" s="7"/>
      <c r="J76" s="2"/>
      <c r="K76" s="2"/>
      <c r="L76" s="2"/>
      <c r="M76" s="8"/>
      <c r="N76" s="163" t="str">
        <f t="shared" si="5"/>
        <v/>
      </c>
      <c r="O76" s="126" t="str">
        <f t="shared" si="4"/>
        <v>-</v>
      </c>
      <c r="P76" s="164"/>
      <c r="Q76" s="164"/>
      <c r="R76" s="164"/>
      <c r="S76" s="164"/>
      <c r="T76" s="164"/>
      <c r="U76" s="164"/>
      <c r="V76" s="164"/>
    </row>
    <row r="77" spans="1:25" ht="27" customHeight="1">
      <c r="A77" s="38" t="str">
        <f>IF(ISBLANK(C77)," ",72-COUNTBLANK($C$6:C77))</f>
        <v xml:space="preserve"> </v>
      </c>
      <c r="B77" s="4"/>
      <c r="C77" s="5"/>
      <c r="D77" s="34"/>
      <c r="E77" s="34"/>
      <c r="F77" s="6"/>
      <c r="G77" s="6"/>
      <c r="H77" s="7"/>
      <c r="I77" s="7"/>
      <c r="J77" s="2"/>
      <c r="K77" s="2"/>
      <c r="L77" s="2"/>
      <c r="M77" s="8"/>
      <c r="N77" s="163" t="str">
        <f t="shared" si="5"/>
        <v/>
      </c>
      <c r="O77" s="126" t="str">
        <f t="shared" si="4"/>
        <v>-</v>
      </c>
      <c r="P77" s="164"/>
      <c r="Q77" s="164"/>
      <c r="R77" s="164"/>
      <c r="S77" s="164"/>
      <c r="T77" s="164"/>
      <c r="U77" s="164"/>
      <c r="V77" s="164"/>
    </row>
    <row r="78" spans="1:25" ht="27" customHeight="1">
      <c r="A78" s="38" t="str">
        <f>IF(ISBLANK(C78)," ",73-COUNTBLANK($C$6:C78))</f>
        <v xml:space="preserve"> </v>
      </c>
      <c r="B78" s="4"/>
      <c r="C78" s="5"/>
      <c r="D78" s="34"/>
      <c r="E78" s="34"/>
      <c r="F78" s="6"/>
      <c r="G78" s="6"/>
      <c r="H78" s="7"/>
      <c r="I78" s="7"/>
      <c r="J78" s="2"/>
      <c r="K78" s="2"/>
      <c r="L78" s="2"/>
      <c r="M78" s="8"/>
      <c r="N78" s="163" t="str">
        <f t="shared" si="5"/>
        <v/>
      </c>
      <c r="O78" s="126" t="str">
        <f t="shared" si="4"/>
        <v>-</v>
      </c>
      <c r="P78" s="164"/>
      <c r="Q78" s="164"/>
      <c r="R78" s="164"/>
      <c r="S78" s="164"/>
      <c r="T78" s="164"/>
      <c r="U78" s="164"/>
      <c r="V78" s="164"/>
    </row>
    <row r="79" spans="1:25" ht="27" customHeight="1">
      <c r="A79" s="38" t="str">
        <f>IF(ISBLANK(C79)," ",74-COUNTBLANK($C$6:C79))</f>
        <v xml:space="preserve"> </v>
      </c>
      <c r="B79" s="4"/>
      <c r="C79" s="5"/>
      <c r="D79" s="34"/>
      <c r="E79" s="34"/>
      <c r="F79" s="6"/>
      <c r="G79" s="6"/>
      <c r="H79" s="7"/>
      <c r="I79" s="7"/>
      <c r="J79" s="2"/>
      <c r="K79" s="2"/>
      <c r="L79" s="2"/>
      <c r="M79" s="8"/>
      <c r="N79" s="163" t="str">
        <f t="shared" si="5"/>
        <v/>
      </c>
      <c r="O79" s="126" t="str">
        <f t="shared" si="4"/>
        <v>-</v>
      </c>
      <c r="P79" s="164"/>
      <c r="Q79" s="164"/>
      <c r="R79" s="164"/>
      <c r="S79" s="164"/>
      <c r="T79" s="164"/>
      <c r="U79" s="164"/>
      <c r="V79" s="164"/>
    </row>
    <row r="80" spans="1:25" ht="27" customHeight="1">
      <c r="A80" s="38" t="str">
        <f>IF(ISBLANK(C80)," ",75-COUNTBLANK($C$6:C80))</f>
        <v xml:space="preserve"> </v>
      </c>
      <c r="B80" s="4"/>
      <c r="C80" s="5"/>
      <c r="D80" s="34"/>
      <c r="E80" s="34"/>
      <c r="F80" s="6"/>
      <c r="G80" s="6"/>
      <c r="H80" s="7"/>
      <c r="I80" s="7"/>
      <c r="J80" s="2"/>
      <c r="K80" s="2"/>
      <c r="L80" s="2"/>
      <c r="M80" s="8"/>
      <c r="N80" s="163" t="str">
        <f t="shared" si="5"/>
        <v/>
      </c>
      <c r="O80" s="126" t="str">
        <f t="shared" si="4"/>
        <v>-</v>
      </c>
      <c r="P80" s="164"/>
      <c r="Q80" s="164"/>
      <c r="R80" s="164"/>
      <c r="S80" s="164"/>
      <c r="T80" s="164"/>
      <c r="U80" s="164"/>
      <c r="V80" s="164"/>
    </row>
    <row r="81" spans="1:25" ht="27" customHeight="1">
      <c r="A81" s="38" t="str">
        <f>IF(ISBLANK(C81)," ",76-COUNTBLANK($C$6:C81))</f>
        <v xml:space="preserve"> </v>
      </c>
      <c r="B81" s="4"/>
      <c r="C81" s="5"/>
      <c r="D81" s="34"/>
      <c r="E81" s="34"/>
      <c r="F81" s="6"/>
      <c r="G81" s="6"/>
      <c r="H81" s="7"/>
      <c r="I81" s="7"/>
      <c r="J81" s="2"/>
      <c r="K81" s="2"/>
      <c r="L81" s="2"/>
      <c r="M81" s="8"/>
      <c r="N81" s="163" t="str">
        <f t="shared" si="5"/>
        <v/>
      </c>
      <c r="O81" s="126" t="str">
        <f t="shared" si="4"/>
        <v>-</v>
      </c>
      <c r="P81" s="164"/>
      <c r="Q81" s="164"/>
      <c r="R81" s="164"/>
      <c r="S81" s="164"/>
      <c r="T81" s="164"/>
      <c r="U81" s="164"/>
      <c r="V81" s="164"/>
    </row>
    <row r="82" spans="1:25" ht="27" customHeight="1">
      <c r="A82" s="38" t="str">
        <f>IF(ISBLANK(C82)," ",77-COUNTBLANK($C$6:C82))</f>
        <v xml:space="preserve"> </v>
      </c>
      <c r="B82" s="4"/>
      <c r="C82" s="5"/>
      <c r="D82" s="34"/>
      <c r="E82" s="34"/>
      <c r="F82" s="6"/>
      <c r="G82" s="6"/>
      <c r="H82" s="7"/>
      <c r="I82" s="7"/>
      <c r="J82" s="2"/>
      <c r="K82" s="2"/>
      <c r="L82" s="2"/>
      <c r="M82" s="8"/>
      <c r="N82" s="163" t="str">
        <f t="shared" si="5"/>
        <v/>
      </c>
      <c r="O82" s="126" t="str">
        <f t="shared" si="4"/>
        <v>-</v>
      </c>
      <c r="P82" s="164"/>
      <c r="Q82" s="164"/>
      <c r="R82" s="164"/>
      <c r="S82" s="164"/>
      <c r="T82" s="164"/>
      <c r="U82" s="164"/>
      <c r="V82" s="164"/>
    </row>
    <row r="83" spans="1:25" ht="27" customHeight="1">
      <c r="A83" s="38" t="str">
        <f>IF(ISBLANK(C83)," ",78-COUNTBLANK($C$6:C83))</f>
        <v xml:space="preserve"> </v>
      </c>
      <c r="B83" s="4"/>
      <c r="C83" s="5"/>
      <c r="D83" s="34"/>
      <c r="E83" s="34"/>
      <c r="F83" s="6"/>
      <c r="G83" s="6"/>
      <c r="H83" s="7"/>
      <c r="I83" s="7"/>
      <c r="J83" s="2"/>
      <c r="K83" s="2"/>
      <c r="L83" s="2"/>
      <c r="M83" s="8"/>
      <c r="N83" s="163" t="str">
        <f t="shared" si="5"/>
        <v/>
      </c>
      <c r="O83" s="126" t="str">
        <f t="shared" si="4"/>
        <v>-</v>
      </c>
      <c r="P83" s="164"/>
      <c r="Q83" s="164"/>
      <c r="R83" s="164"/>
      <c r="S83" s="164"/>
      <c r="T83" s="164"/>
      <c r="U83" s="164"/>
      <c r="V83" s="164"/>
    </row>
    <row r="84" spans="1:25" ht="27" customHeight="1">
      <c r="A84" s="38" t="str">
        <f>IF(ISBLANK(C84)," ",79-COUNTBLANK($C$6:C84))</f>
        <v xml:space="preserve"> </v>
      </c>
      <c r="B84" s="4"/>
      <c r="C84" s="5"/>
      <c r="D84" s="34"/>
      <c r="E84" s="34"/>
      <c r="F84" s="6"/>
      <c r="G84" s="6"/>
      <c r="H84" s="7"/>
      <c r="I84" s="7"/>
      <c r="J84" s="2"/>
      <c r="K84" s="2"/>
      <c r="L84" s="2"/>
      <c r="M84" s="8"/>
      <c r="N84" s="163" t="str">
        <f t="shared" si="5"/>
        <v/>
      </c>
      <c r="O84" s="126" t="str">
        <f t="shared" si="4"/>
        <v>-</v>
      </c>
      <c r="P84" s="164"/>
      <c r="Q84" s="164"/>
      <c r="R84" s="164"/>
      <c r="S84" s="164"/>
      <c r="T84" s="164"/>
      <c r="U84" s="164"/>
      <c r="V84" s="165"/>
    </row>
    <row r="85" spans="1:25" ht="27" customHeight="1">
      <c r="A85" s="38" t="str">
        <f>IF(ISBLANK(C85)," ",80-COUNTBLANK($C$6:C85))</f>
        <v xml:space="preserve"> </v>
      </c>
      <c r="B85" s="4"/>
      <c r="C85" s="5"/>
      <c r="D85" s="34"/>
      <c r="E85" s="34"/>
      <c r="F85" s="6"/>
      <c r="G85" s="6"/>
      <c r="H85" s="7"/>
      <c r="I85" s="7"/>
      <c r="J85" s="2"/>
      <c r="K85" s="2"/>
      <c r="L85" s="2"/>
      <c r="M85" s="8"/>
      <c r="N85" s="163" t="str">
        <f t="shared" si="5"/>
        <v/>
      </c>
      <c r="O85" s="126" t="str">
        <f t="shared" si="4"/>
        <v>-</v>
      </c>
      <c r="P85" s="164"/>
      <c r="Q85" s="164"/>
      <c r="R85" s="164"/>
      <c r="S85" s="164"/>
      <c r="T85" s="164"/>
      <c r="U85" s="164"/>
      <c r="V85" s="165"/>
    </row>
    <row r="86" spans="1:25" ht="27" customHeight="1">
      <c r="A86" s="38" t="str">
        <f>IF(ISBLANK(C86)," ",81-COUNTBLANK($C$6:C86))</f>
        <v xml:space="preserve"> </v>
      </c>
      <c r="B86" s="4"/>
      <c r="C86" s="5"/>
      <c r="D86" s="34"/>
      <c r="E86" s="34"/>
      <c r="F86" s="6"/>
      <c r="G86" s="6"/>
      <c r="H86" s="7"/>
      <c r="I86" s="7"/>
      <c r="J86" s="2"/>
      <c r="K86" s="2"/>
      <c r="L86" s="2"/>
      <c r="M86" s="8"/>
      <c r="N86" s="163" t="str">
        <f t="shared" si="5"/>
        <v/>
      </c>
      <c r="O86" s="126" t="str">
        <f t="shared" si="4"/>
        <v>-</v>
      </c>
      <c r="P86" s="164"/>
      <c r="Q86" s="164"/>
      <c r="R86" s="164"/>
      <c r="S86" s="164"/>
      <c r="T86" s="164"/>
      <c r="U86" s="164"/>
      <c r="V86" s="165"/>
    </row>
    <row r="87" spans="1:25" ht="27" customHeight="1">
      <c r="A87" s="38" t="str">
        <f>IF(ISBLANK(C87)," ",82-COUNTBLANK($C$6:C87))</f>
        <v xml:space="preserve"> </v>
      </c>
      <c r="B87" s="4"/>
      <c r="C87" s="5"/>
      <c r="D87" s="34"/>
      <c r="E87" s="34"/>
      <c r="F87" s="6"/>
      <c r="G87" s="6"/>
      <c r="H87" s="7"/>
      <c r="I87" s="7"/>
      <c r="J87" s="2"/>
      <c r="K87" s="2"/>
      <c r="L87" s="2"/>
      <c r="M87" s="8"/>
      <c r="N87" s="163" t="str">
        <f t="shared" si="5"/>
        <v/>
      </c>
      <c r="O87" s="126" t="str">
        <f t="shared" si="4"/>
        <v>-</v>
      </c>
      <c r="P87" s="164"/>
      <c r="Q87" s="164"/>
      <c r="R87" s="164"/>
      <c r="S87" s="164"/>
      <c r="T87" s="164"/>
      <c r="U87" s="164"/>
      <c r="V87" s="165"/>
    </row>
    <row r="88" spans="1:25" ht="27" customHeight="1">
      <c r="A88" s="39" t="str">
        <f>IF(ISBLANK(C88)," ",83-COUNTBLANK($C$6:C88))</f>
        <v xml:space="preserve"> </v>
      </c>
      <c r="B88" s="14"/>
      <c r="C88" s="15"/>
      <c r="D88" s="35"/>
      <c r="E88" s="35"/>
      <c r="F88" s="16"/>
      <c r="G88" s="16"/>
      <c r="H88" s="17"/>
      <c r="I88" s="17"/>
      <c r="J88" s="3"/>
      <c r="K88" s="3"/>
      <c r="L88" s="3"/>
      <c r="M88" s="18"/>
      <c r="N88" s="163" t="str">
        <f t="shared" si="5"/>
        <v/>
      </c>
      <c r="O88" s="126" t="str">
        <f t="shared" si="4"/>
        <v>-</v>
      </c>
      <c r="P88" s="164"/>
      <c r="Q88" s="164"/>
      <c r="R88" s="164"/>
      <c r="S88" s="164"/>
      <c r="T88" s="164"/>
      <c r="U88" s="164"/>
      <c r="V88" s="166"/>
      <c r="W88" s="164"/>
      <c r="X88" s="164"/>
      <c r="Y88" s="164"/>
    </row>
    <row r="89" spans="1:25" ht="27" customHeight="1">
      <c r="A89" s="167" t="s">
        <v>44</v>
      </c>
      <c r="B89" s="168"/>
      <c r="C89" s="168"/>
      <c r="D89" s="169"/>
      <c r="E89" s="169">
        <f>SUM(E69:E88)</f>
        <v>0</v>
      </c>
      <c r="F89" s="170"/>
      <c r="G89" s="170"/>
      <c r="H89" s="170"/>
      <c r="I89" s="170"/>
      <c r="J89" s="170"/>
      <c r="K89" s="170"/>
      <c r="L89" s="170"/>
      <c r="M89" s="171"/>
      <c r="N89" s="163" t="str">
        <f t="shared" si="5"/>
        <v/>
      </c>
      <c r="O89" s="126"/>
      <c r="P89" s="164"/>
      <c r="Q89" s="164"/>
      <c r="R89" s="164"/>
      <c r="S89" s="164"/>
      <c r="T89" s="164"/>
      <c r="U89" s="164"/>
      <c r="V89" s="166"/>
      <c r="W89" s="164"/>
      <c r="X89" s="164"/>
      <c r="Y89" s="164"/>
    </row>
    <row r="90" spans="1:25" ht="27" customHeight="1">
      <c r="A90" s="37" t="str">
        <f>IF(ISBLANK(C90)," ",85-COUNTBLANK($C$6:C90))</f>
        <v xml:space="preserve"> </v>
      </c>
      <c r="B90" s="9"/>
      <c r="C90" s="10"/>
      <c r="D90" s="33"/>
      <c r="E90" s="33"/>
      <c r="F90" s="11"/>
      <c r="G90" s="11"/>
      <c r="H90" s="12"/>
      <c r="I90" s="12"/>
      <c r="J90" s="32"/>
      <c r="K90" s="32"/>
      <c r="L90" s="32"/>
      <c r="M90" s="13"/>
      <c r="N90" s="163" t="str">
        <f t="shared" si="5"/>
        <v/>
      </c>
      <c r="O90" s="126" t="str">
        <f>IF(D90&gt;=E90,"-","ERR")</f>
        <v>-</v>
      </c>
      <c r="P90" s="164"/>
      <c r="Q90" s="164"/>
      <c r="R90" s="164"/>
      <c r="S90" s="164"/>
      <c r="T90" s="164"/>
      <c r="U90" s="164"/>
      <c r="V90" s="164"/>
    </row>
    <row r="91" spans="1:25" ht="27" customHeight="1">
      <c r="A91" s="38" t="str">
        <f>IF(ISBLANK(C91)," ",86-COUNTBLANK($C$6:C91))</f>
        <v xml:space="preserve"> </v>
      </c>
      <c r="B91" s="4"/>
      <c r="C91" s="5"/>
      <c r="D91" s="34"/>
      <c r="E91" s="34"/>
      <c r="F91" s="6"/>
      <c r="G91" s="6"/>
      <c r="H91" s="7"/>
      <c r="I91" s="7"/>
      <c r="J91" s="2"/>
      <c r="K91" s="2"/>
      <c r="L91" s="2"/>
      <c r="M91" s="8"/>
      <c r="N91" s="163" t="str">
        <f t="shared" si="5"/>
        <v/>
      </c>
      <c r="O91" s="126" t="str">
        <f t="shared" ref="O91:O109" si="6">IF(D91&gt;=E91,"-","ERR")</f>
        <v>-</v>
      </c>
      <c r="P91" s="164"/>
      <c r="Q91" s="164"/>
      <c r="R91" s="164"/>
      <c r="S91" s="164"/>
      <c r="T91" s="164"/>
      <c r="U91" s="164"/>
      <c r="V91" s="164"/>
    </row>
    <row r="92" spans="1:25" ht="27" customHeight="1">
      <c r="A92" s="38" t="str">
        <f>IF(ISBLANK(C92)," ",87-COUNTBLANK($C$6:C92))</f>
        <v xml:space="preserve"> </v>
      </c>
      <c r="B92" s="4"/>
      <c r="C92" s="5"/>
      <c r="D92" s="34"/>
      <c r="E92" s="34"/>
      <c r="F92" s="6"/>
      <c r="G92" s="6"/>
      <c r="H92" s="7"/>
      <c r="I92" s="7"/>
      <c r="J92" s="2"/>
      <c r="K92" s="2"/>
      <c r="L92" s="2"/>
      <c r="M92" s="8"/>
      <c r="N92" s="163" t="str">
        <f t="shared" si="5"/>
        <v/>
      </c>
      <c r="O92" s="126" t="str">
        <f t="shared" si="6"/>
        <v>-</v>
      </c>
      <c r="P92" s="164"/>
      <c r="Q92" s="164"/>
      <c r="R92" s="164"/>
      <c r="S92" s="164"/>
      <c r="T92" s="164"/>
      <c r="U92" s="164"/>
      <c r="V92" s="164"/>
    </row>
    <row r="93" spans="1:25" ht="27" customHeight="1">
      <c r="A93" s="38" t="str">
        <f>IF(ISBLANK(C93)," ",88-COUNTBLANK($C$6:C93))</f>
        <v xml:space="preserve"> </v>
      </c>
      <c r="B93" s="4"/>
      <c r="C93" s="5"/>
      <c r="D93" s="34"/>
      <c r="E93" s="34"/>
      <c r="F93" s="6"/>
      <c r="G93" s="6"/>
      <c r="H93" s="7"/>
      <c r="I93" s="7"/>
      <c r="J93" s="2"/>
      <c r="K93" s="2"/>
      <c r="L93" s="2"/>
      <c r="M93" s="8"/>
      <c r="N93" s="163" t="str">
        <f t="shared" si="5"/>
        <v/>
      </c>
      <c r="O93" s="126" t="str">
        <f t="shared" si="6"/>
        <v>-</v>
      </c>
      <c r="P93" s="164"/>
      <c r="Q93" s="164"/>
      <c r="R93" s="164"/>
      <c r="S93" s="164"/>
      <c r="T93" s="164"/>
      <c r="U93" s="164"/>
      <c r="V93" s="164"/>
    </row>
    <row r="94" spans="1:25" ht="27" customHeight="1">
      <c r="A94" s="38" t="str">
        <f>IF(ISBLANK(C94)," ",89-COUNTBLANK($C$6:C94))</f>
        <v xml:space="preserve"> </v>
      </c>
      <c r="B94" s="4"/>
      <c r="C94" s="5"/>
      <c r="D94" s="34"/>
      <c r="E94" s="34"/>
      <c r="F94" s="6"/>
      <c r="G94" s="6"/>
      <c r="H94" s="7"/>
      <c r="I94" s="7"/>
      <c r="J94" s="2"/>
      <c r="K94" s="2"/>
      <c r="L94" s="2"/>
      <c r="M94" s="8"/>
      <c r="N94" s="163" t="str">
        <f t="shared" si="5"/>
        <v/>
      </c>
      <c r="O94" s="126" t="str">
        <f t="shared" si="6"/>
        <v>-</v>
      </c>
      <c r="P94" s="164"/>
      <c r="Q94" s="164"/>
      <c r="R94" s="164"/>
      <c r="S94" s="164"/>
      <c r="T94" s="164"/>
      <c r="U94" s="164"/>
      <c r="V94" s="164"/>
    </row>
    <row r="95" spans="1:25" ht="27" customHeight="1">
      <c r="A95" s="38" t="str">
        <f>IF(ISBLANK(C95)," ",90-COUNTBLANK($C$6:C95))</f>
        <v xml:space="preserve"> </v>
      </c>
      <c r="B95" s="4"/>
      <c r="C95" s="5"/>
      <c r="D95" s="34"/>
      <c r="E95" s="34"/>
      <c r="F95" s="6"/>
      <c r="G95" s="6"/>
      <c r="H95" s="7"/>
      <c r="I95" s="7"/>
      <c r="J95" s="2"/>
      <c r="K95" s="2"/>
      <c r="L95" s="2"/>
      <c r="M95" s="8"/>
      <c r="N95" s="163" t="str">
        <f t="shared" si="5"/>
        <v/>
      </c>
      <c r="O95" s="126" t="str">
        <f t="shared" si="6"/>
        <v>-</v>
      </c>
      <c r="P95" s="164"/>
      <c r="Q95" s="164"/>
      <c r="R95" s="164"/>
      <c r="S95" s="164"/>
      <c r="T95" s="164"/>
      <c r="U95" s="164"/>
      <c r="V95" s="164"/>
    </row>
    <row r="96" spans="1:25" ht="27" customHeight="1">
      <c r="A96" s="38" t="str">
        <f>IF(ISBLANK(C96)," ",91-COUNTBLANK($C$6:C96))</f>
        <v xml:space="preserve"> </v>
      </c>
      <c r="B96" s="4"/>
      <c r="C96" s="5"/>
      <c r="D96" s="34"/>
      <c r="E96" s="34"/>
      <c r="F96" s="6"/>
      <c r="G96" s="6"/>
      <c r="H96" s="7"/>
      <c r="I96" s="7"/>
      <c r="J96" s="2"/>
      <c r="K96" s="2"/>
      <c r="L96" s="2"/>
      <c r="M96" s="8"/>
      <c r="N96" s="163" t="str">
        <f t="shared" si="5"/>
        <v/>
      </c>
      <c r="O96" s="126" t="str">
        <f t="shared" si="6"/>
        <v>-</v>
      </c>
      <c r="P96" s="164"/>
      <c r="Q96" s="164"/>
      <c r="R96" s="164"/>
      <c r="S96" s="164"/>
      <c r="T96" s="164"/>
      <c r="U96" s="164"/>
      <c r="V96" s="164"/>
    </row>
    <row r="97" spans="1:25" ht="27" customHeight="1">
      <c r="A97" s="38" t="str">
        <f>IF(ISBLANK(C97)," ",92-COUNTBLANK($C$6:C97))</f>
        <v xml:space="preserve"> </v>
      </c>
      <c r="B97" s="4"/>
      <c r="C97" s="5"/>
      <c r="D97" s="34"/>
      <c r="E97" s="34"/>
      <c r="F97" s="6"/>
      <c r="G97" s="6"/>
      <c r="H97" s="7"/>
      <c r="I97" s="7"/>
      <c r="J97" s="2"/>
      <c r="K97" s="2"/>
      <c r="L97" s="2"/>
      <c r="M97" s="8"/>
      <c r="N97" s="163" t="str">
        <f t="shared" si="5"/>
        <v/>
      </c>
      <c r="O97" s="126" t="str">
        <f t="shared" si="6"/>
        <v>-</v>
      </c>
      <c r="P97" s="164"/>
      <c r="Q97" s="164"/>
      <c r="R97" s="164"/>
      <c r="S97" s="164"/>
      <c r="T97" s="164"/>
      <c r="U97" s="164"/>
      <c r="V97" s="164"/>
    </row>
    <row r="98" spans="1:25" ht="27" customHeight="1">
      <c r="A98" s="38" t="str">
        <f>IF(ISBLANK(C98)," ",93-COUNTBLANK($C$6:C98))</f>
        <v xml:space="preserve"> </v>
      </c>
      <c r="B98" s="4"/>
      <c r="C98" s="5"/>
      <c r="D98" s="34"/>
      <c r="E98" s="34"/>
      <c r="F98" s="6"/>
      <c r="G98" s="6"/>
      <c r="H98" s="7"/>
      <c r="I98" s="7"/>
      <c r="J98" s="2"/>
      <c r="K98" s="2"/>
      <c r="L98" s="2"/>
      <c r="M98" s="8"/>
      <c r="N98" s="163" t="str">
        <f t="shared" si="5"/>
        <v/>
      </c>
      <c r="O98" s="126" t="str">
        <f t="shared" si="6"/>
        <v>-</v>
      </c>
      <c r="P98" s="164"/>
      <c r="Q98" s="164"/>
      <c r="R98" s="164"/>
      <c r="S98" s="164"/>
      <c r="T98" s="164"/>
      <c r="U98" s="164"/>
      <c r="V98" s="164"/>
    </row>
    <row r="99" spans="1:25" ht="27" customHeight="1">
      <c r="A99" s="38" t="str">
        <f>IF(ISBLANK(C99)," ",94-COUNTBLANK($C$6:C99))</f>
        <v xml:space="preserve"> </v>
      </c>
      <c r="B99" s="4"/>
      <c r="C99" s="5"/>
      <c r="D99" s="34"/>
      <c r="E99" s="34"/>
      <c r="F99" s="6"/>
      <c r="G99" s="6"/>
      <c r="H99" s="7"/>
      <c r="I99" s="7"/>
      <c r="J99" s="2"/>
      <c r="K99" s="2"/>
      <c r="L99" s="2"/>
      <c r="M99" s="8"/>
      <c r="N99" s="163" t="str">
        <f t="shared" si="5"/>
        <v/>
      </c>
      <c r="O99" s="126" t="str">
        <f t="shared" si="6"/>
        <v>-</v>
      </c>
      <c r="P99" s="164"/>
      <c r="Q99" s="164"/>
      <c r="R99" s="164"/>
      <c r="S99" s="164"/>
      <c r="T99" s="164"/>
      <c r="U99" s="164"/>
      <c r="V99" s="164"/>
    </row>
    <row r="100" spans="1:25" ht="27" customHeight="1">
      <c r="A100" s="38" t="str">
        <f>IF(ISBLANK(C100)," ",95-COUNTBLANK($C$6:C100))</f>
        <v xml:space="preserve"> </v>
      </c>
      <c r="B100" s="4"/>
      <c r="C100" s="5"/>
      <c r="D100" s="34"/>
      <c r="E100" s="34"/>
      <c r="F100" s="6"/>
      <c r="G100" s="6"/>
      <c r="H100" s="7"/>
      <c r="I100" s="7"/>
      <c r="J100" s="2"/>
      <c r="K100" s="2"/>
      <c r="L100" s="2"/>
      <c r="M100" s="8"/>
      <c r="N100" s="163" t="str">
        <f t="shared" si="5"/>
        <v/>
      </c>
      <c r="O100" s="126" t="str">
        <f t="shared" si="6"/>
        <v>-</v>
      </c>
      <c r="P100" s="164"/>
      <c r="Q100" s="164"/>
      <c r="R100" s="164"/>
      <c r="S100" s="164"/>
      <c r="T100" s="164"/>
      <c r="U100" s="164"/>
      <c r="V100" s="164"/>
    </row>
    <row r="101" spans="1:25" ht="27" customHeight="1">
      <c r="A101" s="38" t="str">
        <f>IF(ISBLANK(C101)," ",96-COUNTBLANK($C$6:C101))</f>
        <v xml:space="preserve"> </v>
      </c>
      <c r="B101" s="4"/>
      <c r="C101" s="5"/>
      <c r="D101" s="34"/>
      <c r="E101" s="34"/>
      <c r="F101" s="6"/>
      <c r="G101" s="6"/>
      <c r="H101" s="7"/>
      <c r="I101" s="7"/>
      <c r="J101" s="2"/>
      <c r="K101" s="2"/>
      <c r="L101" s="2"/>
      <c r="M101" s="8"/>
      <c r="N101" s="163" t="str">
        <f t="shared" si="5"/>
        <v/>
      </c>
      <c r="O101" s="126" t="str">
        <f t="shared" si="6"/>
        <v>-</v>
      </c>
      <c r="P101" s="164"/>
      <c r="Q101" s="164"/>
      <c r="R101" s="164"/>
      <c r="S101" s="164"/>
      <c r="T101" s="164"/>
      <c r="U101" s="164"/>
      <c r="V101" s="164"/>
    </row>
    <row r="102" spans="1:25" ht="27" customHeight="1">
      <c r="A102" s="38" t="str">
        <f>IF(ISBLANK(C102)," ",97-COUNTBLANK($C$6:C102))</f>
        <v xml:space="preserve"> </v>
      </c>
      <c r="B102" s="4"/>
      <c r="C102" s="5"/>
      <c r="D102" s="34"/>
      <c r="E102" s="34"/>
      <c r="F102" s="6"/>
      <c r="G102" s="6"/>
      <c r="H102" s="7"/>
      <c r="I102" s="7"/>
      <c r="J102" s="2"/>
      <c r="K102" s="2"/>
      <c r="L102" s="2"/>
      <c r="M102" s="8"/>
      <c r="N102" s="163" t="str">
        <f t="shared" si="5"/>
        <v/>
      </c>
      <c r="O102" s="126" t="str">
        <f t="shared" si="6"/>
        <v>-</v>
      </c>
      <c r="P102" s="164"/>
      <c r="Q102" s="164"/>
      <c r="R102" s="164"/>
      <c r="S102" s="164"/>
      <c r="T102" s="164"/>
      <c r="U102" s="164"/>
      <c r="V102" s="164"/>
    </row>
    <row r="103" spans="1:25" ht="27" customHeight="1">
      <c r="A103" s="38" t="str">
        <f>IF(ISBLANK(C103)," ",98-COUNTBLANK($C$6:C103))</f>
        <v xml:space="preserve"> </v>
      </c>
      <c r="B103" s="4"/>
      <c r="C103" s="5"/>
      <c r="D103" s="34"/>
      <c r="E103" s="34"/>
      <c r="F103" s="6"/>
      <c r="G103" s="6"/>
      <c r="H103" s="7"/>
      <c r="I103" s="7"/>
      <c r="J103" s="2"/>
      <c r="K103" s="2"/>
      <c r="L103" s="2"/>
      <c r="M103" s="8"/>
      <c r="N103" s="163" t="str">
        <f t="shared" si="5"/>
        <v/>
      </c>
      <c r="O103" s="126" t="str">
        <f t="shared" si="6"/>
        <v>-</v>
      </c>
      <c r="P103" s="164"/>
      <c r="Q103" s="164"/>
      <c r="R103" s="164"/>
      <c r="S103" s="164"/>
      <c r="T103" s="164"/>
      <c r="U103" s="164"/>
      <c r="V103" s="164"/>
    </row>
    <row r="104" spans="1:25" ht="27" customHeight="1">
      <c r="A104" s="38" t="str">
        <f>IF(ISBLANK(C104)," ",99-COUNTBLANK($C$6:C104))</f>
        <v xml:space="preserve"> </v>
      </c>
      <c r="B104" s="4"/>
      <c r="C104" s="5"/>
      <c r="D104" s="34"/>
      <c r="E104" s="34"/>
      <c r="F104" s="6"/>
      <c r="G104" s="6"/>
      <c r="H104" s="7"/>
      <c r="I104" s="7"/>
      <c r="J104" s="2"/>
      <c r="K104" s="2"/>
      <c r="L104" s="2"/>
      <c r="M104" s="8"/>
      <c r="N104" s="163" t="str">
        <f t="shared" si="5"/>
        <v/>
      </c>
      <c r="O104" s="126" t="str">
        <f t="shared" si="6"/>
        <v>-</v>
      </c>
      <c r="P104" s="164"/>
      <c r="Q104" s="164"/>
      <c r="R104" s="164"/>
      <c r="S104" s="164"/>
      <c r="T104" s="164"/>
      <c r="U104" s="164"/>
      <c r="V104" s="164"/>
    </row>
    <row r="105" spans="1:25" ht="27" customHeight="1">
      <c r="A105" s="38" t="str">
        <f>IF(ISBLANK(C105)," ",100-COUNTBLANK($C$6:C105))</f>
        <v xml:space="preserve"> </v>
      </c>
      <c r="B105" s="4"/>
      <c r="C105" s="5"/>
      <c r="D105" s="34"/>
      <c r="E105" s="34"/>
      <c r="F105" s="6"/>
      <c r="G105" s="6"/>
      <c r="H105" s="7"/>
      <c r="I105" s="7"/>
      <c r="J105" s="2"/>
      <c r="K105" s="2"/>
      <c r="L105" s="2"/>
      <c r="M105" s="8"/>
      <c r="N105" s="163" t="str">
        <f t="shared" si="5"/>
        <v/>
      </c>
      <c r="O105" s="126" t="str">
        <f t="shared" si="6"/>
        <v>-</v>
      </c>
      <c r="P105" s="164"/>
      <c r="Q105" s="164"/>
      <c r="R105" s="164"/>
      <c r="S105" s="164"/>
      <c r="T105" s="164"/>
      <c r="U105" s="164"/>
      <c r="V105" s="165"/>
    </row>
    <row r="106" spans="1:25" ht="27" customHeight="1">
      <c r="A106" s="38" t="str">
        <f>IF(ISBLANK(C106)," ",101-COUNTBLANK($C$6:C106))</f>
        <v xml:space="preserve"> </v>
      </c>
      <c r="B106" s="4"/>
      <c r="C106" s="5"/>
      <c r="D106" s="34"/>
      <c r="E106" s="34"/>
      <c r="F106" s="6"/>
      <c r="G106" s="6"/>
      <c r="H106" s="7"/>
      <c r="I106" s="7"/>
      <c r="J106" s="2"/>
      <c r="K106" s="2"/>
      <c r="L106" s="2"/>
      <c r="M106" s="8"/>
      <c r="N106" s="163" t="str">
        <f t="shared" si="5"/>
        <v/>
      </c>
      <c r="O106" s="126" t="str">
        <f t="shared" si="6"/>
        <v>-</v>
      </c>
      <c r="P106" s="164"/>
      <c r="Q106" s="164"/>
      <c r="R106" s="164"/>
      <c r="S106" s="164"/>
      <c r="T106" s="164"/>
      <c r="U106" s="164"/>
      <c r="V106" s="165"/>
    </row>
    <row r="107" spans="1:25" ht="27" customHeight="1">
      <c r="A107" s="38" t="str">
        <f>IF(ISBLANK(C107)," ",102-COUNTBLANK($C$6:C107))</f>
        <v xml:space="preserve"> </v>
      </c>
      <c r="B107" s="4"/>
      <c r="C107" s="5"/>
      <c r="D107" s="34"/>
      <c r="E107" s="34"/>
      <c r="F107" s="6"/>
      <c r="G107" s="6"/>
      <c r="H107" s="7"/>
      <c r="I107" s="7"/>
      <c r="J107" s="2"/>
      <c r="K107" s="2"/>
      <c r="L107" s="2"/>
      <c r="M107" s="8"/>
      <c r="N107" s="163" t="str">
        <f t="shared" si="5"/>
        <v/>
      </c>
      <c r="O107" s="126" t="str">
        <f t="shared" si="6"/>
        <v>-</v>
      </c>
      <c r="P107" s="164"/>
      <c r="Q107" s="164"/>
      <c r="R107" s="164"/>
      <c r="S107" s="164"/>
      <c r="T107" s="164"/>
      <c r="U107" s="164"/>
      <c r="V107" s="165"/>
    </row>
    <row r="108" spans="1:25" ht="27" customHeight="1">
      <c r="A108" s="38" t="str">
        <f>IF(ISBLANK(C108)," ",103-COUNTBLANK($C$6:C108))</f>
        <v xml:space="preserve"> </v>
      </c>
      <c r="B108" s="4"/>
      <c r="C108" s="5"/>
      <c r="D108" s="34"/>
      <c r="E108" s="34"/>
      <c r="F108" s="6"/>
      <c r="G108" s="6"/>
      <c r="H108" s="7"/>
      <c r="I108" s="7"/>
      <c r="J108" s="2"/>
      <c r="K108" s="2"/>
      <c r="L108" s="2"/>
      <c r="M108" s="8"/>
      <c r="N108" s="163" t="str">
        <f t="shared" si="5"/>
        <v/>
      </c>
      <c r="O108" s="126" t="str">
        <f t="shared" si="6"/>
        <v>-</v>
      </c>
      <c r="P108" s="164"/>
      <c r="Q108" s="164"/>
      <c r="R108" s="164"/>
      <c r="S108" s="164"/>
      <c r="T108" s="164"/>
      <c r="U108" s="164"/>
      <c r="V108" s="165"/>
    </row>
    <row r="109" spans="1:25" ht="27" customHeight="1">
      <c r="A109" s="39" t="str">
        <f>IF(ISBLANK(C109)," ",104-COUNTBLANK($C$6:C109))</f>
        <v xml:space="preserve"> </v>
      </c>
      <c r="B109" s="14"/>
      <c r="C109" s="15"/>
      <c r="D109" s="35"/>
      <c r="E109" s="35"/>
      <c r="F109" s="16"/>
      <c r="G109" s="16"/>
      <c r="H109" s="17"/>
      <c r="I109" s="17"/>
      <c r="J109" s="3"/>
      <c r="K109" s="3"/>
      <c r="L109" s="3"/>
      <c r="M109" s="18"/>
      <c r="N109" s="163" t="str">
        <f t="shared" si="5"/>
        <v/>
      </c>
      <c r="O109" s="126" t="str">
        <f t="shared" si="6"/>
        <v>-</v>
      </c>
      <c r="P109" s="164"/>
      <c r="Q109" s="164"/>
      <c r="R109" s="164"/>
      <c r="S109" s="164"/>
      <c r="T109" s="164"/>
      <c r="U109" s="164"/>
      <c r="V109" s="166"/>
      <c r="W109" s="164"/>
      <c r="X109" s="164"/>
      <c r="Y109" s="164"/>
    </row>
    <row r="110" spans="1:25" ht="27" customHeight="1">
      <c r="A110" s="172" t="s">
        <v>44</v>
      </c>
      <c r="B110" s="173"/>
      <c r="C110" s="174"/>
      <c r="D110" s="175"/>
      <c r="E110" s="175">
        <f>SUM(E90:E109)</f>
        <v>0</v>
      </c>
      <c r="F110" s="176"/>
      <c r="G110" s="176"/>
      <c r="H110" s="176"/>
      <c r="I110" s="176"/>
      <c r="J110" s="176"/>
      <c r="K110" s="176"/>
      <c r="L110" s="176"/>
      <c r="M110" s="177"/>
      <c r="N110" s="163" t="str">
        <f t="shared" si="5"/>
        <v/>
      </c>
      <c r="O110" s="126"/>
      <c r="P110" s="164"/>
      <c r="Q110" s="164"/>
      <c r="R110" s="164"/>
      <c r="S110" s="164"/>
      <c r="T110" s="164"/>
      <c r="U110" s="164"/>
      <c r="V110" s="166"/>
      <c r="W110" s="164"/>
      <c r="X110" s="164"/>
      <c r="Y110" s="164"/>
    </row>
    <row r="111" spans="1:25" ht="27" customHeight="1">
      <c r="A111" s="37" t="str">
        <f>IF(ISBLANK(C111)," ",106-COUNTBLANK($C$6:C111))</f>
        <v xml:space="preserve"> </v>
      </c>
      <c r="B111" s="9"/>
      <c r="C111" s="10"/>
      <c r="D111" s="33"/>
      <c r="E111" s="33"/>
      <c r="F111" s="11"/>
      <c r="G111" s="11"/>
      <c r="H111" s="12"/>
      <c r="I111" s="12"/>
      <c r="J111" s="32"/>
      <c r="K111" s="32"/>
      <c r="L111" s="32"/>
      <c r="M111" s="13"/>
      <c r="N111" s="163" t="str">
        <f t="shared" si="5"/>
        <v/>
      </c>
      <c r="O111" s="126" t="str">
        <f>IF(D111&gt;=E111,"-","ERR")</f>
        <v>-</v>
      </c>
      <c r="P111" s="164"/>
      <c r="Q111" s="164"/>
      <c r="R111" s="164"/>
      <c r="S111" s="164"/>
      <c r="T111" s="164"/>
      <c r="U111" s="164"/>
      <c r="V111" s="164"/>
    </row>
    <row r="112" spans="1:25" ht="27" customHeight="1">
      <c r="A112" s="38" t="str">
        <f>IF(ISBLANK(C112)," ",107-COUNTBLANK($C$6:C112))</f>
        <v xml:space="preserve"> </v>
      </c>
      <c r="B112" s="4"/>
      <c r="C112" s="5"/>
      <c r="D112" s="34"/>
      <c r="E112" s="34"/>
      <c r="F112" s="6"/>
      <c r="G112" s="6"/>
      <c r="H112" s="7"/>
      <c r="I112" s="7"/>
      <c r="J112" s="2"/>
      <c r="K112" s="2"/>
      <c r="L112" s="2"/>
      <c r="M112" s="8"/>
      <c r="N112" s="163" t="str">
        <f t="shared" si="5"/>
        <v/>
      </c>
      <c r="O112" s="126" t="str">
        <f t="shared" ref="O112:O130" si="7">IF(D112&gt;=E112,"-","ERR")</f>
        <v>-</v>
      </c>
      <c r="P112" s="164"/>
      <c r="Q112" s="164"/>
      <c r="R112" s="164"/>
      <c r="S112" s="164"/>
      <c r="T112" s="164"/>
      <c r="U112" s="164"/>
      <c r="V112" s="164"/>
    </row>
    <row r="113" spans="1:22" ht="27" customHeight="1">
      <c r="A113" s="38" t="str">
        <f>IF(ISBLANK(C113)," ",108-COUNTBLANK($C$6:C113))</f>
        <v xml:space="preserve"> </v>
      </c>
      <c r="B113" s="4"/>
      <c r="C113" s="5"/>
      <c r="D113" s="34"/>
      <c r="E113" s="34"/>
      <c r="F113" s="6"/>
      <c r="G113" s="6"/>
      <c r="H113" s="7"/>
      <c r="I113" s="7"/>
      <c r="J113" s="2"/>
      <c r="K113" s="2"/>
      <c r="L113" s="2"/>
      <c r="M113" s="8"/>
      <c r="N113" s="163" t="str">
        <f t="shared" si="5"/>
        <v/>
      </c>
      <c r="O113" s="126" t="str">
        <f t="shared" si="7"/>
        <v>-</v>
      </c>
      <c r="P113" s="164"/>
      <c r="Q113" s="164"/>
      <c r="R113" s="164"/>
      <c r="S113" s="164"/>
      <c r="T113" s="164"/>
      <c r="U113" s="164"/>
      <c r="V113" s="164"/>
    </row>
    <row r="114" spans="1:22" ht="27" customHeight="1">
      <c r="A114" s="38" t="str">
        <f>IF(ISBLANK(C114)," ",109-COUNTBLANK($C$6:C114))</f>
        <v xml:space="preserve"> </v>
      </c>
      <c r="B114" s="4"/>
      <c r="C114" s="5"/>
      <c r="D114" s="34"/>
      <c r="E114" s="34"/>
      <c r="F114" s="6"/>
      <c r="G114" s="6"/>
      <c r="H114" s="7"/>
      <c r="I114" s="7"/>
      <c r="J114" s="2"/>
      <c r="K114" s="2"/>
      <c r="L114" s="2"/>
      <c r="M114" s="8"/>
      <c r="N114" s="163" t="str">
        <f t="shared" si="5"/>
        <v/>
      </c>
      <c r="O114" s="126" t="str">
        <f t="shared" si="7"/>
        <v>-</v>
      </c>
      <c r="P114" s="164"/>
      <c r="Q114" s="164"/>
      <c r="R114" s="164"/>
      <c r="S114" s="164"/>
      <c r="T114" s="164"/>
      <c r="U114" s="164"/>
      <c r="V114" s="164"/>
    </row>
    <row r="115" spans="1:22" ht="27" customHeight="1">
      <c r="A115" s="38" t="str">
        <f>IF(ISBLANK(C115)," ",110-COUNTBLANK($C$6:C115))</f>
        <v xml:space="preserve"> </v>
      </c>
      <c r="B115" s="4"/>
      <c r="C115" s="5"/>
      <c r="D115" s="34"/>
      <c r="E115" s="34"/>
      <c r="F115" s="6"/>
      <c r="G115" s="6"/>
      <c r="H115" s="7"/>
      <c r="I115" s="7"/>
      <c r="J115" s="2"/>
      <c r="K115" s="2"/>
      <c r="L115" s="2"/>
      <c r="M115" s="8"/>
      <c r="N115" s="163" t="str">
        <f t="shared" si="5"/>
        <v/>
      </c>
      <c r="O115" s="126" t="str">
        <f t="shared" si="7"/>
        <v>-</v>
      </c>
      <c r="P115" s="164"/>
      <c r="Q115" s="164"/>
      <c r="R115" s="164"/>
      <c r="S115" s="164"/>
      <c r="T115" s="164"/>
      <c r="U115" s="164"/>
      <c r="V115" s="164"/>
    </row>
    <row r="116" spans="1:22" ht="27" customHeight="1">
      <c r="A116" s="38" t="str">
        <f>IF(ISBLANK(C116)," ",111-COUNTBLANK($C$6:C116))</f>
        <v xml:space="preserve"> </v>
      </c>
      <c r="B116" s="4"/>
      <c r="C116" s="5"/>
      <c r="D116" s="34"/>
      <c r="E116" s="34"/>
      <c r="F116" s="6"/>
      <c r="G116" s="6"/>
      <c r="H116" s="7"/>
      <c r="I116" s="7"/>
      <c r="J116" s="2"/>
      <c r="K116" s="2"/>
      <c r="L116" s="2"/>
      <c r="M116" s="8"/>
      <c r="N116" s="163" t="str">
        <f t="shared" si="5"/>
        <v/>
      </c>
      <c r="O116" s="126" t="str">
        <f t="shared" si="7"/>
        <v>-</v>
      </c>
      <c r="P116" s="164"/>
      <c r="Q116" s="164"/>
      <c r="R116" s="164"/>
      <c r="S116" s="164"/>
      <c r="T116" s="164"/>
      <c r="U116" s="164"/>
      <c r="V116" s="164"/>
    </row>
    <row r="117" spans="1:22" ht="27" customHeight="1">
      <c r="A117" s="38" t="str">
        <f>IF(ISBLANK(C117)," ",112-COUNTBLANK($C$6:C117))</f>
        <v xml:space="preserve"> </v>
      </c>
      <c r="B117" s="4"/>
      <c r="C117" s="5"/>
      <c r="D117" s="34"/>
      <c r="E117" s="34"/>
      <c r="F117" s="6"/>
      <c r="G117" s="6"/>
      <c r="H117" s="7"/>
      <c r="I117" s="7"/>
      <c r="J117" s="2"/>
      <c r="K117" s="2"/>
      <c r="L117" s="2"/>
      <c r="M117" s="8"/>
      <c r="N117" s="163" t="str">
        <f t="shared" si="5"/>
        <v/>
      </c>
      <c r="O117" s="126" t="str">
        <f t="shared" si="7"/>
        <v>-</v>
      </c>
      <c r="P117" s="164"/>
      <c r="Q117" s="164"/>
      <c r="R117" s="164"/>
      <c r="S117" s="164"/>
      <c r="T117" s="164"/>
      <c r="U117" s="164"/>
      <c r="V117" s="164"/>
    </row>
    <row r="118" spans="1:22" ht="27" customHeight="1">
      <c r="A118" s="38" t="str">
        <f>IF(ISBLANK(C118)," ",113-COUNTBLANK($C$6:C118))</f>
        <v xml:space="preserve"> </v>
      </c>
      <c r="B118" s="4"/>
      <c r="C118" s="5"/>
      <c r="D118" s="34"/>
      <c r="E118" s="34"/>
      <c r="F118" s="6"/>
      <c r="G118" s="6"/>
      <c r="H118" s="7"/>
      <c r="I118" s="7"/>
      <c r="J118" s="2"/>
      <c r="K118" s="2"/>
      <c r="L118" s="2"/>
      <c r="M118" s="8"/>
      <c r="N118" s="163" t="str">
        <f t="shared" si="5"/>
        <v/>
      </c>
      <c r="O118" s="126" t="str">
        <f t="shared" si="7"/>
        <v>-</v>
      </c>
      <c r="P118" s="164"/>
      <c r="Q118" s="164"/>
      <c r="R118" s="164"/>
      <c r="S118" s="164"/>
      <c r="T118" s="164"/>
      <c r="U118" s="164"/>
      <c r="V118" s="164"/>
    </row>
    <row r="119" spans="1:22" ht="27" customHeight="1">
      <c r="A119" s="38" t="str">
        <f>IF(ISBLANK(C119)," ",114-COUNTBLANK($C$6:C119))</f>
        <v xml:space="preserve"> </v>
      </c>
      <c r="B119" s="4"/>
      <c r="C119" s="5"/>
      <c r="D119" s="34"/>
      <c r="E119" s="34"/>
      <c r="F119" s="6"/>
      <c r="G119" s="6"/>
      <c r="H119" s="7"/>
      <c r="I119" s="7"/>
      <c r="J119" s="2"/>
      <c r="K119" s="2"/>
      <c r="L119" s="2"/>
      <c r="M119" s="8"/>
      <c r="N119" s="163" t="str">
        <f t="shared" si="5"/>
        <v/>
      </c>
      <c r="O119" s="126" t="str">
        <f t="shared" si="7"/>
        <v>-</v>
      </c>
      <c r="P119" s="164"/>
      <c r="Q119" s="164"/>
      <c r="R119" s="164"/>
      <c r="S119" s="164"/>
      <c r="T119" s="164"/>
      <c r="U119" s="164"/>
      <c r="V119" s="164"/>
    </row>
    <row r="120" spans="1:22" ht="27" customHeight="1">
      <c r="A120" s="38" t="str">
        <f>IF(ISBLANK(C120)," ",115-COUNTBLANK($C$6:C120))</f>
        <v xml:space="preserve"> </v>
      </c>
      <c r="B120" s="4"/>
      <c r="C120" s="5"/>
      <c r="D120" s="34"/>
      <c r="E120" s="34"/>
      <c r="F120" s="6"/>
      <c r="G120" s="6"/>
      <c r="H120" s="7"/>
      <c r="I120" s="7"/>
      <c r="J120" s="2"/>
      <c r="K120" s="2"/>
      <c r="L120" s="2"/>
      <c r="M120" s="8"/>
      <c r="N120" s="163" t="str">
        <f t="shared" si="5"/>
        <v/>
      </c>
      <c r="O120" s="126" t="str">
        <f t="shared" si="7"/>
        <v>-</v>
      </c>
      <c r="P120" s="164"/>
      <c r="Q120" s="164"/>
      <c r="R120" s="164"/>
      <c r="S120" s="164"/>
      <c r="T120" s="164"/>
      <c r="U120" s="164"/>
      <c r="V120" s="164"/>
    </row>
    <row r="121" spans="1:22" ht="27" customHeight="1">
      <c r="A121" s="38" t="str">
        <f>IF(ISBLANK(C121)," ",116-COUNTBLANK($C$6:C121))</f>
        <v xml:space="preserve"> </v>
      </c>
      <c r="B121" s="4"/>
      <c r="C121" s="5"/>
      <c r="D121" s="34"/>
      <c r="E121" s="34"/>
      <c r="F121" s="6"/>
      <c r="G121" s="6"/>
      <c r="H121" s="7"/>
      <c r="I121" s="7"/>
      <c r="J121" s="2"/>
      <c r="K121" s="2"/>
      <c r="L121" s="2"/>
      <c r="M121" s="8"/>
      <c r="N121" s="163" t="str">
        <f t="shared" si="5"/>
        <v/>
      </c>
      <c r="O121" s="126" t="str">
        <f t="shared" si="7"/>
        <v>-</v>
      </c>
      <c r="P121" s="164"/>
      <c r="Q121" s="164"/>
      <c r="R121" s="164"/>
      <c r="S121" s="164"/>
      <c r="T121" s="164"/>
      <c r="U121" s="164"/>
      <c r="V121" s="164"/>
    </row>
    <row r="122" spans="1:22" ht="27" customHeight="1">
      <c r="A122" s="38" t="str">
        <f>IF(ISBLANK(C122)," ",117-COUNTBLANK($C$6:C122))</f>
        <v xml:space="preserve"> </v>
      </c>
      <c r="B122" s="4"/>
      <c r="C122" s="5"/>
      <c r="D122" s="34"/>
      <c r="E122" s="34"/>
      <c r="F122" s="6"/>
      <c r="G122" s="6"/>
      <c r="H122" s="7"/>
      <c r="I122" s="7"/>
      <c r="J122" s="2"/>
      <c r="K122" s="2"/>
      <c r="L122" s="2"/>
      <c r="M122" s="8"/>
      <c r="N122" s="163" t="str">
        <f t="shared" si="5"/>
        <v/>
      </c>
      <c r="O122" s="126" t="str">
        <f t="shared" si="7"/>
        <v>-</v>
      </c>
      <c r="P122" s="164"/>
      <c r="Q122" s="164"/>
      <c r="R122" s="164"/>
      <c r="S122" s="164"/>
      <c r="T122" s="164"/>
      <c r="U122" s="164"/>
      <c r="V122" s="164"/>
    </row>
    <row r="123" spans="1:22" ht="27" customHeight="1">
      <c r="A123" s="38" t="str">
        <f>IF(ISBLANK(C123)," ",118-COUNTBLANK($C$6:C123))</f>
        <v xml:space="preserve"> </v>
      </c>
      <c r="B123" s="4"/>
      <c r="C123" s="5"/>
      <c r="D123" s="34"/>
      <c r="E123" s="34"/>
      <c r="F123" s="6"/>
      <c r="G123" s="6"/>
      <c r="H123" s="7"/>
      <c r="I123" s="7"/>
      <c r="J123" s="2"/>
      <c r="K123" s="2"/>
      <c r="L123" s="2"/>
      <c r="M123" s="8"/>
      <c r="N123" s="163" t="str">
        <f t="shared" si="5"/>
        <v/>
      </c>
      <c r="O123" s="126" t="str">
        <f t="shared" si="7"/>
        <v>-</v>
      </c>
      <c r="P123" s="164"/>
      <c r="Q123" s="164"/>
      <c r="R123" s="164"/>
      <c r="S123" s="164"/>
      <c r="T123" s="164"/>
      <c r="U123" s="164"/>
      <c r="V123" s="164"/>
    </row>
    <row r="124" spans="1:22" ht="27" customHeight="1">
      <c r="A124" s="38" t="str">
        <f>IF(ISBLANK(C124)," ",119-COUNTBLANK($C$6:C124))</f>
        <v xml:space="preserve"> </v>
      </c>
      <c r="B124" s="4"/>
      <c r="C124" s="5"/>
      <c r="D124" s="34"/>
      <c r="E124" s="34"/>
      <c r="F124" s="6"/>
      <c r="G124" s="6"/>
      <c r="H124" s="7"/>
      <c r="I124" s="7"/>
      <c r="J124" s="2"/>
      <c r="K124" s="2"/>
      <c r="L124" s="2"/>
      <c r="M124" s="8"/>
      <c r="N124" s="163" t="str">
        <f t="shared" si="5"/>
        <v/>
      </c>
      <c r="O124" s="126" t="str">
        <f t="shared" si="7"/>
        <v>-</v>
      </c>
      <c r="P124" s="164"/>
      <c r="Q124" s="164"/>
      <c r="R124" s="164"/>
      <c r="S124" s="164"/>
      <c r="T124" s="164"/>
      <c r="U124" s="164"/>
      <c r="V124" s="164"/>
    </row>
    <row r="125" spans="1:22" ht="27" customHeight="1">
      <c r="A125" s="38" t="str">
        <f>IF(ISBLANK(C125)," ",120-COUNTBLANK($C$6:C125))</f>
        <v xml:space="preserve"> </v>
      </c>
      <c r="B125" s="4"/>
      <c r="C125" s="5"/>
      <c r="D125" s="34"/>
      <c r="E125" s="34"/>
      <c r="F125" s="6"/>
      <c r="G125" s="6"/>
      <c r="H125" s="7"/>
      <c r="I125" s="7"/>
      <c r="J125" s="2"/>
      <c r="K125" s="2"/>
      <c r="L125" s="2"/>
      <c r="M125" s="8"/>
      <c r="N125" s="163" t="str">
        <f t="shared" si="5"/>
        <v/>
      </c>
      <c r="O125" s="126" t="str">
        <f t="shared" si="7"/>
        <v>-</v>
      </c>
      <c r="P125" s="164"/>
      <c r="Q125" s="164"/>
      <c r="R125" s="164"/>
      <c r="S125" s="164"/>
      <c r="T125" s="164"/>
      <c r="U125" s="164"/>
      <c r="V125" s="164"/>
    </row>
    <row r="126" spans="1:22" ht="27" customHeight="1">
      <c r="A126" s="38" t="str">
        <f>IF(ISBLANK(C126)," ",121-COUNTBLANK($C$6:C126))</f>
        <v xml:space="preserve"> </v>
      </c>
      <c r="B126" s="4"/>
      <c r="C126" s="5"/>
      <c r="D126" s="34"/>
      <c r="E126" s="34"/>
      <c r="F126" s="6"/>
      <c r="G126" s="6"/>
      <c r="H126" s="7"/>
      <c r="I126" s="7"/>
      <c r="J126" s="2"/>
      <c r="K126" s="2"/>
      <c r="L126" s="2"/>
      <c r="M126" s="8"/>
      <c r="N126" s="163" t="str">
        <f t="shared" si="5"/>
        <v/>
      </c>
      <c r="O126" s="126" t="str">
        <f t="shared" si="7"/>
        <v>-</v>
      </c>
      <c r="P126" s="164"/>
      <c r="Q126" s="164"/>
      <c r="R126" s="164"/>
      <c r="S126" s="164"/>
      <c r="T126" s="164"/>
      <c r="U126" s="164"/>
      <c r="V126" s="165"/>
    </row>
    <row r="127" spans="1:22" ht="27" customHeight="1">
      <c r="A127" s="38" t="str">
        <f>IF(ISBLANK(C127)," ",122-COUNTBLANK($C$6:C127))</f>
        <v xml:space="preserve"> </v>
      </c>
      <c r="B127" s="4"/>
      <c r="C127" s="5"/>
      <c r="D127" s="34"/>
      <c r="E127" s="34"/>
      <c r="F127" s="6"/>
      <c r="G127" s="6"/>
      <c r="H127" s="7"/>
      <c r="I127" s="7"/>
      <c r="J127" s="2"/>
      <c r="K127" s="2"/>
      <c r="L127" s="2"/>
      <c r="M127" s="8"/>
      <c r="N127" s="163" t="str">
        <f t="shared" si="5"/>
        <v/>
      </c>
      <c r="O127" s="126" t="str">
        <f t="shared" si="7"/>
        <v>-</v>
      </c>
      <c r="P127" s="164"/>
      <c r="Q127" s="164"/>
      <c r="R127" s="164"/>
      <c r="S127" s="164"/>
      <c r="T127" s="164"/>
      <c r="U127" s="164"/>
      <c r="V127" s="165"/>
    </row>
    <row r="128" spans="1:22" ht="27" customHeight="1">
      <c r="A128" s="38" t="str">
        <f>IF(ISBLANK(C128)," ",123-COUNTBLANK($C$6:C128))</f>
        <v xml:space="preserve"> </v>
      </c>
      <c r="B128" s="4"/>
      <c r="C128" s="5"/>
      <c r="D128" s="34"/>
      <c r="E128" s="34"/>
      <c r="F128" s="6"/>
      <c r="G128" s="6"/>
      <c r="H128" s="7"/>
      <c r="I128" s="7"/>
      <c r="J128" s="2"/>
      <c r="K128" s="2"/>
      <c r="L128" s="2"/>
      <c r="M128" s="8"/>
      <c r="N128" s="163" t="str">
        <f t="shared" si="5"/>
        <v/>
      </c>
      <c r="O128" s="126" t="str">
        <f t="shared" si="7"/>
        <v>-</v>
      </c>
      <c r="P128" s="164"/>
      <c r="Q128" s="164"/>
      <c r="R128" s="164"/>
      <c r="S128" s="164"/>
      <c r="T128" s="164"/>
      <c r="U128" s="164"/>
      <c r="V128" s="165"/>
    </row>
    <row r="129" spans="1:25" ht="27" customHeight="1">
      <c r="A129" s="38" t="str">
        <f>IF(ISBLANK(C129)," ",124-COUNTBLANK($C$6:C129))</f>
        <v xml:space="preserve"> </v>
      </c>
      <c r="B129" s="4"/>
      <c r="C129" s="5"/>
      <c r="D129" s="34"/>
      <c r="E129" s="34"/>
      <c r="F129" s="6"/>
      <c r="G129" s="6"/>
      <c r="H129" s="7"/>
      <c r="I129" s="7"/>
      <c r="J129" s="2"/>
      <c r="K129" s="2"/>
      <c r="L129" s="2"/>
      <c r="M129" s="8"/>
      <c r="N129" s="163" t="str">
        <f t="shared" si="5"/>
        <v/>
      </c>
      <c r="O129" s="126" t="str">
        <f t="shared" si="7"/>
        <v>-</v>
      </c>
      <c r="P129" s="164"/>
      <c r="Q129" s="164"/>
      <c r="R129" s="164"/>
      <c r="S129" s="164"/>
      <c r="T129" s="164"/>
      <c r="U129" s="164"/>
      <c r="V129" s="165"/>
    </row>
    <row r="130" spans="1:25" ht="27" customHeight="1">
      <c r="A130" s="39" t="str">
        <f>IF(ISBLANK(C130)," ",125-COUNTBLANK($C$6:C130))</f>
        <v xml:space="preserve"> </v>
      </c>
      <c r="B130" s="14"/>
      <c r="C130" s="15"/>
      <c r="D130" s="35"/>
      <c r="E130" s="35"/>
      <c r="F130" s="16"/>
      <c r="G130" s="16"/>
      <c r="H130" s="17"/>
      <c r="I130" s="17"/>
      <c r="J130" s="3"/>
      <c r="K130" s="3"/>
      <c r="L130" s="3"/>
      <c r="M130" s="18"/>
      <c r="N130" s="163" t="str">
        <f t="shared" si="5"/>
        <v/>
      </c>
      <c r="O130" s="126" t="str">
        <f t="shared" si="7"/>
        <v>-</v>
      </c>
      <c r="P130" s="164"/>
      <c r="Q130" s="164"/>
      <c r="R130" s="164"/>
      <c r="S130" s="164"/>
      <c r="T130" s="164"/>
      <c r="U130" s="164"/>
      <c r="V130" s="166"/>
      <c r="W130" s="164"/>
      <c r="X130" s="164"/>
      <c r="Y130" s="164"/>
    </row>
    <row r="131" spans="1:25" ht="27" customHeight="1">
      <c r="A131" s="172" t="s">
        <v>44</v>
      </c>
      <c r="B131" s="173"/>
      <c r="C131" s="174"/>
      <c r="D131" s="175"/>
      <c r="E131" s="175">
        <f>SUM(E111:E130)</f>
        <v>0</v>
      </c>
      <c r="F131" s="176"/>
      <c r="G131" s="176"/>
      <c r="H131" s="176"/>
      <c r="I131" s="176"/>
      <c r="J131" s="176"/>
      <c r="K131" s="176"/>
      <c r="L131" s="176"/>
      <c r="M131" s="177"/>
      <c r="N131" s="163" t="str">
        <f t="shared" si="5"/>
        <v/>
      </c>
      <c r="O131" s="126"/>
      <c r="P131" s="164"/>
      <c r="Q131" s="164"/>
      <c r="R131" s="164"/>
      <c r="S131" s="164"/>
      <c r="T131" s="164"/>
      <c r="U131" s="164"/>
      <c r="V131" s="166"/>
      <c r="W131" s="164"/>
      <c r="X131" s="164"/>
      <c r="Y131" s="164"/>
    </row>
    <row r="132" spans="1:25" ht="27" customHeight="1">
      <c r="A132" s="37" t="str">
        <f>IF(ISBLANK(C132)," ",127-COUNTBLANK($C$6:C132))</f>
        <v xml:space="preserve"> </v>
      </c>
      <c r="B132" s="9"/>
      <c r="C132" s="10"/>
      <c r="D132" s="33"/>
      <c r="E132" s="33"/>
      <c r="F132" s="11"/>
      <c r="G132" s="11"/>
      <c r="H132" s="12"/>
      <c r="I132" s="12"/>
      <c r="J132" s="32"/>
      <c r="K132" s="32"/>
      <c r="L132" s="32"/>
      <c r="M132" s="13"/>
      <c r="N132" s="163" t="str">
        <f t="shared" si="5"/>
        <v/>
      </c>
      <c r="O132" s="126" t="str">
        <f>IF(D132&gt;=E132,"-","ERR")</f>
        <v>-</v>
      </c>
      <c r="P132" s="164"/>
      <c r="Q132" s="164"/>
      <c r="R132" s="164"/>
      <c r="S132" s="164"/>
      <c r="T132" s="164"/>
      <c r="U132" s="164"/>
      <c r="V132" s="164"/>
    </row>
    <row r="133" spans="1:25" ht="27" customHeight="1">
      <c r="A133" s="38" t="str">
        <f>IF(ISBLANK(C133)," ",128-COUNTBLANK($C$6:C133))</f>
        <v xml:space="preserve"> </v>
      </c>
      <c r="B133" s="4"/>
      <c r="C133" s="5"/>
      <c r="D133" s="34"/>
      <c r="E133" s="34"/>
      <c r="F133" s="6"/>
      <c r="G133" s="6"/>
      <c r="H133" s="7"/>
      <c r="I133" s="7"/>
      <c r="J133" s="2"/>
      <c r="K133" s="2"/>
      <c r="L133" s="2"/>
      <c r="M133" s="8"/>
      <c r="N133" s="163" t="str">
        <f t="shared" si="5"/>
        <v/>
      </c>
      <c r="O133" s="126" t="str">
        <f t="shared" ref="O133:O151" si="8">IF(D133&gt;=E133,"-","ERR")</f>
        <v>-</v>
      </c>
      <c r="P133" s="164"/>
      <c r="Q133" s="164"/>
      <c r="R133" s="164"/>
      <c r="S133" s="164"/>
      <c r="T133" s="164"/>
      <c r="U133" s="164"/>
      <c r="V133" s="164"/>
    </row>
    <row r="134" spans="1:25" ht="27" customHeight="1">
      <c r="A134" s="38" t="str">
        <f>IF(ISBLANK(C134)," ",129-COUNTBLANK($C$6:C134))</f>
        <v xml:space="preserve"> </v>
      </c>
      <c r="B134" s="4"/>
      <c r="C134" s="5"/>
      <c r="D134" s="34"/>
      <c r="E134" s="34"/>
      <c r="F134" s="6"/>
      <c r="G134" s="6"/>
      <c r="H134" s="7"/>
      <c r="I134" s="7"/>
      <c r="J134" s="2"/>
      <c r="K134" s="2"/>
      <c r="L134" s="2"/>
      <c r="M134" s="8"/>
      <c r="N134" s="163" t="str">
        <f t="shared" si="5"/>
        <v/>
      </c>
      <c r="O134" s="126" t="str">
        <f t="shared" si="8"/>
        <v>-</v>
      </c>
      <c r="P134" s="164"/>
      <c r="Q134" s="164"/>
      <c r="R134" s="164"/>
      <c r="S134" s="164"/>
      <c r="T134" s="164"/>
      <c r="U134" s="164"/>
      <c r="V134" s="164"/>
    </row>
    <row r="135" spans="1:25" ht="27" customHeight="1">
      <c r="A135" s="38" t="str">
        <f>IF(ISBLANK(C135)," ",130-COUNTBLANK($C$6:C135))</f>
        <v xml:space="preserve"> </v>
      </c>
      <c r="B135" s="28"/>
      <c r="C135" s="29"/>
      <c r="D135" s="36"/>
      <c r="E135" s="36"/>
      <c r="F135" s="30"/>
      <c r="G135" s="30"/>
      <c r="H135" s="31"/>
      <c r="I135" s="31"/>
      <c r="J135" s="2"/>
      <c r="K135" s="2"/>
      <c r="L135" s="2"/>
      <c r="M135" s="8"/>
      <c r="N135" s="163" t="str">
        <f t="shared" ref="N135:N198" si="9">CONCATENATE(C135,H135)</f>
        <v/>
      </c>
      <c r="O135" s="126" t="str">
        <f t="shared" si="8"/>
        <v>-</v>
      </c>
      <c r="P135" s="164"/>
      <c r="Q135" s="164"/>
      <c r="R135" s="164"/>
      <c r="S135" s="164"/>
      <c r="T135" s="164"/>
      <c r="U135" s="164"/>
      <c r="V135" s="164"/>
    </row>
    <row r="136" spans="1:25" ht="27" customHeight="1">
      <c r="A136" s="38" t="str">
        <f>IF(ISBLANK(C136)," ",131-COUNTBLANK($C$6:C136))</f>
        <v xml:space="preserve"> </v>
      </c>
      <c r="B136" s="178"/>
      <c r="C136" s="178"/>
      <c r="D136" s="179"/>
      <c r="E136" s="179"/>
      <c r="F136" s="180"/>
      <c r="G136" s="180"/>
      <c r="H136" s="180"/>
      <c r="I136" s="180"/>
      <c r="J136" s="2"/>
      <c r="K136" s="2"/>
      <c r="L136" s="2"/>
      <c r="M136" s="8"/>
      <c r="N136" s="163" t="str">
        <f t="shared" si="9"/>
        <v/>
      </c>
      <c r="O136" s="126" t="str">
        <f t="shared" si="8"/>
        <v>-</v>
      </c>
      <c r="P136" s="164"/>
      <c r="Q136" s="164"/>
      <c r="R136" s="164"/>
      <c r="S136" s="164"/>
      <c r="T136" s="164"/>
      <c r="U136" s="164"/>
      <c r="V136" s="164"/>
    </row>
    <row r="137" spans="1:25" ht="27" customHeight="1">
      <c r="A137" s="38" t="str">
        <f>IF(ISBLANK(C137)," ",132-COUNTBLANK($C$6:C137))</f>
        <v xml:space="preserve"> </v>
      </c>
      <c r="B137" s="4"/>
      <c r="C137" s="5"/>
      <c r="D137" s="34"/>
      <c r="E137" s="34"/>
      <c r="F137" s="6"/>
      <c r="G137" s="6"/>
      <c r="H137" s="7"/>
      <c r="I137" s="7"/>
      <c r="J137" s="2"/>
      <c r="K137" s="2"/>
      <c r="L137" s="2"/>
      <c r="M137" s="8"/>
      <c r="N137" s="163" t="str">
        <f t="shared" si="9"/>
        <v/>
      </c>
      <c r="O137" s="126" t="str">
        <f t="shared" si="8"/>
        <v>-</v>
      </c>
      <c r="P137" s="164"/>
      <c r="Q137" s="164"/>
      <c r="R137" s="164"/>
      <c r="S137" s="164"/>
      <c r="T137" s="164"/>
      <c r="U137" s="164"/>
      <c r="V137" s="164"/>
    </row>
    <row r="138" spans="1:25" ht="27" customHeight="1">
      <c r="A138" s="38" t="str">
        <f>IF(ISBLANK(C138)," ",133-COUNTBLANK($C$6:C138))</f>
        <v xml:space="preserve"> </v>
      </c>
      <c r="B138" s="4"/>
      <c r="C138" s="5"/>
      <c r="D138" s="34"/>
      <c r="E138" s="34"/>
      <c r="F138" s="6"/>
      <c r="G138" s="6"/>
      <c r="H138" s="7"/>
      <c r="I138" s="7"/>
      <c r="J138" s="2"/>
      <c r="K138" s="2"/>
      <c r="L138" s="2"/>
      <c r="M138" s="8"/>
      <c r="N138" s="163" t="str">
        <f t="shared" si="9"/>
        <v/>
      </c>
      <c r="O138" s="126" t="str">
        <f t="shared" si="8"/>
        <v>-</v>
      </c>
      <c r="P138" s="164"/>
      <c r="Q138" s="164"/>
      <c r="R138" s="164"/>
      <c r="S138" s="164"/>
      <c r="T138" s="164"/>
      <c r="U138" s="164"/>
      <c r="V138" s="164"/>
    </row>
    <row r="139" spans="1:25" ht="27" customHeight="1">
      <c r="A139" s="38" t="str">
        <f>IF(ISBLANK(C139)," ",134-COUNTBLANK($C$6:C139))</f>
        <v xml:space="preserve"> </v>
      </c>
      <c r="B139" s="4"/>
      <c r="C139" s="5"/>
      <c r="D139" s="34"/>
      <c r="E139" s="34"/>
      <c r="F139" s="6"/>
      <c r="G139" s="6"/>
      <c r="H139" s="7"/>
      <c r="I139" s="7"/>
      <c r="J139" s="2"/>
      <c r="K139" s="2"/>
      <c r="L139" s="2"/>
      <c r="M139" s="8"/>
      <c r="N139" s="163" t="str">
        <f t="shared" si="9"/>
        <v/>
      </c>
      <c r="O139" s="126" t="str">
        <f t="shared" si="8"/>
        <v>-</v>
      </c>
      <c r="P139" s="164"/>
      <c r="Q139" s="164"/>
      <c r="R139" s="164"/>
      <c r="S139" s="164"/>
      <c r="T139" s="164"/>
      <c r="U139" s="164"/>
      <c r="V139" s="164"/>
    </row>
    <row r="140" spans="1:25" ht="27" customHeight="1">
      <c r="A140" s="38" t="str">
        <f>IF(ISBLANK(C140)," ",135-COUNTBLANK($C$6:C140))</f>
        <v xml:space="preserve"> </v>
      </c>
      <c r="B140" s="4"/>
      <c r="C140" s="5"/>
      <c r="D140" s="34"/>
      <c r="E140" s="34"/>
      <c r="F140" s="6"/>
      <c r="G140" s="6"/>
      <c r="H140" s="7"/>
      <c r="I140" s="7"/>
      <c r="J140" s="2"/>
      <c r="K140" s="2"/>
      <c r="L140" s="2"/>
      <c r="M140" s="8"/>
      <c r="N140" s="163" t="str">
        <f t="shared" si="9"/>
        <v/>
      </c>
      <c r="O140" s="126" t="str">
        <f t="shared" si="8"/>
        <v>-</v>
      </c>
      <c r="P140" s="164"/>
      <c r="Q140" s="164"/>
      <c r="R140" s="164"/>
      <c r="S140" s="164"/>
      <c r="T140" s="164"/>
      <c r="U140" s="164"/>
      <c r="V140" s="164"/>
    </row>
    <row r="141" spans="1:25" ht="27" customHeight="1">
      <c r="A141" s="38" t="str">
        <f>IF(ISBLANK(C141)," ",136-COUNTBLANK($C$6:C141))</f>
        <v xml:space="preserve"> </v>
      </c>
      <c r="B141" s="4"/>
      <c r="C141" s="5"/>
      <c r="D141" s="34"/>
      <c r="E141" s="34"/>
      <c r="F141" s="6"/>
      <c r="G141" s="6"/>
      <c r="H141" s="7"/>
      <c r="I141" s="7"/>
      <c r="J141" s="2"/>
      <c r="K141" s="2"/>
      <c r="L141" s="2"/>
      <c r="M141" s="8"/>
      <c r="N141" s="163" t="str">
        <f t="shared" si="9"/>
        <v/>
      </c>
      <c r="O141" s="126" t="str">
        <f t="shared" si="8"/>
        <v>-</v>
      </c>
      <c r="P141" s="164"/>
      <c r="Q141" s="164"/>
      <c r="R141" s="164"/>
      <c r="S141" s="164"/>
      <c r="T141" s="164"/>
      <c r="U141" s="164"/>
      <c r="V141" s="164"/>
    </row>
    <row r="142" spans="1:25" ht="27" customHeight="1">
      <c r="A142" s="38" t="str">
        <f>IF(ISBLANK(C142)," ",137-COUNTBLANK($C$6:C142))</f>
        <v xml:space="preserve"> </v>
      </c>
      <c r="B142" s="4"/>
      <c r="C142" s="5"/>
      <c r="D142" s="34"/>
      <c r="E142" s="34"/>
      <c r="F142" s="6"/>
      <c r="G142" s="6"/>
      <c r="H142" s="7"/>
      <c r="I142" s="7"/>
      <c r="J142" s="2"/>
      <c r="K142" s="2"/>
      <c r="L142" s="2"/>
      <c r="M142" s="8"/>
      <c r="N142" s="163" t="str">
        <f t="shared" si="9"/>
        <v/>
      </c>
      <c r="O142" s="126" t="str">
        <f t="shared" si="8"/>
        <v>-</v>
      </c>
      <c r="P142" s="164"/>
      <c r="Q142" s="164"/>
      <c r="R142" s="164"/>
      <c r="S142" s="164"/>
      <c r="T142" s="164"/>
      <c r="U142" s="164"/>
      <c r="V142" s="164"/>
    </row>
    <row r="143" spans="1:25" ht="27" customHeight="1">
      <c r="A143" s="38" t="str">
        <f>IF(ISBLANK(C143)," ",138-COUNTBLANK($C$6:C143))</f>
        <v xml:space="preserve"> </v>
      </c>
      <c r="B143" s="4"/>
      <c r="C143" s="5"/>
      <c r="D143" s="34"/>
      <c r="E143" s="34"/>
      <c r="F143" s="6"/>
      <c r="G143" s="6"/>
      <c r="H143" s="7"/>
      <c r="I143" s="7"/>
      <c r="J143" s="2"/>
      <c r="K143" s="2"/>
      <c r="L143" s="2"/>
      <c r="M143" s="8"/>
      <c r="N143" s="163" t="str">
        <f t="shared" si="9"/>
        <v/>
      </c>
      <c r="O143" s="126" t="str">
        <f t="shared" si="8"/>
        <v>-</v>
      </c>
      <c r="P143" s="164"/>
      <c r="Q143" s="164"/>
      <c r="R143" s="164"/>
      <c r="S143" s="164"/>
      <c r="T143" s="164"/>
      <c r="U143" s="164"/>
      <c r="V143" s="164"/>
    </row>
    <row r="144" spans="1:25" ht="27" customHeight="1">
      <c r="A144" s="38" t="str">
        <f>IF(ISBLANK(C144)," ",139-COUNTBLANK($C$6:C144))</f>
        <v xml:space="preserve"> </v>
      </c>
      <c r="B144" s="4"/>
      <c r="C144" s="5"/>
      <c r="D144" s="34"/>
      <c r="E144" s="34"/>
      <c r="F144" s="6"/>
      <c r="G144" s="6"/>
      <c r="H144" s="7"/>
      <c r="I144" s="7"/>
      <c r="J144" s="2"/>
      <c r="K144" s="2"/>
      <c r="L144" s="2"/>
      <c r="M144" s="8"/>
      <c r="N144" s="163" t="str">
        <f t="shared" si="9"/>
        <v/>
      </c>
      <c r="O144" s="126" t="str">
        <f t="shared" si="8"/>
        <v>-</v>
      </c>
      <c r="P144" s="164"/>
      <c r="Q144" s="164"/>
      <c r="R144" s="164"/>
      <c r="S144" s="164"/>
      <c r="T144" s="164"/>
      <c r="U144" s="164"/>
      <c r="V144" s="164"/>
    </row>
    <row r="145" spans="1:25" ht="27" customHeight="1">
      <c r="A145" s="38" t="str">
        <f>IF(ISBLANK(C145)," ",140-COUNTBLANK($C$6:C145))</f>
        <v xml:space="preserve"> </v>
      </c>
      <c r="B145" s="4"/>
      <c r="C145" s="5"/>
      <c r="D145" s="34"/>
      <c r="E145" s="34"/>
      <c r="F145" s="6"/>
      <c r="G145" s="6"/>
      <c r="H145" s="7"/>
      <c r="I145" s="7"/>
      <c r="J145" s="2"/>
      <c r="K145" s="2"/>
      <c r="L145" s="2"/>
      <c r="M145" s="8"/>
      <c r="N145" s="163" t="str">
        <f t="shared" si="9"/>
        <v/>
      </c>
      <c r="O145" s="126" t="str">
        <f t="shared" si="8"/>
        <v>-</v>
      </c>
      <c r="P145" s="164"/>
      <c r="Q145" s="164"/>
      <c r="R145" s="164"/>
      <c r="S145" s="164"/>
      <c r="T145" s="164"/>
      <c r="U145" s="164"/>
      <c r="V145" s="164"/>
    </row>
    <row r="146" spans="1:25" ht="27" customHeight="1">
      <c r="A146" s="38" t="str">
        <f>IF(ISBLANK(C146)," ",141-COUNTBLANK($C$6:C146))</f>
        <v xml:space="preserve"> </v>
      </c>
      <c r="B146" s="4"/>
      <c r="C146" s="5"/>
      <c r="D146" s="34"/>
      <c r="E146" s="34"/>
      <c r="F146" s="6"/>
      <c r="G146" s="6"/>
      <c r="H146" s="7"/>
      <c r="I146" s="7"/>
      <c r="J146" s="2"/>
      <c r="K146" s="2"/>
      <c r="L146" s="2"/>
      <c r="M146" s="8"/>
      <c r="N146" s="163" t="str">
        <f t="shared" si="9"/>
        <v/>
      </c>
      <c r="O146" s="126" t="str">
        <f t="shared" si="8"/>
        <v>-</v>
      </c>
      <c r="P146" s="164"/>
      <c r="Q146" s="164"/>
      <c r="R146" s="164"/>
      <c r="S146" s="164"/>
      <c r="T146" s="164"/>
      <c r="U146" s="164"/>
      <c r="V146" s="164"/>
    </row>
    <row r="147" spans="1:25" ht="27" customHeight="1">
      <c r="A147" s="38" t="str">
        <f>IF(ISBLANK(C147)," ",142-COUNTBLANK($C$6:C147))</f>
        <v xml:space="preserve"> </v>
      </c>
      <c r="B147" s="4"/>
      <c r="C147" s="5"/>
      <c r="D147" s="34"/>
      <c r="E147" s="34"/>
      <c r="F147" s="6"/>
      <c r="G147" s="6"/>
      <c r="H147" s="7"/>
      <c r="I147" s="7"/>
      <c r="J147" s="2"/>
      <c r="K147" s="2"/>
      <c r="L147" s="2"/>
      <c r="M147" s="8"/>
      <c r="N147" s="163" t="str">
        <f t="shared" si="9"/>
        <v/>
      </c>
      <c r="O147" s="126" t="str">
        <f t="shared" si="8"/>
        <v>-</v>
      </c>
      <c r="P147" s="164"/>
      <c r="Q147" s="164"/>
      <c r="R147" s="164"/>
      <c r="S147" s="164"/>
      <c r="T147" s="164"/>
      <c r="U147" s="164"/>
      <c r="V147" s="165"/>
    </row>
    <row r="148" spans="1:25" ht="27" customHeight="1">
      <c r="A148" s="38" t="str">
        <f>IF(ISBLANK(C148)," ",143-COUNTBLANK($C$6:C148))</f>
        <v xml:space="preserve"> </v>
      </c>
      <c r="B148" s="4"/>
      <c r="C148" s="5"/>
      <c r="D148" s="34"/>
      <c r="E148" s="34"/>
      <c r="F148" s="6"/>
      <c r="G148" s="6"/>
      <c r="H148" s="7"/>
      <c r="I148" s="7"/>
      <c r="J148" s="2"/>
      <c r="K148" s="2"/>
      <c r="L148" s="2"/>
      <c r="M148" s="8"/>
      <c r="N148" s="163" t="str">
        <f t="shared" si="9"/>
        <v/>
      </c>
      <c r="O148" s="126" t="str">
        <f t="shared" si="8"/>
        <v>-</v>
      </c>
      <c r="P148" s="164"/>
      <c r="Q148" s="164"/>
      <c r="R148" s="164"/>
      <c r="S148" s="164"/>
      <c r="T148" s="164"/>
      <c r="U148" s="164"/>
      <c r="V148" s="165"/>
    </row>
    <row r="149" spans="1:25" ht="27" customHeight="1">
      <c r="A149" s="38" t="str">
        <f>IF(ISBLANK(C149)," ",144-COUNTBLANK($C$6:C149))</f>
        <v xml:space="preserve"> </v>
      </c>
      <c r="B149" s="4"/>
      <c r="C149" s="5"/>
      <c r="D149" s="34"/>
      <c r="E149" s="34"/>
      <c r="F149" s="6"/>
      <c r="G149" s="6"/>
      <c r="H149" s="7"/>
      <c r="I149" s="7"/>
      <c r="J149" s="2"/>
      <c r="K149" s="2"/>
      <c r="L149" s="2"/>
      <c r="M149" s="8"/>
      <c r="N149" s="163" t="str">
        <f t="shared" si="9"/>
        <v/>
      </c>
      <c r="O149" s="126" t="str">
        <f t="shared" si="8"/>
        <v>-</v>
      </c>
      <c r="P149" s="164"/>
      <c r="Q149" s="164"/>
      <c r="R149" s="164"/>
      <c r="S149" s="164"/>
      <c r="T149" s="164"/>
      <c r="U149" s="164"/>
      <c r="V149" s="165"/>
    </row>
    <row r="150" spans="1:25" ht="27" customHeight="1">
      <c r="A150" s="38" t="str">
        <f>IF(ISBLANK(C150)," ",145-COUNTBLANK($C$6:C150))</f>
        <v xml:space="preserve"> </v>
      </c>
      <c r="B150" s="4"/>
      <c r="C150" s="5"/>
      <c r="D150" s="34"/>
      <c r="E150" s="34"/>
      <c r="F150" s="6"/>
      <c r="G150" s="6"/>
      <c r="H150" s="7"/>
      <c r="I150" s="7"/>
      <c r="J150" s="2"/>
      <c r="K150" s="2"/>
      <c r="L150" s="2"/>
      <c r="M150" s="8"/>
      <c r="N150" s="163" t="str">
        <f t="shared" si="9"/>
        <v/>
      </c>
      <c r="O150" s="126" t="str">
        <f t="shared" si="8"/>
        <v>-</v>
      </c>
      <c r="P150" s="164"/>
      <c r="Q150" s="164"/>
      <c r="R150" s="164"/>
      <c r="S150" s="164"/>
      <c r="T150" s="164"/>
      <c r="U150" s="164"/>
      <c r="V150" s="165"/>
    </row>
    <row r="151" spans="1:25" ht="27" customHeight="1">
      <c r="A151" s="39" t="str">
        <f>IF(ISBLANK(C151)," ",146-COUNTBLANK($C$6:C151))</f>
        <v xml:space="preserve"> </v>
      </c>
      <c r="B151" s="14"/>
      <c r="C151" s="15"/>
      <c r="D151" s="35"/>
      <c r="E151" s="35"/>
      <c r="F151" s="16"/>
      <c r="G151" s="16"/>
      <c r="H151" s="17"/>
      <c r="I151" s="17"/>
      <c r="J151" s="3"/>
      <c r="K151" s="3"/>
      <c r="L151" s="3"/>
      <c r="M151" s="18"/>
      <c r="N151" s="163" t="str">
        <f t="shared" si="9"/>
        <v/>
      </c>
      <c r="O151" s="126" t="str">
        <f t="shared" si="8"/>
        <v>-</v>
      </c>
      <c r="P151" s="164"/>
      <c r="Q151" s="164"/>
      <c r="R151" s="164"/>
      <c r="S151" s="164"/>
      <c r="T151" s="164"/>
      <c r="U151" s="164"/>
      <c r="V151" s="166"/>
      <c r="W151" s="164"/>
      <c r="X151" s="164"/>
      <c r="Y151" s="164"/>
    </row>
    <row r="152" spans="1:25" ht="27" customHeight="1">
      <c r="A152" s="172" t="s">
        <v>44</v>
      </c>
      <c r="B152" s="173"/>
      <c r="C152" s="174"/>
      <c r="D152" s="175"/>
      <c r="E152" s="175">
        <f>SUM(E132:E151)</f>
        <v>0</v>
      </c>
      <c r="F152" s="176"/>
      <c r="G152" s="176"/>
      <c r="H152" s="176"/>
      <c r="I152" s="176"/>
      <c r="J152" s="176"/>
      <c r="K152" s="176"/>
      <c r="L152" s="176"/>
      <c r="M152" s="177"/>
      <c r="N152" s="163" t="str">
        <f t="shared" si="9"/>
        <v/>
      </c>
      <c r="O152" s="126"/>
      <c r="P152" s="164"/>
      <c r="Q152" s="164"/>
      <c r="R152" s="164"/>
      <c r="S152" s="164"/>
      <c r="T152" s="164"/>
      <c r="U152" s="164"/>
      <c r="V152" s="166"/>
      <c r="W152" s="164"/>
      <c r="X152" s="164"/>
      <c r="Y152" s="164"/>
    </row>
    <row r="153" spans="1:25" ht="27" customHeight="1">
      <c r="A153" s="37" t="str">
        <f>IF(ISBLANK(C153)," ",148-COUNTBLANK($C$6:C153))</f>
        <v xml:space="preserve"> </v>
      </c>
      <c r="B153" s="9"/>
      <c r="C153" s="10"/>
      <c r="D153" s="33"/>
      <c r="E153" s="33"/>
      <c r="F153" s="11"/>
      <c r="G153" s="11"/>
      <c r="H153" s="12"/>
      <c r="I153" s="12"/>
      <c r="J153" s="32"/>
      <c r="K153" s="32"/>
      <c r="L153" s="32"/>
      <c r="M153" s="13"/>
      <c r="N153" s="163" t="str">
        <f t="shared" si="9"/>
        <v/>
      </c>
      <c r="O153" s="126" t="str">
        <f>IF(D153&gt;=E153,"-","ERR")</f>
        <v>-</v>
      </c>
      <c r="P153" s="164"/>
      <c r="Q153" s="164"/>
      <c r="R153" s="164"/>
      <c r="S153" s="164"/>
      <c r="T153" s="164"/>
      <c r="U153" s="164"/>
      <c r="V153" s="164"/>
    </row>
    <row r="154" spans="1:25" ht="27" customHeight="1">
      <c r="A154" s="38" t="str">
        <f>IF(ISBLANK(C154)," ",149-COUNTBLANK($C$6:C154))</f>
        <v xml:space="preserve"> </v>
      </c>
      <c r="B154" s="4"/>
      <c r="C154" s="5"/>
      <c r="D154" s="34"/>
      <c r="E154" s="34"/>
      <c r="F154" s="6"/>
      <c r="G154" s="6"/>
      <c r="H154" s="7"/>
      <c r="I154" s="7"/>
      <c r="J154" s="2"/>
      <c r="K154" s="2"/>
      <c r="L154" s="2"/>
      <c r="M154" s="8"/>
      <c r="N154" s="163" t="str">
        <f t="shared" si="9"/>
        <v/>
      </c>
      <c r="O154" s="126" t="str">
        <f t="shared" ref="O154:O172" si="10">IF(D154&gt;=E154,"-","ERR")</f>
        <v>-</v>
      </c>
      <c r="P154" s="164"/>
      <c r="Q154" s="164"/>
      <c r="R154" s="164"/>
      <c r="S154" s="164"/>
      <c r="T154" s="164"/>
      <c r="U154" s="164"/>
      <c r="V154" s="164"/>
    </row>
    <row r="155" spans="1:25" ht="27" customHeight="1">
      <c r="A155" s="38" t="str">
        <f>IF(ISBLANK(C155)," ",150-COUNTBLANK($C$6:C155))</f>
        <v xml:space="preserve"> </v>
      </c>
      <c r="B155" s="4"/>
      <c r="C155" s="5"/>
      <c r="D155" s="34"/>
      <c r="E155" s="34"/>
      <c r="F155" s="6"/>
      <c r="G155" s="6"/>
      <c r="H155" s="7"/>
      <c r="I155" s="7"/>
      <c r="J155" s="2"/>
      <c r="K155" s="2"/>
      <c r="L155" s="2"/>
      <c r="M155" s="8"/>
      <c r="N155" s="163" t="str">
        <f t="shared" si="9"/>
        <v/>
      </c>
      <c r="O155" s="126" t="str">
        <f t="shared" si="10"/>
        <v>-</v>
      </c>
      <c r="P155" s="164"/>
      <c r="Q155" s="164"/>
      <c r="R155" s="164"/>
      <c r="S155" s="164"/>
      <c r="T155" s="164"/>
      <c r="U155" s="164"/>
      <c r="V155" s="164"/>
    </row>
    <row r="156" spans="1:25" ht="27" customHeight="1">
      <c r="A156" s="38" t="str">
        <f>IF(ISBLANK(C156)," ",151-COUNTBLANK($C$6:C156))</f>
        <v xml:space="preserve"> </v>
      </c>
      <c r="B156" s="4"/>
      <c r="C156" s="5"/>
      <c r="D156" s="34"/>
      <c r="E156" s="34"/>
      <c r="F156" s="6"/>
      <c r="G156" s="6"/>
      <c r="H156" s="7"/>
      <c r="I156" s="7"/>
      <c r="J156" s="2"/>
      <c r="K156" s="2"/>
      <c r="L156" s="2"/>
      <c r="M156" s="8"/>
      <c r="N156" s="163" t="str">
        <f t="shared" si="9"/>
        <v/>
      </c>
      <c r="O156" s="126" t="str">
        <f t="shared" si="10"/>
        <v>-</v>
      </c>
      <c r="P156" s="164"/>
      <c r="Q156" s="164"/>
      <c r="R156" s="164"/>
      <c r="S156" s="164"/>
      <c r="T156" s="164"/>
      <c r="U156" s="164"/>
      <c r="V156" s="164"/>
    </row>
    <row r="157" spans="1:25" ht="27" customHeight="1">
      <c r="A157" s="38" t="str">
        <f>IF(ISBLANK(C157)," ",152-COUNTBLANK($C$6:C157))</f>
        <v xml:space="preserve"> </v>
      </c>
      <c r="B157" s="4"/>
      <c r="C157" s="5"/>
      <c r="D157" s="34"/>
      <c r="E157" s="34"/>
      <c r="F157" s="6"/>
      <c r="G157" s="6"/>
      <c r="H157" s="7"/>
      <c r="I157" s="7"/>
      <c r="J157" s="2"/>
      <c r="K157" s="2"/>
      <c r="L157" s="2"/>
      <c r="M157" s="8"/>
      <c r="N157" s="163" t="str">
        <f t="shared" si="9"/>
        <v/>
      </c>
      <c r="O157" s="126" t="str">
        <f t="shared" si="10"/>
        <v>-</v>
      </c>
      <c r="P157" s="164"/>
      <c r="Q157" s="164"/>
      <c r="R157" s="164"/>
      <c r="S157" s="164"/>
      <c r="T157" s="164"/>
      <c r="U157" s="164"/>
      <c r="V157" s="164"/>
    </row>
    <row r="158" spans="1:25" ht="27" customHeight="1">
      <c r="A158" s="38" t="str">
        <f>IF(ISBLANK(C158)," ",153-COUNTBLANK($C$6:C158))</f>
        <v xml:space="preserve"> </v>
      </c>
      <c r="B158" s="4"/>
      <c r="C158" s="5"/>
      <c r="D158" s="34"/>
      <c r="E158" s="34"/>
      <c r="F158" s="6"/>
      <c r="G158" s="6"/>
      <c r="H158" s="7"/>
      <c r="I158" s="7"/>
      <c r="J158" s="2"/>
      <c r="K158" s="2"/>
      <c r="L158" s="2"/>
      <c r="M158" s="8"/>
      <c r="N158" s="163" t="str">
        <f t="shared" si="9"/>
        <v/>
      </c>
      <c r="O158" s="126" t="str">
        <f t="shared" si="10"/>
        <v>-</v>
      </c>
      <c r="P158" s="164"/>
      <c r="Q158" s="164"/>
      <c r="R158" s="164"/>
      <c r="S158" s="164"/>
      <c r="T158" s="164"/>
      <c r="U158" s="164"/>
      <c r="V158" s="164"/>
    </row>
    <row r="159" spans="1:25" ht="27" customHeight="1">
      <c r="A159" s="38" t="str">
        <f>IF(ISBLANK(C159)," ",154-COUNTBLANK($C$6:C159))</f>
        <v xml:space="preserve"> </v>
      </c>
      <c r="B159" s="4"/>
      <c r="C159" s="5"/>
      <c r="D159" s="34"/>
      <c r="E159" s="34"/>
      <c r="F159" s="6"/>
      <c r="G159" s="6"/>
      <c r="H159" s="7"/>
      <c r="I159" s="7"/>
      <c r="J159" s="2"/>
      <c r="K159" s="2"/>
      <c r="L159" s="2"/>
      <c r="M159" s="8"/>
      <c r="N159" s="163" t="str">
        <f t="shared" si="9"/>
        <v/>
      </c>
      <c r="O159" s="126" t="str">
        <f t="shared" si="10"/>
        <v>-</v>
      </c>
      <c r="P159" s="164"/>
      <c r="Q159" s="164"/>
      <c r="R159" s="164"/>
      <c r="S159" s="164"/>
      <c r="T159" s="164"/>
      <c r="U159" s="164"/>
      <c r="V159" s="164"/>
    </row>
    <row r="160" spans="1:25" ht="27" customHeight="1">
      <c r="A160" s="38" t="str">
        <f>IF(ISBLANK(C160)," ",155-COUNTBLANK($C$6:C160))</f>
        <v xml:space="preserve"> </v>
      </c>
      <c r="B160" s="4"/>
      <c r="C160" s="5"/>
      <c r="D160" s="34"/>
      <c r="E160" s="34"/>
      <c r="F160" s="6"/>
      <c r="G160" s="6"/>
      <c r="H160" s="7"/>
      <c r="I160" s="7"/>
      <c r="J160" s="2"/>
      <c r="K160" s="2"/>
      <c r="L160" s="2"/>
      <c r="M160" s="8"/>
      <c r="N160" s="163" t="str">
        <f t="shared" si="9"/>
        <v/>
      </c>
      <c r="O160" s="126" t="str">
        <f t="shared" si="10"/>
        <v>-</v>
      </c>
      <c r="P160" s="164"/>
      <c r="Q160" s="164"/>
      <c r="R160" s="164"/>
      <c r="S160" s="164"/>
      <c r="T160" s="164"/>
      <c r="U160" s="164"/>
      <c r="V160" s="164"/>
    </row>
    <row r="161" spans="1:25" ht="27" customHeight="1">
      <c r="A161" s="38" t="str">
        <f>IF(ISBLANK(C161)," ",156-COUNTBLANK($C$6:C161))</f>
        <v xml:space="preserve"> </v>
      </c>
      <c r="B161" s="4"/>
      <c r="C161" s="5"/>
      <c r="D161" s="34"/>
      <c r="E161" s="34"/>
      <c r="F161" s="6"/>
      <c r="G161" s="6"/>
      <c r="H161" s="7"/>
      <c r="I161" s="7"/>
      <c r="J161" s="2"/>
      <c r="K161" s="2"/>
      <c r="L161" s="2"/>
      <c r="M161" s="8"/>
      <c r="N161" s="163" t="str">
        <f t="shared" si="9"/>
        <v/>
      </c>
      <c r="O161" s="126" t="str">
        <f t="shared" si="10"/>
        <v>-</v>
      </c>
      <c r="P161" s="164"/>
      <c r="Q161" s="164"/>
      <c r="R161" s="164"/>
      <c r="S161" s="164"/>
      <c r="T161" s="164"/>
      <c r="U161" s="164"/>
      <c r="V161" s="164"/>
    </row>
    <row r="162" spans="1:25" ht="27" customHeight="1">
      <c r="A162" s="38" t="str">
        <f>IF(ISBLANK(C162)," ",157-COUNTBLANK($C$6:C162))</f>
        <v xml:space="preserve"> </v>
      </c>
      <c r="B162" s="4"/>
      <c r="C162" s="5"/>
      <c r="D162" s="34"/>
      <c r="E162" s="34"/>
      <c r="F162" s="6"/>
      <c r="G162" s="6"/>
      <c r="H162" s="7"/>
      <c r="I162" s="7"/>
      <c r="J162" s="2"/>
      <c r="K162" s="2"/>
      <c r="L162" s="2"/>
      <c r="M162" s="8"/>
      <c r="N162" s="163" t="str">
        <f t="shared" si="9"/>
        <v/>
      </c>
      <c r="O162" s="126" t="str">
        <f t="shared" si="10"/>
        <v>-</v>
      </c>
      <c r="P162" s="164"/>
      <c r="Q162" s="164"/>
      <c r="R162" s="164"/>
      <c r="S162" s="164"/>
      <c r="T162" s="164"/>
      <c r="U162" s="164"/>
      <c r="V162" s="164"/>
    </row>
    <row r="163" spans="1:25" ht="27" customHeight="1">
      <c r="A163" s="38" t="str">
        <f>IF(ISBLANK(C163)," ",158-COUNTBLANK($C$6:C163))</f>
        <v xml:space="preserve"> </v>
      </c>
      <c r="B163" s="4"/>
      <c r="C163" s="5"/>
      <c r="D163" s="34"/>
      <c r="E163" s="34"/>
      <c r="F163" s="6"/>
      <c r="G163" s="6"/>
      <c r="H163" s="7"/>
      <c r="I163" s="7"/>
      <c r="J163" s="2"/>
      <c r="K163" s="2"/>
      <c r="L163" s="2"/>
      <c r="M163" s="8"/>
      <c r="N163" s="163" t="str">
        <f t="shared" si="9"/>
        <v/>
      </c>
      <c r="O163" s="126" t="str">
        <f t="shared" si="10"/>
        <v>-</v>
      </c>
      <c r="P163" s="164"/>
      <c r="Q163" s="164"/>
      <c r="R163" s="164"/>
      <c r="S163" s="164"/>
      <c r="T163" s="164"/>
      <c r="U163" s="164"/>
      <c r="V163" s="164"/>
    </row>
    <row r="164" spans="1:25" ht="27" customHeight="1">
      <c r="A164" s="38" t="str">
        <f>IF(ISBLANK(C164)," ",159-COUNTBLANK($C$6:C164))</f>
        <v xml:space="preserve"> </v>
      </c>
      <c r="B164" s="4"/>
      <c r="C164" s="5"/>
      <c r="D164" s="34"/>
      <c r="E164" s="34"/>
      <c r="F164" s="6"/>
      <c r="G164" s="6"/>
      <c r="H164" s="7"/>
      <c r="I164" s="7"/>
      <c r="J164" s="2"/>
      <c r="K164" s="2"/>
      <c r="L164" s="2"/>
      <c r="M164" s="8"/>
      <c r="N164" s="163" t="str">
        <f t="shared" si="9"/>
        <v/>
      </c>
      <c r="O164" s="126" t="str">
        <f t="shared" si="10"/>
        <v>-</v>
      </c>
      <c r="P164" s="164"/>
      <c r="Q164" s="164"/>
      <c r="R164" s="164"/>
      <c r="S164" s="164"/>
      <c r="T164" s="164"/>
      <c r="U164" s="164"/>
      <c r="V164" s="164"/>
    </row>
    <row r="165" spans="1:25" ht="27" customHeight="1">
      <c r="A165" s="38" t="str">
        <f>IF(ISBLANK(C165)," ",160-COUNTBLANK($C$6:C165))</f>
        <v xml:space="preserve"> </v>
      </c>
      <c r="B165" s="4"/>
      <c r="C165" s="5"/>
      <c r="D165" s="34"/>
      <c r="E165" s="34"/>
      <c r="F165" s="6"/>
      <c r="G165" s="6"/>
      <c r="H165" s="7"/>
      <c r="I165" s="7"/>
      <c r="J165" s="2"/>
      <c r="K165" s="2"/>
      <c r="L165" s="2"/>
      <c r="M165" s="8"/>
      <c r="N165" s="163" t="str">
        <f t="shared" si="9"/>
        <v/>
      </c>
      <c r="O165" s="126" t="str">
        <f t="shared" si="10"/>
        <v>-</v>
      </c>
      <c r="P165" s="164"/>
      <c r="Q165" s="164"/>
      <c r="R165" s="164"/>
      <c r="S165" s="164"/>
      <c r="T165" s="164"/>
      <c r="U165" s="164"/>
      <c r="V165" s="164"/>
    </row>
    <row r="166" spans="1:25" ht="27" customHeight="1">
      <c r="A166" s="38" t="str">
        <f>IF(ISBLANK(C166)," ",161-COUNTBLANK($C$6:C166))</f>
        <v xml:space="preserve"> </v>
      </c>
      <c r="B166" s="4"/>
      <c r="C166" s="5"/>
      <c r="D166" s="34"/>
      <c r="E166" s="34"/>
      <c r="F166" s="6"/>
      <c r="G166" s="6"/>
      <c r="H166" s="7"/>
      <c r="I166" s="7"/>
      <c r="J166" s="2"/>
      <c r="K166" s="2"/>
      <c r="L166" s="2"/>
      <c r="M166" s="8"/>
      <c r="N166" s="163" t="str">
        <f t="shared" si="9"/>
        <v/>
      </c>
      <c r="O166" s="126" t="str">
        <f t="shared" si="10"/>
        <v>-</v>
      </c>
      <c r="P166" s="164"/>
      <c r="Q166" s="164"/>
      <c r="R166" s="164"/>
      <c r="S166" s="164"/>
      <c r="T166" s="164"/>
      <c r="U166" s="164"/>
      <c r="V166" s="164"/>
    </row>
    <row r="167" spans="1:25" ht="27" customHeight="1">
      <c r="A167" s="38" t="str">
        <f>IF(ISBLANK(C167)," ",162-COUNTBLANK($C$6:C167))</f>
        <v xml:space="preserve"> </v>
      </c>
      <c r="B167" s="4"/>
      <c r="C167" s="5"/>
      <c r="D167" s="34"/>
      <c r="E167" s="34"/>
      <c r="F167" s="6"/>
      <c r="G167" s="6"/>
      <c r="H167" s="7"/>
      <c r="I167" s="7"/>
      <c r="J167" s="2"/>
      <c r="K167" s="2"/>
      <c r="L167" s="2"/>
      <c r="M167" s="8"/>
      <c r="N167" s="163" t="str">
        <f t="shared" si="9"/>
        <v/>
      </c>
      <c r="O167" s="126" t="str">
        <f t="shared" si="10"/>
        <v>-</v>
      </c>
      <c r="P167" s="164"/>
      <c r="Q167" s="164"/>
      <c r="R167" s="164"/>
      <c r="S167" s="164"/>
      <c r="T167" s="164"/>
      <c r="U167" s="164"/>
      <c r="V167" s="164"/>
    </row>
    <row r="168" spans="1:25" ht="27" customHeight="1">
      <c r="A168" s="38" t="str">
        <f>IF(ISBLANK(C168)," ",163-COUNTBLANK($C$6:C168))</f>
        <v xml:space="preserve"> </v>
      </c>
      <c r="B168" s="4"/>
      <c r="C168" s="5"/>
      <c r="D168" s="34"/>
      <c r="E168" s="34"/>
      <c r="F168" s="6"/>
      <c r="G168" s="6"/>
      <c r="H168" s="7"/>
      <c r="I168" s="7"/>
      <c r="J168" s="2"/>
      <c r="K168" s="2"/>
      <c r="L168" s="2"/>
      <c r="M168" s="8"/>
      <c r="N168" s="163" t="str">
        <f t="shared" si="9"/>
        <v/>
      </c>
      <c r="O168" s="126" t="str">
        <f t="shared" si="10"/>
        <v>-</v>
      </c>
      <c r="P168" s="164"/>
      <c r="Q168" s="164"/>
      <c r="R168" s="164"/>
      <c r="S168" s="164"/>
      <c r="T168" s="164"/>
      <c r="U168" s="164"/>
      <c r="V168" s="165"/>
    </row>
    <row r="169" spans="1:25" ht="27" customHeight="1">
      <c r="A169" s="38" t="str">
        <f>IF(ISBLANK(C169)," ",164-COUNTBLANK($C$6:C169))</f>
        <v xml:space="preserve"> </v>
      </c>
      <c r="B169" s="4"/>
      <c r="C169" s="5"/>
      <c r="D169" s="34"/>
      <c r="E169" s="34"/>
      <c r="F169" s="6"/>
      <c r="G169" s="6"/>
      <c r="H169" s="7"/>
      <c r="I169" s="7"/>
      <c r="J169" s="2"/>
      <c r="K169" s="2"/>
      <c r="L169" s="2"/>
      <c r="M169" s="8"/>
      <c r="N169" s="163" t="str">
        <f t="shared" si="9"/>
        <v/>
      </c>
      <c r="O169" s="126" t="str">
        <f t="shared" si="10"/>
        <v>-</v>
      </c>
      <c r="P169" s="164"/>
      <c r="Q169" s="164"/>
      <c r="R169" s="164"/>
      <c r="S169" s="164"/>
      <c r="T169" s="164"/>
      <c r="U169" s="164"/>
      <c r="V169" s="165"/>
    </row>
    <row r="170" spans="1:25" ht="27" customHeight="1">
      <c r="A170" s="38" t="str">
        <f>IF(ISBLANK(C170)," ",165-COUNTBLANK($C$6:C170))</f>
        <v xml:space="preserve"> </v>
      </c>
      <c r="B170" s="4"/>
      <c r="C170" s="5"/>
      <c r="D170" s="34"/>
      <c r="E170" s="34"/>
      <c r="F170" s="6"/>
      <c r="G170" s="6"/>
      <c r="H170" s="7"/>
      <c r="I170" s="7"/>
      <c r="J170" s="2"/>
      <c r="K170" s="2"/>
      <c r="L170" s="2"/>
      <c r="M170" s="8"/>
      <c r="N170" s="163" t="str">
        <f t="shared" si="9"/>
        <v/>
      </c>
      <c r="O170" s="126" t="str">
        <f t="shared" si="10"/>
        <v>-</v>
      </c>
      <c r="P170" s="164"/>
      <c r="Q170" s="164"/>
      <c r="R170" s="164"/>
      <c r="S170" s="164"/>
      <c r="T170" s="164"/>
      <c r="U170" s="164"/>
      <c r="V170" s="165"/>
    </row>
    <row r="171" spans="1:25" ht="27" customHeight="1">
      <c r="A171" s="38" t="str">
        <f>IF(ISBLANK(C171)," ",166-COUNTBLANK($C$6:C171))</f>
        <v xml:space="preserve"> </v>
      </c>
      <c r="B171" s="4"/>
      <c r="C171" s="5"/>
      <c r="D171" s="34"/>
      <c r="E171" s="34"/>
      <c r="F171" s="6"/>
      <c r="G171" s="6"/>
      <c r="H171" s="7"/>
      <c r="I171" s="7"/>
      <c r="J171" s="2"/>
      <c r="K171" s="2"/>
      <c r="L171" s="2"/>
      <c r="M171" s="8"/>
      <c r="N171" s="163" t="str">
        <f t="shared" si="9"/>
        <v/>
      </c>
      <c r="O171" s="126" t="str">
        <f t="shared" si="10"/>
        <v>-</v>
      </c>
      <c r="P171" s="164"/>
      <c r="Q171" s="164"/>
      <c r="R171" s="164"/>
      <c r="S171" s="164"/>
      <c r="T171" s="164"/>
      <c r="U171" s="164"/>
      <c r="V171" s="165"/>
    </row>
    <row r="172" spans="1:25" ht="27" customHeight="1">
      <c r="A172" s="39" t="str">
        <f>IF(ISBLANK(C172)," ",167-COUNTBLANK($C$6:C172))</f>
        <v xml:space="preserve"> </v>
      </c>
      <c r="B172" s="14"/>
      <c r="C172" s="15"/>
      <c r="D172" s="35"/>
      <c r="E172" s="35"/>
      <c r="F172" s="16"/>
      <c r="G172" s="16"/>
      <c r="H172" s="17"/>
      <c r="I172" s="17"/>
      <c r="J172" s="3"/>
      <c r="K172" s="3"/>
      <c r="L172" s="3"/>
      <c r="M172" s="18"/>
      <c r="N172" s="163" t="str">
        <f t="shared" si="9"/>
        <v/>
      </c>
      <c r="O172" s="126" t="str">
        <f t="shared" si="10"/>
        <v>-</v>
      </c>
      <c r="P172" s="164"/>
      <c r="Q172" s="164"/>
      <c r="R172" s="164"/>
      <c r="S172" s="164"/>
      <c r="T172" s="164"/>
      <c r="U172" s="164"/>
      <c r="V172" s="166"/>
      <c r="W172" s="164"/>
      <c r="X172" s="164"/>
      <c r="Y172" s="164"/>
    </row>
    <row r="173" spans="1:25" ht="27" customHeight="1">
      <c r="A173" s="172" t="s">
        <v>44</v>
      </c>
      <c r="B173" s="173"/>
      <c r="C173" s="174"/>
      <c r="D173" s="175"/>
      <c r="E173" s="175">
        <f>SUM(E153:E172)</f>
        <v>0</v>
      </c>
      <c r="F173" s="176"/>
      <c r="G173" s="176"/>
      <c r="H173" s="176"/>
      <c r="I173" s="176"/>
      <c r="J173" s="176"/>
      <c r="K173" s="176"/>
      <c r="L173" s="176"/>
      <c r="M173" s="177"/>
      <c r="N173" s="163" t="str">
        <f t="shared" si="9"/>
        <v/>
      </c>
      <c r="O173" s="126"/>
      <c r="P173" s="164"/>
      <c r="Q173" s="164"/>
      <c r="R173" s="164"/>
      <c r="S173" s="164"/>
      <c r="T173" s="164"/>
      <c r="U173" s="164"/>
      <c r="V173" s="166"/>
      <c r="W173" s="164"/>
      <c r="X173" s="164"/>
      <c r="Y173" s="164"/>
    </row>
    <row r="174" spans="1:25" ht="27" customHeight="1">
      <c r="A174" s="37" t="str">
        <f>IF(ISBLANK(C174)," ",169-COUNTBLANK($C$6:C174))</f>
        <v xml:space="preserve"> </v>
      </c>
      <c r="B174" s="9"/>
      <c r="C174" s="10"/>
      <c r="D174" s="33"/>
      <c r="E174" s="33"/>
      <c r="F174" s="11"/>
      <c r="G174" s="11"/>
      <c r="H174" s="12"/>
      <c r="I174" s="12"/>
      <c r="J174" s="32"/>
      <c r="K174" s="32"/>
      <c r="L174" s="32"/>
      <c r="M174" s="13"/>
      <c r="N174" s="163" t="str">
        <f t="shared" si="9"/>
        <v/>
      </c>
      <c r="O174" s="126" t="str">
        <f>IF(D174&gt;=E174,"-","ERR")</f>
        <v>-</v>
      </c>
      <c r="P174" s="164"/>
      <c r="Q174" s="164"/>
      <c r="R174" s="164"/>
      <c r="S174" s="164"/>
      <c r="T174" s="164"/>
      <c r="U174" s="164"/>
      <c r="V174" s="164"/>
    </row>
    <row r="175" spans="1:25" ht="27" customHeight="1">
      <c r="A175" s="38" t="str">
        <f>IF(ISBLANK(C175)," ",170-COUNTBLANK($C$6:C175))</f>
        <v xml:space="preserve"> </v>
      </c>
      <c r="B175" s="4"/>
      <c r="C175" s="5"/>
      <c r="D175" s="34"/>
      <c r="E175" s="34"/>
      <c r="F175" s="6"/>
      <c r="G175" s="6"/>
      <c r="H175" s="7"/>
      <c r="I175" s="7"/>
      <c r="J175" s="2"/>
      <c r="K175" s="2"/>
      <c r="L175" s="2"/>
      <c r="M175" s="8"/>
      <c r="N175" s="163" t="str">
        <f t="shared" si="9"/>
        <v/>
      </c>
      <c r="O175" s="126" t="str">
        <f t="shared" ref="O175:O193" si="11">IF(D175&gt;=E175,"-","ERR")</f>
        <v>-</v>
      </c>
      <c r="P175" s="164"/>
      <c r="Q175" s="164"/>
      <c r="R175" s="164"/>
      <c r="S175" s="164"/>
      <c r="T175" s="164"/>
      <c r="U175" s="164"/>
      <c r="V175" s="164"/>
    </row>
    <row r="176" spans="1:25" ht="27" customHeight="1">
      <c r="A176" s="38" t="str">
        <f>IF(ISBLANK(C176)," ",171-COUNTBLANK($C$6:C176))</f>
        <v xml:space="preserve"> </v>
      </c>
      <c r="B176" s="4"/>
      <c r="C176" s="5"/>
      <c r="D176" s="34"/>
      <c r="E176" s="34"/>
      <c r="F176" s="6"/>
      <c r="G176" s="6"/>
      <c r="H176" s="7"/>
      <c r="I176" s="7"/>
      <c r="J176" s="2"/>
      <c r="K176" s="2"/>
      <c r="L176" s="2"/>
      <c r="M176" s="8"/>
      <c r="N176" s="163" t="str">
        <f t="shared" si="9"/>
        <v/>
      </c>
      <c r="O176" s="126" t="str">
        <f t="shared" si="11"/>
        <v>-</v>
      </c>
      <c r="P176" s="164"/>
      <c r="Q176" s="164"/>
      <c r="R176" s="164"/>
      <c r="S176" s="164"/>
      <c r="T176" s="164"/>
      <c r="U176" s="164"/>
      <c r="V176" s="164"/>
    </row>
    <row r="177" spans="1:22" ht="27" customHeight="1">
      <c r="A177" s="38" t="str">
        <f>IF(ISBLANK(C177)," ",172-COUNTBLANK($C$6:C177))</f>
        <v xml:space="preserve"> </v>
      </c>
      <c r="B177" s="4"/>
      <c r="C177" s="5"/>
      <c r="D177" s="34"/>
      <c r="E177" s="34"/>
      <c r="F177" s="6"/>
      <c r="G177" s="6"/>
      <c r="H177" s="7"/>
      <c r="I177" s="7"/>
      <c r="J177" s="2"/>
      <c r="K177" s="2"/>
      <c r="L177" s="2"/>
      <c r="M177" s="8"/>
      <c r="N177" s="163" t="str">
        <f t="shared" si="9"/>
        <v/>
      </c>
      <c r="O177" s="126" t="str">
        <f t="shared" si="11"/>
        <v>-</v>
      </c>
      <c r="P177" s="164"/>
      <c r="Q177" s="164"/>
      <c r="R177" s="164"/>
      <c r="S177" s="164"/>
      <c r="T177" s="164"/>
      <c r="U177" s="164"/>
      <c r="V177" s="164"/>
    </row>
    <row r="178" spans="1:22" ht="27" customHeight="1">
      <c r="A178" s="38" t="str">
        <f>IF(ISBLANK(C178)," ",173-COUNTBLANK($C$6:C178))</f>
        <v xml:space="preserve"> </v>
      </c>
      <c r="B178" s="4"/>
      <c r="C178" s="5"/>
      <c r="D178" s="34"/>
      <c r="E178" s="34"/>
      <c r="F178" s="6"/>
      <c r="G178" s="6"/>
      <c r="H178" s="7"/>
      <c r="I178" s="7"/>
      <c r="J178" s="2"/>
      <c r="K178" s="2"/>
      <c r="L178" s="2"/>
      <c r="M178" s="8"/>
      <c r="N178" s="163" t="str">
        <f t="shared" si="9"/>
        <v/>
      </c>
      <c r="O178" s="126" t="str">
        <f t="shared" si="11"/>
        <v>-</v>
      </c>
      <c r="P178" s="164"/>
      <c r="Q178" s="164"/>
      <c r="R178" s="164"/>
      <c r="S178" s="164"/>
      <c r="T178" s="164"/>
      <c r="U178" s="164"/>
      <c r="V178" s="164"/>
    </row>
    <row r="179" spans="1:22" ht="27" customHeight="1">
      <c r="A179" s="38" t="str">
        <f>IF(ISBLANK(C179)," ",174-COUNTBLANK($C$6:C179))</f>
        <v xml:space="preserve"> </v>
      </c>
      <c r="B179" s="4"/>
      <c r="C179" s="5"/>
      <c r="D179" s="34"/>
      <c r="E179" s="34"/>
      <c r="F179" s="6"/>
      <c r="G179" s="6"/>
      <c r="H179" s="7"/>
      <c r="I179" s="7"/>
      <c r="J179" s="2"/>
      <c r="K179" s="2"/>
      <c r="L179" s="2"/>
      <c r="M179" s="8"/>
      <c r="N179" s="163" t="str">
        <f t="shared" si="9"/>
        <v/>
      </c>
      <c r="O179" s="126" t="str">
        <f t="shared" si="11"/>
        <v>-</v>
      </c>
      <c r="P179" s="164"/>
      <c r="Q179" s="164"/>
      <c r="R179" s="164"/>
      <c r="S179" s="164"/>
      <c r="T179" s="164"/>
      <c r="U179" s="164"/>
      <c r="V179" s="164"/>
    </row>
    <row r="180" spans="1:22" ht="27" customHeight="1">
      <c r="A180" s="38" t="str">
        <f>IF(ISBLANK(C180)," ",175-COUNTBLANK($C$6:C180))</f>
        <v xml:space="preserve"> </v>
      </c>
      <c r="B180" s="4"/>
      <c r="C180" s="5"/>
      <c r="D180" s="34"/>
      <c r="E180" s="34"/>
      <c r="F180" s="6"/>
      <c r="G180" s="6"/>
      <c r="H180" s="7"/>
      <c r="I180" s="7"/>
      <c r="J180" s="2"/>
      <c r="K180" s="2"/>
      <c r="L180" s="2"/>
      <c r="M180" s="8"/>
      <c r="N180" s="163" t="str">
        <f t="shared" si="9"/>
        <v/>
      </c>
      <c r="O180" s="126" t="str">
        <f t="shared" si="11"/>
        <v>-</v>
      </c>
      <c r="P180" s="164"/>
      <c r="Q180" s="164"/>
      <c r="R180" s="164"/>
      <c r="S180" s="164"/>
      <c r="T180" s="164"/>
      <c r="U180" s="164"/>
      <c r="V180" s="164"/>
    </row>
    <row r="181" spans="1:22" ht="27" customHeight="1">
      <c r="A181" s="38" t="str">
        <f>IF(ISBLANK(C181)," ",176-COUNTBLANK($C$6:C181))</f>
        <v xml:space="preserve"> </v>
      </c>
      <c r="B181" s="4"/>
      <c r="C181" s="5"/>
      <c r="D181" s="34"/>
      <c r="E181" s="34"/>
      <c r="F181" s="6"/>
      <c r="G181" s="6"/>
      <c r="H181" s="7"/>
      <c r="I181" s="7"/>
      <c r="J181" s="2"/>
      <c r="K181" s="2"/>
      <c r="L181" s="2"/>
      <c r="M181" s="8"/>
      <c r="N181" s="163" t="str">
        <f t="shared" si="9"/>
        <v/>
      </c>
      <c r="O181" s="126" t="str">
        <f t="shared" si="11"/>
        <v>-</v>
      </c>
      <c r="P181" s="164"/>
      <c r="Q181" s="164"/>
      <c r="R181" s="164"/>
      <c r="S181" s="164"/>
      <c r="T181" s="164"/>
      <c r="U181" s="164"/>
      <c r="V181" s="164"/>
    </row>
    <row r="182" spans="1:22" ht="27" customHeight="1">
      <c r="A182" s="38" t="str">
        <f>IF(ISBLANK(C182)," ",177-COUNTBLANK($C$6:C182))</f>
        <v xml:space="preserve"> </v>
      </c>
      <c r="B182" s="4"/>
      <c r="C182" s="5"/>
      <c r="D182" s="34"/>
      <c r="E182" s="34"/>
      <c r="F182" s="6"/>
      <c r="G182" s="6"/>
      <c r="H182" s="7"/>
      <c r="I182" s="7"/>
      <c r="J182" s="2"/>
      <c r="K182" s="2"/>
      <c r="L182" s="2"/>
      <c r="M182" s="8"/>
      <c r="N182" s="163" t="str">
        <f t="shared" si="9"/>
        <v/>
      </c>
      <c r="O182" s="126" t="str">
        <f t="shared" si="11"/>
        <v>-</v>
      </c>
      <c r="P182" s="164"/>
      <c r="Q182" s="164"/>
      <c r="R182" s="164"/>
      <c r="S182" s="164"/>
      <c r="T182" s="164"/>
      <c r="U182" s="164"/>
      <c r="V182" s="164"/>
    </row>
    <row r="183" spans="1:22" ht="27" customHeight="1">
      <c r="A183" s="38" t="str">
        <f>IF(ISBLANK(C183)," ",178-COUNTBLANK($C$6:C183))</f>
        <v xml:space="preserve"> </v>
      </c>
      <c r="B183" s="4"/>
      <c r="C183" s="5"/>
      <c r="D183" s="34"/>
      <c r="E183" s="34"/>
      <c r="F183" s="6"/>
      <c r="G183" s="6"/>
      <c r="H183" s="7"/>
      <c r="I183" s="7"/>
      <c r="J183" s="2"/>
      <c r="K183" s="2"/>
      <c r="L183" s="2"/>
      <c r="M183" s="8"/>
      <c r="N183" s="163" t="str">
        <f t="shared" si="9"/>
        <v/>
      </c>
      <c r="O183" s="126" t="str">
        <f t="shared" si="11"/>
        <v>-</v>
      </c>
      <c r="P183" s="164"/>
      <c r="Q183" s="164"/>
      <c r="R183" s="164"/>
      <c r="S183" s="164"/>
      <c r="T183" s="164"/>
      <c r="U183" s="164"/>
      <c r="V183" s="164"/>
    </row>
    <row r="184" spans="1:22" ht="27" customHeight="1">
      <c r="A184" s="38" t="str">
        <f>IF(ISBLANK(C184)," ",179-COUNTBLANK($C$6:C184))</f>
        <v xml:space="preserve"> </v>
      </c>
      <c r="B184" s="4"/>
      <c r="C184" s="5"/>
      <c r="D184" s="34"/>
      <c r="E184" s="34"/>
      <c r="F184" s="6"/>
      <c r="G184" s="6"/>
      <c r="H184" s="7"/>
      <c r="I184" s="7"/>
      <c r="J184" s="2"/>
      <c r="K184" s="2"/>
      <c r="L184" s="2"/>
      <c r="M184" s="8"/>
      <c r="N184" s="163" t="str">
        <f t="shared" si="9"/>
        <v/>
      </c>
      <c r="O184" s="126" t="str">
        <f t="shared" si="11"/>
        <v>-</v>
      </c>
      <c r="P184" s="164"/>
      <c r="Q184" s="164"/>
      <c r="R184" s="164"/>
      <c r="S184" s="164"/>
      <c r="T184" s="164"/>
      <c r="U184" s="164"/>
      <c r="V184" s="164"/>
    </row>
    <row r="185" spans="1:22" ht="27" customHeight="1">
      <c r="A185" s="38" t="str">
        <f>IF(ISBLANK(C185)," ",180-COUNTBLANK($C$6:C185))</f>
        <v xml:space="preserve"> </v>
      </c>
      <c r="B185" s="4"/>
      <c r="C185" s="5"/>
      <c r="D185" s="34"/>
      <c r="E185" s="34"/>
      <c r="F185" s="6"/>
      <c r="G185" s="6"/>
      <c r="H185" s="7"/>
      <c r="I185" s="7"/>
      <c r="J185" s="2"/>
      <c r="K185" s="2"/>
      <c r="L185" s="2"/>
      <c r="M185" s="8"/>
      <c r="N185" s="163" t="str">
        <f t="shared" si="9"/>
        <v/>
      </c>
      <c r="O185" s="126" t="str">
        <f t="shared" si="11"/>
        <v>-</v>
      </c>
      <c r="P185" s="164"/>
      <c r="Q185" s="164"/>
      <c r="R185" s="164"/>
      <c r="S185" s="164"/>
      <c r="T185" s="164"/>
      <c r="U185" s="164"/>
      <c r="V185" s="164"/>
    </row>
    <row r="186" spans="1:22" ht="27" customHeight="1">
      <c r="A186" s="38" t="str">
        <f>IF(ISBLANK(C186)," ",181-COUNTBLANK($C$6:C186))</f>
        <v xml:space="preserve"> </v>
      </c>
      <c r="B186" s="4"/>
      <c r="C186" s="5"/>
      <c r="D186" s="34"/>
      <c r="E186" s="34"/>
      <c r="F186" s="6"/>
      <c r="G186" s="6"/>
      <c r="H186" s="7"/>
      <c r="I186" s="7"/>
      <c r="J186" s="2"/>
      <c r="K186" s="2"/>
      <c r="L186" s="2"/>
      <c r="M186" s="8"/>
      <c r="N186" s="163" t="str">
        <f t="shared" si="9"/>
        <v/>
      </c>
      <c r="O186" s="126" t="str">
        <f t="shared" si="11"/>
        <v>-</v>
      </c>
      <c r="P186" s="164"/>
      <c r="Q186" s="164"/>
      <c r="R186" s="164"/>
      <c r="S186" s="164"/>
      <c r="T186" s="164"/>
      <c r="U186" s="164"/>
      <c r="V186" s="164"/>
    </row>
    <row r="187" spans="1:22" ht="27" customHeight="1">
      <c r="A187" s="38" t="str">
        <f>IF(ISBLANK(C187)," ",182-COUNTBLANK($C$6:C187))</f>
        <v xml:space="preserve"> </v>
      </c>
      <c r="B187" s="4"/>
      <c r="C187" s="5"/>
      <c r="D187" s="34"/>
      <c r="E187" s="34"/>
      <c r="F187" s="6"/>
      <c r="G187" s="6"/>
      <c r="H187" s="7"/>
      <c r="I187" s="7"/>
      <c r="J187" s="2"/>
      <c r="K187" s="2"/>
      <c r="L187" s="2"/>
      <c r="M187" s="8"/>
      <c r="N187" s="163" t="str">
        <f t="shared" si="9"/>
        <v/>
      </c>
      <c r="O187" s="126" t="str">
        <f t="shared" si="11"/>
        <v>-</v>
      </c>
      <c r="P187" s="164"/>
      <c r="Q187" s="164"/>
      <c r="R187" s="164"/>
      <c r="S187" s="164"/>
      <c r="T187" s="164"/>
      <c r="U187" s="164"/>
      <c r="V187" s="164"/>
    </row>
    <row r="188" spans="1:22" ht="27" customHeight="1">
      <c r="A188" s="38" t="str">
        <f>IF(ISBLANK(C188)," ",183-COUNTBLANK($C$6:C188))</f>
        <v xml:space="preserve"> </v>
      </c>
      <c r="B188" s="4"/>
      <c r="C188" s="5"/>
      <c r="D188" s="34"/>
      <c r="E188" s="34"/>
      <c r="F188" s="6"/>
      <c r="G188" s="6"/>
      <c r="H188" s="7"/>
      <c r="I188" s="7"/>
      <c r="J188" s="2"/>
      <c r="K188" s="2"/>
      <c r="L188" s="2"/>
      <c r="M188" s="8"/>
      <c r="N188" s="163" t="str">
        <f t="shared" si="9"/>
        <v/>
      </c>
      <c r="O188" s="126" t="str">
        <f t="shared" si="11"/>
        <v>-</v>
      </c>
      <c r="P188" s="164"/>
      <c r="Q188" s="164"/>
      <c r="R188" s="164"/>
      <c r="S188" s="164"/>
      <c r="T188" s="164"/>
      <c r="U188" s="164"/>
      <c r="V188" s="164"/>
    </row>
    <row r="189" spans="1:22" ht="27" customHeight="1">
      <c r="A189" s="38" t="str">
        <f>IF(ISBLANK(C189)," ",184-COUNTBLANK($C$6:C189))</f>
        <v xml:space="preserve"> </v>
      </c>
      <c r="B189" s="4"/>
      <c r="C189" s="5"/>
      <c r="D189" s="34"/>
      <c r="E189" s="34"/>
      <c r="F189" s="6"/>
      <c r="G189" s="6"/>
      <c r="H189" s="7"/>
      <c r="I189" s="7"/>
      <c r="J189" s="2"/>
      <c r="K189" s="2"/>
      <c r="L189" s="2"/>
      <c r="M189" s="8"/>
      <c r="N189" s="163" t="str">
        <f t="shared" si="9"/>
        <v/>
      </c>
      <c r="O189" s="126" t="str">
        <f t="shared" si="11"/>
        <v>-</v>
      </c>
      <c r="P189" s="164"/>
      <c r="Q189" s="164"/>
      <c r="R189" s="164"/>
      <c r="S189" s="164"/>
      <c r="T189" s="164"/>
      <c r="U189" s="164"/>
      <c r="V189" s="165"/>
    </row>
    <row r="190" spans="1:22" ht="27" customHeight="1">
      <c r="A190" s="38" t="str">
        <f>IF(ISBLANK(C190)," ",185-COUNTBLANK($C$6:C190))</f>
        <v xml:space="preserve"> </v>
      </c>
      <c r="B190" s="4"/>
      <c r="C190" s="5"/>
      <c r="D190" s="34"/>
      <c r="E190" s="34"/>
      <c r="F190" s="6"/>
      <c r="G190" s="6"/>
      <c r="H190" s="7"/>
      <c r="I190" s="7"/>
      <c r="J190" s="2"/>
      <c r="K190" s="2"/>
      <c r="L190" s="2"/>
      <c r="M190" s="8"/>
      <c r="N190" s="163" t="str">
        <f t="shared" si="9"/>
        <v/>
      </c>
      <c r="O190" s="126" t="str">
        <f t="shared" si="11"/>
        <v>-</v>
      </c>
      <c r="P190" s="164"/>
      <c r="Q190" s="164"/>
      <c r="R190" s="164"/>
      <c r="S190" s="164"/>
      <c r="T190" s="164"/>
      <c r="U190" s="164"/>
      <c r="V190" s="165"/>
    </row>
    <row r="191" spans="1:22" ht="27" customHeight="1">
      <c r="A191" s="38" t="str">
        <f>IF(ISBLANK(C191)," ",186-COUNTBLANK($C$6:C191))</f>
        <v xml:space="preserve"> </v>
      </c>
      <c r="B191" s="4"/>
      <c r="C191" s="5"/>
      <c r="D191" s="34"/>
      <c r="E191" s="34"/>
      <c r="F191" s="6"/>
      <c r="G191" s="6"/>
      <c r="H191" s="7"/>
      <c r="I191" s="7"/>
      <c r="J191" s="2"/>
      <c r="K191" s="2"/>
      <c r="L191" s="2"/>
      <c r="M191" s="8"/>
      <c r="N191" s="163" t="str">
        <f t="shared" si="9"/>
        <v/>
      </c>
      <c r="O191" s="126" t="str">
        <f t="shared" si="11"/>
        <v>-</v>
      </c>
      <c r="P191" s="164"/>
      <c r="Q191" s="164"/>
      <c r="R191" s="164"/>
      <c r="S191" s="164"/>
      <c r="T191" s="164"/>
      <c r="U191" s="164"/>
      <c r="V191" s="165"/>
    </row>
    <row r="192" spans="1:22" ht="27" customHeight="1">
      <c r="A192" s="38" t="str">
        <f>IF(ISBLANK(C192)," ",187-COUNTBLANK($C$6:C192))</f>
        <v xml:space="preserve"> </v>
      </c>
      <c r="B192" s="4"/>
      <c r="C192" s="5"/>
      <c r="D192" s="34"/>
      <c r="E192" s="34"/>
      <c r="F192" s="6"/>
      <c r="G192" s="6"/>
      <c r="H192" s="7"/>
      <c r="I192" s="7"/>
      <c r="J192" s="2"/>
      <c r="K192" s="2"/>
      <c r="L192" s="2"/>
      <c r="M192" s="8"/>
      <c r="N192" s="163" t="str">
        <f t="shared" si="9"/>
        <v/>
      </c>
      <c r="O192" s="126" t="str">
        <f t="shared" si="11"/>
        <v>-</v>
      </c>
      <c r="P192" s="164"/>
      <c r="Q192" s="164"/>
      <c r="R192" s="164"/>
      <c r="S192" s="164"/>
      <c r="T192" s="164"/>
      <c r="U192" s="164"/>
      <c r="V192" s="165"/>
    </row>
    <row r="193" spans="1:25" ht="27" customHeight="1">
      <c r="A193" s="39" t="str">
        <f>IF(ISBLANK(C193)," ",188-COUNTBLANK($C$6:C193))</f>
        <v xml:space="preserve"> </v>
      </c>
      <c r="B193" s="14"/>
      <c r="C193" s="15"/>
      <c r="D193" s="35"/>
      <c r="E193" s="35"/>
      <c r="F193" s="16"/>
      <c r="G193" s="16"/>
      <c r="H193" s="17"/>
      <c r="I193" s="17"/>
      <c r="J193" s="3"/>
      <c r="K193" s="3"/>
      <c r="L193" s="3"/>
      <c r="M193" s="18"/>
      <c r="N193" s="163" t="str">
        <f t="shared" si="9"/>
        <v/>
      </c>
      <c r="O193" s="126" t="str">
        <f t="shared" si="11"/>
        <v>-</v>
      </c>
      <c r="P193" s="164"/>
      <c r="Q193" s="164"/>
      <c r="R193" s="164"/>
      <c r="S193" s="164"/>
      <c r="T193" s="164"/>
      <c r="U193" s="164"/>
      <c r="V193" s="166"/>
      <c r="W193" s="164"/>
      <c r="X193" s="164"/>
      <c r="Y193" s="164"/>
    </row>
    <row r="194" spans="1:25" ht="27" customHeight="1">
      <c r="A194" s="172" t="s">
        <v>44</v>
      </c>
      <c r="B194" s="173"/>
      <c r="C194" s="174"/>
      <c r="D194" s="175"/>
      <c r="E194" s="175">
        <f>SUM(E174:E193)</f>
        <v>0</v>
      </c>
      <c r="F194" s="176"/>
      <c r="G194" s="176"/>
      <c r="H194" s="176"/>
      <c r="I194" s="176"/>
      <c r="J194" s="176"/>
      <c r="K194" s="176"/>
      <c r="L194" s="176"/>
      <c r="M194" s="177"/>
      <c r="N194" s="163" t="str">
        <f t="shared" si="9"/>
        <v/>
      </c>
      <c r="O194" s="126"/>
      <c r="P194" s="164"/>
      <c r="Q194" s="164"/>
      <c r="R194" s="164"/>
      <c r="S194" s="164"/>
      <c r="T194" s="164"/>
      <c r="U194" s="164"/>
      <c r="V194" s="166"/>
      <c r="W194" s="164"/>
      <c r="X194" s="164"/>
      <c r="Y194" s="164"/>
    </row>
    <row r="195" spans="1:25" ht="27" customHeight="1">
      <c r="A195" s="37" t="str">
        <f>IF(ISBLANK(C195)," ",190-COUNTBLANK($C$6:C195))</f>
        <v xml:space="preserve"> </v>
      </c>
      <c r="B195" s="9"/>
      <c r="C195" s="10"/>
      <c r="D195" s="33"/>
      <c r="E195" s="33"/>
      <c r="F195" s="11"/>
      <c r="G195" s="11"/>
      <c r="H195" s="12"/>
      <c r="I195" s="12"/>
      <c r="J195" s="32"/>
      <c r="K195" s="32"/>
      <c r="L195" s="32"/>
      <c r="M195" s="13"/>
      <c r="N195" s="163" t="str">
        <f t="shared" si="9"/>
        <v/>
      </c>
      <c r="O195" s="126" t="str">
        <f>IF(D195&gt;=E195,"-","ERR")</f>
        <v>-</v>
      </c>
      <c r="P195" s="164"/>
      <c r="Q195" s="164"/>
      <c r="R195" s="164"/>
      <c r="S195" s="164"/>
      <c r="T195" s="164"/>
      <c r="U195" s="164"/>
      <c r="V195" s="164"/>
    </row>
    <row r="196" spans="1:25" ht="27" customHeight="1">
      <c r="A196" s="38" t="str">
        <f>IF(ISBLANK(C196)," ",191-COUNTBLANK($C$6:C196))</f>
        <v xml:space="preserve"> </v>
      </c>
      <c r="B196" s="4"/>
      <c r="C196" s="5"/>
      <c r="D196" s="34"/>
      <c r="E196" s="34"/>
      <c r="F196" s="6"/>
      <c r="G196" s="6"/>
      <c r="H196" s="7"/>
      <c r="I196" s="7"/>
      <c r="J196" s="2"/>
      <c r="K196" s="2"/>
      <c r="L196" s="2"/>
      <c r="M196" s="8"/>
      <c r="N196" s="163" t="str">
        <f t="shared" si="9"/>
        <v/>
      </c>
      <c r="O196" s="126" t="str">
        <f t="shared" ref="O196:O214" si="12">IF(D196&gt;=E196,"-","ERR")</f>
        <v>-</v>
      </c>
      <c r="P196" s="164"/>
      <c r="Q196" s="164"/>
      <c r="R196" s="164"/>
      <c r="S196" s="164"/>
      <c r="T196" s="164"/>
      <c r="U196" s="164"/>
      <c r="V196" s="164"/>
    </row>
    <row r="197" spans="1:25" ht="27" customHeight="1">
      <c r="A197" s="38" t="str">
        <f>IF(ISBLANK(C197)," ",192-COUNTBLANK($C$6:C197))</f>
        <v xml:space="preserve"> </v>
      </c>
      <c r="B197" s="4"/>
      <c r="C197" s="5"/>
      <c r="D197" s="34"/>
      <c r="E197" s="34"/>
      <c r="F197" s="6"/>
      <c r="G197" s="6"/>
      <c r="H197" s="7"/>
      <c r="I197" s="7"/>
      <c r="J197" s="2"/>
      <c r="K197" s="2"/>
      <c r="L197" s="2"/>
      <c r="M197" s="8"/>
      <c r="N197" s="163" t="str">
        <f t="shared" si="9"/>
        <v/>
      </c>
      <c r="O197" s="126" t="str">
        <f t="shared" si="12"/>
        <v>-</v>
      </c>
      <c r="P197" s="164"/>
      <c r="Q197" s="164"/>
      <c r="R197" s="164"/>
      <c r="S197" s="164"/>
      <c r="T197" s="164"/>
      <c r="U197" s="164"/>
      <c r="V197" s="164"/>
    </row>
    <row r="198" spans="1:25" ht="27" customHeight="1">
      <c r="A198" s="38" t="str">
        <f>IF(ISBLANK(C198)," ",193-COUNTBLANK($C$6:C198))</f>
        <v xml:space="preserve"> </v>
      </c>
      <c r="B198" s="4"/>
      <c r="C198" s="5"/>
      <c r="D198" s="34"/>
      <c r="E198" s="34"/>
      <c r="F198" s="6"/>
      <c r="G198" s="6"/>
      <c r="H198" s="7"/>
      <c r="I198" s="7"/>
      <c r="J198" s="2"/>
      <c r="K198" s="2"/>
      <c r="L198" s="2"/>
      <c r="M198" s="8"/>
      <c r="N198" s="163" t="str">
        <f t="shared" si="9"/>
        <v/>
      </c>
      <c r="O198" s="126" t="str">
        <f t="shared" si="12"/>
        <v>-</v>
      </c>
      <c r="P198" s="164"/>
      <c r="Q198" s="164"/>
      <c r="R198" s="164"/>
      <c r="S198" s="164"/>
      <c r="T198" s="164"/>
      <c r="U198" s="164"/>
      <c r="V198" s="164"/>
    </row>
    <row r="199" spans="1:25" ht="27" customHeight="1">
      <c r="A199" s="38" t="str">
        <f>IF(ISBLANK(C199)," ",194-COUNTBLANK($C$6:C199))</f>
        <v xml:space="preserve"> </v>
      </c>
      <c r="B199" s="4"/>
      <c r="C199" s="5"/>
      <c r="D199" s="34"/>
      <c r="E199" s="34"/>
      <c r="F199" s="6"/>
      <c r="G199" s="6"/>
      <c r="H199" s="7"/>
      <c r="I199" s="7"/>
      <c r="J199" s="2"/>
      <c r="K199" s="2"/>
      <c r="L199" s="2"/>
      <c r="M199" s="8"/>
      <c r="N199" s="163" t="str">
        <f t="shared" ref="N199:N232" si="13">CONCATENATE(C199,H199)</f>
        <v/>
      </c>
      <c r="O199" s="126" t="str">
        <f t="shared" si="12"/>
        <v>-</v>
      </c>
      <c r="P199" s="164"/>
      <c r="Q199" s="164"/>
      <c r="R199" s="164"/>
      <c r="S199" s="164"/>
      <c r="T199" s="164"/>
      <c r="U199" s="164"/>
      <c r="V199" s="164"/>
    </row>
    <row r="200" spans="1:25" ht="27" customHeight="1">
      <c r="A200" s="38" t="str">
        <f>IF(ISBLANK(C200)," ",195-COUNTBLANK($C$6:C200))</f>
        <v xml:space="preserve"> </v>
      </c>
      <c r="B200" s="4"/>
      <c r="C200" s="5"/>
      <c r="D200" s="34"/>
      <c r="E200" s="34"/>
      <c r="F200" s="6"/>
      <c r="G200" s="6"/>
      <c r="H200" s="7"/>
      <c r="I200" s="7"/>
      <c r="J200" s="2"/>
      <c r="K200" s="2"/>
      <c r="L200" s="2"/>
      <c r="M200" s="8"/>
      <c r="N200" s="163" t="str">
        <f t="shared" si="13"/>
        <v/>
      </c>
      <c r="O200" s="126" t="str">
        <f t="shared" si="12"/>
        <v>-</v>
      </c>
      <c r="P200" s="164"/>
      <c r="Q200" s="164"/>
      <c r="R200" s="164"/>
      <c r="S200" s="164"/>
      <c r="T200" s="164"/>
      <c r="U200" s="164"/>
      <c r="V200" s="164"/>
    </row>
    <row r="201" spans="1:25" ht="27" customHeight="1">
      <c r="A201" s="38" t="str">
        <f>IF(ISBLANK(C201)," ",196-COUNTBLANK($C$6:C201))</f>
        <v xml:space="preserve"> </v>
      </c>
      <c r="B201" s="4"/>
      <c r="C201" s="5"/>
      <c r="D201" s="34"/>
      <c r="E201" s="34"/>
      <c r="F201" s="6"/>
      <c r="G201" s="6"/>
      <c r="H201" s="7"/>
      <c r="I201" s="7"/>
      <c r="J201" s="2"/>
      <c r="K201" s="2"/>
      <c r="L201" s="2"/>
      <c r="M201" s="8"/>
      <c r="N201" s="163" t="str">
        <f t="shared" si="13"/>
        <v/>
      </c>
      <c r="O201" s="126" t="str">
        <f t="shared" si="12"/>
        <v>-</v>
      </c>
      <c r="P201" s="164"/>
      <c r="Q201" s="164"/>
      <c r="R201" s="164"/>
      <c r="S201" s="164"/>
      <c r="T201" s="164"/>
      <c r="U201" s="164"/>
      <c r="V201" s="164"/>
    </row>
    <row r="202" spans="1:25" ht="27" customHeight="1">
      <c r="A202" s="38" t="str">
        <f>IF(ISBLANK(C202)," ",197-COUNTBLANK($C$6:C202))</f>
        <v xml:space="preserve"> </v>
      </c>
      <c r="B202" s="4"/>
      <c r="C202" s="5"/>
      <c r="D202" s="34"/>
      <c r="E202" s="34"/>
      <c r="F202" s="6"/>
      <c r="G202" s="6"/>
      <c r="H202" s="7"/>
      <c r="I202" s="7"/>
      <c r="J202" s="2"/>
      <c r="K202" s="2"/>
      <c r="L202" s="2"/>
      <c r="M202" s="8"/>
      <c r="N202" s="163" t="str">
        <f t="shared" si="13"/>
        <v/>
      </c>
      <c r="O202" s="126" t="str">
        <f t="shared" si="12"/>
        <v>-</v>
      </c>
      <c r="P202" s="164"/>
      <c r="Q202" s="164"/>
      <c r="R202" s="164"/>
      <c r="S202" s="164"/>
      <c r="T202" s="164"/>
      <c r="U202" s="164"/>
      <c r="V202" s="164"/>
    </row>
    <row r="203" spans="1:25" ht="27" customHeight="1">
      <c r="A203" s="38" t="str">
        <f>IF(ISBLANK(C203)," ",198-COUNTBLANK($C$6:C203))</f>
        <v xml:space="preserve"> </v>
      </c>
      <c r="B203" s="4"/>
      <c r="C203" s="5"/>
      <c r="D203" s="34"/>
      <c r="E203" s="34"/>
      <c r="F203" s="6"/>
      <c r="G203" s="6"/>
      <c r="H203" s="7"/>
      <c r="I203" s="7"/>
      <c r="J203" s="2"/>
      <c r="K203" s="2"/>
      <c r="L203" s="2"/>
      <c r="M203" s="8"/>
      <c r="N203" s="163" t="str">
        <f t="shared" si="13"/>
        <v/>
      </c>
      <c r="O203" s="126" t="str">
        <f t="shared" si="12"/>
        <v>-</v>
      </c>
      <c r="P203" s="164"/>
      <c r="Q203" s="164"/>
      <c r="R203" s="164"/>
      <c r="S203" s="164"/>
      <c r="T203" s="164"/>
      <c r="U203" s="164"/>
      <c r="V203" s="164"/>
    </row>
    <row r="204" spans="1:25" ht="27" customHeight="1">
      <c r="A204" s="38" t="str">
        <f>IF(ISBLANK(C204)," ",199-COUNTBLANK($C$6:C204))</f>
        <v xml:space="preserve"> </v>
      </c>
      <c r="B204" s="4"/>
      <c r="C204" s="5"/>
      <c r="D204" s="34"/>
      <c r="E204" s="34"/>
      <c r="F204" s="6"/>
      <c r="G204" s="6"/>
      <c r="H204" s="7"/>
      <c r="I204" s="7"/>
      <c r="J204" s="2"/>
      <c r="K204" s="2"/>
      <c r="L204" s="2"/>
      <c r="M204" s="8"/>
      <c r="N204" s="163" t="str">
        <f t="shared" si="13"/>
        <v/>
      </c>
      <c r="O204" s="126" t="str">
        <f t="shared" si="12"/>
        <v>-</v>
      </c>
      <c r="P204" s="164"/>
      <c r="Q204" s="164"/>
      <c r="R204" s="164"/>
      <c r="S204" s="164"/>
      <c r="T204" s="164"/>
      <c r="U204" s="164"/>
      <c r="V204" s="164"/>
    </row>
    <row r="205" spans="1:25" ht="27" customHeight="1">
      <c r="A205" s="38" t="str">
        <f>IF(ISBLANK(C205)," ",200-COUNTBLANK($C$6:C205))</f>
        <v xml:space="preserve"> </v>
      </c>
      <c r="B205" s="4"/>
      <c r="C205" s="5"/>
      <c r="D205" s="34"/>
      <c r="E205" s="34"/>
      <c r="F205" s="6"/>
      <c r="G205" s="6"/>
      <c r="H205" s="7"/>
      <c r="I205" s="7"/>
      <c r="J205" s="2"/>
      <c r="K205" s="2"/>
      <c r="L205" s="2"/>
      <c r="M205" s="8"/>
      <c r="N205" s="163" t="str">
        <f t="shared" si="13"/>
        <v/>
      </c>
      <c r="O205" s="126" t="str">
        <f t="shared" si="12"/>
        <v>-</v>
      </c>
      <c r="P205" s="164"/>
      <c r="Q205" s="164"/>
      <c r="R205" s="164"/>
      <c r="S205" s="164"/>
      <c r="T205" s="164"/>
      <c r="U205" s="164"/>
      <c r="V205" s="164"/>
    </row>
    <row r="206" spans="1:25" ht="27" customHeight="1">
      <c r="A206" s="38" t="str">
        <f>IF(ISBLANK(C206)," ",201-COUNTBLANK($C$6:C206))</f>
        <v xml:space="preserve"> </v>
      </c>
      <c r="B206" s="4"/>
      <c r="C206" s="5"/>
      <c r="D206" s="34"/>
      <c r="E206" s="34"/>
      <c r="F206" s="6"/>
      <c r="G206" s="6"/>
      <c r="H206" s="7"/>
      <c r="I206" s="7"/>
      <c r="J206" s="2"/>
      <c r="K206" s="2"/>
      <c r="L206" s="2"/>
      <c r="M206" s="8"/>
      <c r="N206" s="163" t="str">
        <f t="shared" si="13"/>
        <v/>
      </c>
      <c r="O206" s="126" t="str">
        <f t="shared" si="12"/>
        <v>-</v>
      </c>
      <c r="P206" s="164"/>
      <c r="Q206" s="164"/>
      <c r="R206" s="164"/>
      <c r="S206" s="164"/>
      <c r="T206" s="164"/>
      <c r="U206" s="164"/>
      <c r="V206" s="164"/>
    </row>
    <row r="207" spans="1:25" ht="27" customHeight="1">
      <c r="A207" s="38" t="str">
        <f>IF(ISBLANK(C207)," ",202-COUNTBLANK($C$6:C207))</f>
        <v xml:space="preserve"> </v>
      </c>
      <c r="B207" s="4"/>
      <c r="C207" s="5"/>
      <c r="D207" s="34"/>
      <c r="E207" s="34"/>
      <c r="F207" s="6"/>
      <c r="G207" s="6"/>
      <c r="H207" s="7"/>
      <c r="I207" s="7"/>
      <c r="J207" s="2"/>
      <c r="K207" s="2"/>
      <c r="L207" s="2"/>
      <c r="M207" s="8"/>
      <c r="N207" s="163" t="str">
        <f t="shared" si="13"/>
        <v/>
      </c>
      <c r="O207" s="126" t="str">
        <f t="shared" si="12"/>
        <v>-</v>
      </c>
      <c r="P207" s="164"/>
      <c r="Q207" s="164"/>
      <c r="R207" s="164"/>
      <c r="S207" s="164"/>
      <c r="T207" s="164"/>
      <c r="U207" s="164"/>
      <c r="V207" s="164"/>
    </row>
    <row r="208" spans="1:25" ht="27" customHeight="1">
      <c r="A208" s="38" t="str">
        <f>IF(ISBLANK(C208)," ",203-COUNTBLANK($C$6:C208))</f>
        <v xml:space="preserve"> </v>
      </c>
      <c r="B208" s="4"/>
      <c r="C208" s="5"/>
      <c r="D208" s="34"/>
      <c r="E208" s="34"/>
      <c r="F208" s="6"/>
      <c r="G208" s="6"/>
      <c r="H208" s="7"/>
      <c r="I208" s="7"/>
      <c r="J208" s="2"/>
      <c r="K208" s="2"/>
      <c r="L208" s="2"/>
      <c r="M208" s="8"/>
      <c r="N208" s="163" t="str">
        <f t="shared" si="13"/>
        <v/>
      </c>
      <c r="O208" s="126" t="str">
        <f t="shared" si="12"/>
        <v>-</v>
      </c>
      <c r="P208" s="164"/>
      <c r="Q208" s="164"/>
      <c r="R208" s="164"/>
      <c r="S208" s="164"/>
      <c r="T208" s="164"/>
      <c r="U208" s="164"/>
      <c r="V208" s="164"/>
    </row>
    <row r="209" spans="1:25" ht="27" customHeight="1">
      <c r="A209" s="38" t="str">
        <f>IF(ISBLANK(C209)," ",204-COUNTBLANK($C$6:C209))</f>
        <v xml:space="preserve"> </v>
      </c>
      <c r="B209" s="4"/>
      <c r="C209" s="5"/>
      <c r="D209" s="34"/>
      <c r="E209" s="34"/>
      <c r="F209" s="6"/>
      <c r="G209" s="6"/>
      <c r="H209" s="7"/>
      <c r="I209" s="7"/>
      <c r="J209" s="2"/>
      <c r="K209" s="2"/>
      <c r="L209" s="2"/>
      <c r="M209" s="8"/>
      <c r="N209" s="163" t="str">
        <f t="shared" si="13"/>
        <v/>
      </c>
      <c r="O209" s="126" t="str">
        <f t="shared" si="12"/>
        <v>-</v>
      </c>
      <c r="P209" s="164"/>
      <c r="Q209" s="164"/>
      <c r="R209" s="164"/>
      <c r="S209" s="164"/>
      <c r="T209" s="164"/>
      <c r="U209" s="164"/>
      <c r="V209" s="164"/>
    </row>
    <row r="210" spans="1:25" ht="27" customHeight="1">
      <c r="A210" s="38" t="str">
        <f>IF(ISBLANK(C210)," ",205-COUNTBLANK($C$6:C210))</f>
        <v xml:space="preserve"> </v>
      </c>
      <c r="B210" s="4"/>
      <c r="C210" s="5"/>
      <c r="D210" s="34"/>
      <c r="E210" s="34"/>
      <c r="F210" s="6"/>
      <c r="G210" s="6"/>
      <c r="H210" s="7"/>
      <c r="I210" s="7"/>
      <c r="J210" s="2"/>
      <c r="K210" s="2"/>
      <c r="L210" s="2"/>
      <c r="M210" s="8"/>
      <c r="N210" s="163" t="str">
        <f t="shared" si="13"/>
        <v/>
      </c>
      <c r="O210" s="126" t="str">
        <f t="shared" si="12"/>
        <v>-</v>
      </c>
      <c r="P210" s="164"/>
      <c r="Q210" s="164"/>
      <c r="R210" s="164"/>
      <c r="S210" s="164"/>
      <c r="T210" s="164"/>
      <c r="U210" s="164"/>
      <c r="V210" s="165"/>
    </row>
    <row r="211" spans="1:25" ht="27" customHeight="1">
      <c r="A211" s="38" t="str">
        <f>IF(ISBLANK(C211)," ",206-COUNTBLANK($C$6:C211))</f>
        <v xml:space="preserve"> </v>
      </c>
      <c r="B211" s="4"/>
      <c r="C211" s="5"/>
      <c r="D211" s="34"/>
      <c r="E211" s="34"/>
      <c r="F211" s="6"/>
      <c r="G211" s="6"/>
      <c r="H211" s="7"/>
      <c r="I211" s="7"/>
      <c r="J211" s="2"/>
      <c r="K211" s="2"/>
      <c r="L211" s="2"/>
      <c r="M211" s="8"/>
      <c r="N211" s="163" t="str">
        <f t="shared" si="13"/>
        <v/>
      </c>
      <c r="O211" s="126" t="str">
        <f t="shared" si="12"/>
        <v>-</v>
      </c>
      <c r="P211" s="164"/>
      <c r="Q211" s="164"/>
      <c r="R211" s="164"/>
      <c r="S211" s="164"/>
      <c r="T211" s="164"/>
      <c r="U211" s="164"/>
      <c r="V211" s="165"/>
    </row>
    <row r="212" spans="1:25" ht="27" customHeight="1">
      <c r="A212" s="38" t="str">
        <f>IF(ISBLANK(C212)," ",207-COUNTBLANK($C$6:C212))</f>
        <v xml:space="preserve"> </v>
      </c>
      <c r="B212" s="178"/>
      <c r="C212" s="178"/>
      <c r="D212" s="179"/>
      <c r="E212" s="179"/>
      <c r="F212" s="180"/>
      <c r="G212" s="180"/>
      <c r="H212" s="180"/>
      <c r="I212" s="180"/>
      <c r="J212" s="180"/>
      <c r="K212" s="180"/>
      <c r="L212" s="180"/>
      <c r="M212" s="181"/>
      <c r="N212" s="163" t="str">
        <f t="shared" si="13"/>
        <v/>
      </c>
      <c r="O212" s="126" t="str">
        <f t="shared" si="12"/>
        <v>-</v>
      </c>
      <c r="P212" s="164"/>
      <c r="Q212" s="164"/>
      <c r="R212" s="164"/>
      <c r="S212" s="164"/>
      <c r="T212" s="164"/>
      <c r="U212" s="164"/>
      <c r="V212" s="165"/>
    </row>
    <row r="213" spans="1:25" ht="27" customHeight="1">
      <c r="A213" s="38" t="str">
        <f>IF(ISBLANK(C213)," ",208-COUNTBLANK($C$6:C213))</f>
        <v xml:space="preserve"> </v>
      </c>
      <c r="B213" s="178"/>
      <c r="C213" s="178"/>
      <c r="D213" s="179"/>
      <c r="E213" s="179"/>
      <c r="F213" s="180"/>
      <c r="G213" s="180"/>
      <c r="H213" s="180"/>
      <c r="I213" s="180"/>
      <c r="J213" s="180"/>
      <c r="K213" s="180"/>
      <c r="L213" s="180"/>
      <c r="M213" s="181"/>
      <c r="N213" s="163" t="str">
        <f t="shared" si="13"/>
        <v/>
      </c>
      <c r="O213" s="126" t="str">
        <f t="shared" si="12"/>
        <v>-</v>
      </c>
      <c r="P213" s="164"/>
      <c r="Q213" s="164"/>
      <c r="R213" s="164"/>
      <c r="S213" s="164"/>
      <c r="T213" s="164"/>
      <c r="U213" s="164"/>
      <c r="V213" s="165"/>
    </row>
    <row r="214" spans="1:25" ht="27" customHeight="1">
      <c r="A214" s="182" t="str">
        <f>IF(ISBLANK(C214)," ",209-COUNTBLANK($C$6:C214))</f>
        <v xml:space="preserve"> </v>
      </c>
      <c r="B214" s="183"/>
      <c r="C214" s="183"/>
      <c r="D214" s="184"/>
      <c r="E214" s="184"/>
      <c r="F214" s="185"/>
      <c r="G214" s="185"/>
      <c r="H214" s="180"/>
      <c r="I214" s="180"/>
      <c r="J214" s="185"/>
      <c r="K214" s="185"/>
      <c r="L214" s="185"/>
      <c r="M214" s="186"/>
      <c r="N214" s="163" t="str">
        <f t="shared" si="13"/>
        <v/>
      </c>
      <c r="O214" s="126" t="str">
        <f t="shared" si="12"/>
        <v>-</v>
      </c>
      <c r="P214" s="164"/>
      <c r="Q214" s="164"/>
      <c r="R214" s="164"/>
      <c r="S214" s="164"/>
      <c r="T214" s="164"/>
      <c r="U214" s="164"/>
      <c r="V214" s="166"/>
      <c r="W214" s="164"/>
      <c r="X214" s="164"/>
      <c r="Y214" s="164"/>
    </row>
    <row r="215" spans="1:25" ht="27" customHeight="1">
      <c r="A215" s="172" t="s">
        <v>44</v>
      </c>
      <c r="B215" s="173"/>
      <c r="C215" s="174"/>
      <c r="D215" s="175"/>
      <c r="E215" s="175">
        <f>SUM(E195:E214)</f>
        <v>0</v>
      </c>
      <c r="F215" s="176"/>
      <c r="G215" s="176"/>
      <c r="H215" s="176"/>
      <c r="I215" s="176"/>
      <c r="J215" s="176"/>
      <c r="K215" s="176"/>
      <c r="L215" s="176"/>
      <c r="M215" s="177"/>
      <c r="N215" s="163" t="str">
        <f t="shared" si="13"/>
        <v/>
      </c>
      <c r="O215" s="126"/>
      <c r="P215" s="164"/>
      <c r="Q215" s="164"/>
      <c r="R215" s="164"/>
      <c r="S215" s="164"/>
      <c r="T215" s="164"/>
      <c r="U215" s="164"/>
      <c r="V215" s="166"/>
      <c r="W215" s="164"/>
      <c r="X215" s="164"/>
      <c r="Y215" s="164"/>
    </row>
    <row r="216" spans="1:25" ht="27" customHeight="1">
      <c r="A216" s="187" t="str">
        <f>IF(ISBLANK(C216)," ",211-COUNTBLANK($C$6:C216))</f>
        <v xml:space="preserve"> </v>
      </c>
      <c r="B216" s="188"/>
      <c r="C216" s="188"/>
      <c r="D216" s="189"/>
      <c r="E216" s="189"/>
      <c r="F216" s="190"/>
      <c r="G216" s="190"/>
      <c r="H216" s="190"/>
      <c r="I216" s="190"/>
      <c r="J216" s="190"/>
      <c r="K216" s="190"/>
      <c r="L216" s="190"/>
      <c r="M216" s="191"/>
      <c r="N216" s="163" t="str">
        <f t="shared" si="13"/>
        <v/>
      </c>
      <c r="O216" s="126" t="str">
        <f>IF(D216&gt;=E216,"-","ERR")</f>
        <v>-</v>
      </c>
      <c r="P216" s="164"/>
      <c r="Q216" s="164"/>
      <c r="R216" s="164"/>
      <c r="S216" s="164"/>
      <c r="T216" s="164"/>
      <c r="U216" s="164"/>
      <c r="V216" s="164"/>
    </row>
    <row r="217" spans="1:25" ht="27" customHeight="1">
      <c r="A217" s="192" t="str">
        <f>IF(ISBLANK(C217)," ",212-COUNTBLANK($C$6:C217))</f>
        <v xml:space="preserve"> </v>
      </c>
      <c r="B217" s="178"/>
      <c r="C217" s="178"/>
      <c r="D217" s="193"/>
      <c r="E217" s="193"/>
      <c r="F217" s="180"/>
      <c r="G217" s="180"/>
      <c r="H217" s="180"/>
      <c r="I217" s="180"/>
      <c r="J217" s="180"/>
      <c r="K217" s="180"/>
      <c r="L217" s="180"/>
      <c r="M217" s="181"/>
      <c r="N217" s="163" t="str">
        <f t="shared" si="13"/>
        <v/>
      </c>
      <c r="O217" s="126" t="str">
        <f t="shared" ref="O217:O235" si="14">IF(D217&gt;=E217,"-","ERR")</f>
        <v>-</v>
      </c>
      <c r="P217" s="164"/>
      <c r="Q217" s="164"/>
      <c r="R217" s="164"/>
      <c r="S217" s="164"/>
      <c r="T217" s="164"/>
      <c r="U217" s="164"/>
      <c r="V217" s="164"/>
    </row>
    <row r="218" spans="1:25" ht="27" customHeight="1">
      <c r="A218" s="192" t="str">
        <f>IF(ISBLANK(C218)," ",213-COUNTBLANK($C$6:C218))</f>
        <v xml:space="preserve"> </v>
      </c>
      <c r="B218" s="178"/>
      <c r="C218" s="178"/>
      <c r="D218" s="193"/>
      <c r="E218" s="193"/>
      <c r="F218" s="180"/>
      <c r="G218" s="180"/>
      <c r="H218" s="180"/>
      <c r="I218" s="180"/>
      <c r="J218" s="180"/>
      <c r="K218" s="180"/>
      <c r="L218" s="180"/>
      <c r="M218" s="181"/>
      <c r="N218" s="163" t="str">
        <f t="shared" si="13"/>
        <v/>
      </c>
      <c r="O218" s="126" t="str">
        <f t="shared" si="14"/>
        <v>-</v>
      </c>
      <c r="P218" s="164"/>
      <c r="Q218" s="164"/>
      <c r="R218" s="164"/>
      <c r="S218" s="164"/>
      <c r="T218" s="164"/>
      <c r="U218" s="164"/>
      <c r="V218" s="164"/>
    </row>
    <row r="219" spans="1:25" ht="27" customHeight="1">
      <c r="A219" s="192" t="str">
        <f>IF(ISBLANK(C219)," ",214-COUNTBLANK($C$6:C219))</f>
        <v xml:space="preserve"> </v>
      </c>
      <c r="B219" s="178"/>
      <c r="C219" s="178"/>
      <c r="D219" s="193"/>
      <c r="E219" s="193"/>
      <c r="F219" s="180"/>
      <c r="G219" s="180"/>
      <c r="H219" s="180"/>
      <c r="I219" s="180"/>
      <c r="J219" s="180"/>
      <c r="K219" s="180"/>
      <c r="L219" s="180"/>
      <c r="M219" s="181"/>
      <c r="N219" s="163" t="str">
        <f t="shared" si="13"/>
        <v/>
      </c>
      <c r="O219" s="126" t="str">
        <f t="shared" si="14"/>
        <v>-</v>
      </c>
      <c r="P219" s="164"/>
      <c r="Q219" s="164"/>
      <c r="R219" s="164"/>
      <c r="S219" s="164"/>
      <c r="T219" s="164"/>
      <c r="U219" s="164"/>
      <c r="V219" s="164"/>
    </row>
    <row r="220" spans="1:25" ht="27" customHeight="1">
      <c r="A220" s="192" t="str">
        <f>IF(ISBLANK(C220)," ",215-COUNTBLANK($C$6:C220))</f>
        <v xml:space="preserve"> </v>
      </c>
      <c r="B220" s="178"/>
      <c r="C220" s="178"/>
      <c r="D220" s="193"/>
      <c r="E220" s="193"/>
      <c r="F220" s="180"/>
      <c r="G220" s="180"/>
      <c r="H220" s="180"/>
      <c r="I220" s="180"/>
      <c r="J220" s="180"/>
      <c r="K220" s="180"/>
      <c r="L220" s="180"/>
      <c r="M220" s="181"/>
      <c r="N220" s="163" t="str">
        <f t="shared" si="13"/>
        <v/>
      </c>
      <c r="O220" s="126" t="str">
        <f t="shared" si="14"/>
        <v>-</v>
      </c>
      <c r="P220" s="164"/>
      <c r="Q220" s="164"/>
      <c r="R220" s="164"/>
      <c r="S220" s="164"/>
      <c r="T220" s="164"/>
      <c r="U220" s="164"/>
      <c r="V220" s="164"/>
    </row>
    <row r="221" spans="1:25" ht="27" customHeight="1">
      <c r="A221" s="192" t="str">
        <f>IF(ISBLANK(C221)," ",216-COUNTBLANK($C$6:C221))</f>
        <v xml:space="preserve"> </v>
      </c>
      <c r="B221" s="178"/>
      <c r="C221" s="178"/>
      <c r="D221" s="193"/>
      <c r="E221" s="193"/>
      <c r="F221" s="180"/>
      <c r="G221" s="180"/>
      <c r="H221" s="180"/>
      <c r="I221" s="180"/>
      <c r="J221" s="180"/>
      <c r="K221" s="180"/>
      <c r="L221" s="180"/>
      <c r="M221" s="181"/>
      <c r="N221" s="163" t="str">
        <f t="shared" si="13"/>
        <v/>
      </c>
      <c r="O221" s="126" t="str">
        <f t="shared" si="14"/>
        <v>-</v>
      </c>
      <c r="P221" s="164"/>
      <c r="Q221" s="164"/>
      <c r="R221" s="164"/>
      <c r="S221" s="164"/>
      <c r="T221" s="164"/>
      <c r="U221" s="164"/>
      <c r="V221" s="164"/>
    </row>
    <row r="222" spans="1:25" ht="27" customHeight="1">
      <c r="A222" s="192" t="str">
        <f>IF(ISBLANK(C222)," ",217-COUNTBLANK($C$6:C222))</f>
        <v xml:space="preserve"> </v>
      </c>
      <c r="B222" s="178"/>
      <c r="C222" s="178"/>
      <c r="D222" s="193"/>
      <c r="E222" s="193"/>
      <c r="F222" s="180"/>
      <c r="G222" s="180"/>
      <c r="H222" s="180"/>
      <c r="I222" s="180"/>
      <c r="J222" s="180"/>
      <c r="K222" s="180"/>
      <c r="L222" s="180"/>
      <c r="M222" s="181"/>
      <c r="N222" s="163" t="str">
        <f t="shared" si="13"/>
        <v/>
      </c>
      <c r="O222" s="126" t="str">
        <f t="shared" si="14"/>
        <v>-</v>
      </c>
      <c r="P222" s="164"/>
      <c r="Q222" s="164"/>
      <c r="R222" s="164"/>
      <c r="S222" s="164"/>
      <c r="T222" s="164"/>
      <c r="U222" s="164"/>
      <c r="V222" s="164"/>
    </row>
    <row r="223" spans="1:25" ht="27" customHeight="1">
      <c r="A223" s="192" t="str">
        <f>IF(ISBLANK(C223)," ",218-COUNTBLANK($C$6:C223))</f>
        <v xml:space="preserve"> </v>
      </c>
      <c r="B223" s="178"/>
      <c r="C223" s="178"/>
      <c r="D223" s="193"/>
      <c r="E223" s="193"/>
      <c r="F223" s="180"/>
      <c r="G223" s="180"/>
      <c r="H223" s="180"/>
      <c r="I223" s="180"/>
      <c r="J223" s="180"/>
      <c r="K223" s="180"/>
      <c r="L223" s="180"/>
      <c r="M223" s="181"/>
      <c r="N223" s="163" t="str">
        <f t="shared" si="13"/>
        <v/>
      </c>
      <c r="O223" s="126" t="str">
        <f t="shared" si="14"/>
        <v>-</v>
      </c>
      <c r="P223" s="164"/>
      <c r="Q223" s="164"/>
      <c r="R223" s="164"/>
      <c r="S223" s="164"/>
      <c r="T223" s="164"/>
      <c r="U223" s="164"/>
      <c r="V223" s="164"/>
    </row>
    <row r="224" spans="1:25" ht="27" customHeight="1">
      <c r="A224" s="192" t="str">
        <f>IF(ISBLANK(C224)," ",219-COUNTBLANK($C$6:C224))</f>
        <v xml:space="preserve"> </v>
      </c>
      <c r="B224" s="178"/>
      <c r="C224" s="178"/>
      <c r="D224" s="193"/>
      <c r="E224" s="193"/>
      <c r="F224" s="180"/>
      <c r="G224" s="180"/>
      <c r="H224" s="180"/>
      <c r="I224" s="180"/>
      <c r="J224" s="180"/>
      <c r="K224" s="180"/>
      <c r="L224" s="180"/>
      <c r="M224" s="181"/>
      <c r="N224" s="163" t="str">
        <f t="shared" si="13"/>
        <v/>
      </c>
      <c r="O224" s="126" t="str">
        <f t="shared" si="14"/>
        <v>-</v>
      </c>
      <c r="P224" s="164"/>
      <c r="Q224" s="164"/>
      <c r="R224" s="164"/>
      <c r="S224" s="164"/>
      <c r="T224" s="164"/>
      <c r="U224" s="164"/>
      <c r="V224" s="164"/>
    </row>
    <row r="225" spans="1:25" ht="27" customHeight="1">
      <c r="A225" s="192" t="str">
        <f>IF(ISBLANK(C225)," ",220-COUNTBLANK($C$6:C225))</f>
        <v xml:space="preserve"> </v>
      </c>
      <c r="B225" s="178"/>
      <c r="C225" s="178"/>
      <c r="D225" s="193"/>
      <c r="E225" s="193"/>
      <c r="F225" s="180"/>
      <c r="G225" s="180"/>
      <c r="H225" s="180"/>
      <c r="I225" s="180"/>
      <c r="J225" s="180"/>
      <c r="K225" s="180"/>
      <c r="L225" s="180"/>
      <c r="M225" s="181"/>
      <c r="N225" s="163" t="str">
        <f t="shared" si="13"/>
        <v/>
      </c>
      <c r="O225" s="126" t="str">
        <f t="shared" si="14"/>
        <v>-</v>
      </c>
      <c r="P225" s="164"/>
      <c r="Q225" s="164"/>
      <c r="R225" s="164"/>
      <c r="S225" s="164"/>
      <c r="T225" s="164"/>
      <c r="U225" s="164"/>
      <c r="V225" s="164"/>
    </row>
    <row r="226" spans="1:25" ht="27" customHeight="1">
      <c r="A226" s="192" t="str">
        <f>IF(ISBLANK(C226)," ",221-COUNTBLANK($C$6:C226))</f>
        <v xml:space="preserve"> </v>
      </c>
      <c r="B226" s="178"/>
      <c r="C226" s="178"/>
      <c r="D226" s="193"/>
      <c r="E226" s="193"/>
      <c r="F226" s="180"/>
      <c r="G226" s="180"/>
      <c r="H226" s="180"/>
      <c r="I226" s="180"/>
      <c r="J226" s="180"/>
      <c r="K226" s="180"/>
      <c r="L226" s="180"/>
      <c r="M226" s="181"/>
      <c r="N226" s="163" t="str">
        <f t="shared" si="13"/>
        <v/>
      </c>
      <c r="O226" s="126" t="str">
        <f t="shared" si="14"/>
        <v>-</v>
      </c>
      <c r="P226" s="164"/>
      <c r="Q226" s="164"/>
      <c r="R226" s="164"/>
      <c r="S226" s="164"/>
      <c r="T226" s="164"/>
      <c r="U226" s="164"/>
      <c r="V226" s="164"/>
    </row>
    <row r="227" spans="1:25" ht="27" customHeight="1">
      <c r="A227" s="192" t="str">
        <f>IF(ISBLANK(C227)," ",222-COUNTBLANK($C$6:C227))</f>
        <v xml:space="preserve"> </v>
      </c>
      <c r="B227" s="178"/>
      <c r="C227" s="178"/>
      <c r="D227" s="193"/>
      <c r="E227" s="193"/>
      <c r="F227" s="180"/>
      <c r="G227" s="180"/>
      <c r="H227" s="180"/>
      <c r="I227" s="180"/>
      <c r="J227" s="180"/>
      <c r="K227" s="180"/>
      <c r="L227" s="180"/>
      <c r="M227" s="181"/>
      <c r="N227" s="163" t="str">
        <f t="shared" si="13"/>
        <v/>
      </c>
      <c r="O227" s="126" t="str">
        <f t="shared" si="14"/>
        <v>-</v>
      </c>
      <c r="P227" s="164"/>
      <c r="Q227" s="164"/>
      <c r="R227" s="164"/>
      <c r="S227" s="164"/>
      <c r="T227" s="164"/>
      <c r="U227" s="164"/>
      <c r="V227" s="164"/>
    </row>
    <row r="228" spans="1:25" ht="27" customHeight="1">
      <c r="A228" s="192" t="str">
        <f>IF(ISBLANK(C228)," ",223-COUNTBLANK($C$6:C228))</f>
        <v xml:space="preserve"> </v>
      </c>
      <c r="B228" s="178"/>
      <c r="C228" s="178"/>
      <c r="D228" s="193"/>
      <c r="E228" s="193"/>
      <c r="F228" s="180"/>
      <c r="G228" s="180"/>
      <c r="H228" s="180"/>
      <c r="I228" s="180"/>
      <c r="J228" s="180"/>
      <c r="K228" s="180"/>
      <c r="L228" s="180"/>
      <c r="M228" s="181"/>
      <c r="N228" s="163" t="str">
        <f t="shared" si="13"/>
        <v/>
      </c>
      <c r="O228" s="126" t="str">
        <f t="shared" si="14"/>
        <v>-</v>
      </c>
      <c r="P228" s="164"/>
      <c r="Q228" s="164"/>
      <c r="R228" s="164"/>
      <c r="S228" s="164"/>
      <c r="T228" s="164"/>
      <c r="U228" s="164"/>
      <c r="V228" s="164"/>
    </row>
    <row r="229" spans="1:25" ht="27" customHeight="1">
      <c r="A229" s="192" t="str">
        <f>IF(ISBLANK(C229)," ",224-COUNTBLANK($C$6:C229))</f>
        <v xml:space="preserve"> </v>
      </c>
      <c r="B229" s="178"/>
      <c r="C229" s="178"/>
      <c r="D229" s="193"/>
      <c r="E229" s="193"/>
      <c r="F229" s="180"/>
      <c r="G229" s="180"/>
      <c r="H229" s="180"/>
      <c r="I229" s="180"/>
      <c r="J229" s="180"/>
      <c r="K229" s="180"/>
      <c r="L229" s="180"/>
      <c r="M229" s="181"/>
      <c r="N229" s="163" t="str">
        <f t="shared" si="13"/>
        <v/>
      </c>
      <c r="O229" s="126" t="str">
        <f t="shared" si="14"/>
        <v>-</v>
      </c>
      <c r="P229" s="164"/>
      <c r="Q229" s="164"/>
      <c r="R229" s="164"/>
      <c r="S229" s="164"/>
      <c r="T229" s="164"/>
      <c r="U229" s="164"/>
      <c r="V229" s="164"/>
    </row>
    <row r="230" spans="1:25" ht="27" customHeight="1">
      <c r="A230" s="192" t="str">
        <f>IF(ISBLANK(C230)," ",225-COUNTBLANK($C$6:C230))</f>
        <v xml:space="preserve"> </v>
      </c>
      <c r="B230" s="178"/>
      <c r="C230" s="178"/>
      <c r="D230" s="193"/>
      <c r="E230" s="193"/>
      <c r="F230" s="180"/>
      <c r="G230" s="180"/>
      <c r="H230" s="180"/>
      <c r="I230" s="180"/>
      <c r="J230" s="180"/>
      <c r="K230" s="180"/>
      <c r="L230" s="180"/>
      <c r="M230" s="181"/>
      <c r="N230" s="163" t="str">
        <f t="shared" si="13"/>
        <v/>
      </c>
      <c r="O230" s="126" t="str">
        <f t="shared" si="14"/>
        <v>-</v>
      </c>
      <c r="P230" s="164"/>
      <c r="Q230" s="164"/>
      <c r="R230" s="164"/>
      <c r="S230" s="164"/>
      <c r="T230" s="164"/>
      <c r="U230" s="164"/>
      <c r="V230" s="164"/>
    </row>
    <row r="231" spans="1:25" ht="27" customHeight="1">
      <c r="A231" s="192" t="str">
        <f>IF(ISBLANK(C231)," ",226-COUNTBLANK($C$6:C231))</f>
        <v xml:space="preserve"> </v>
      </c>
      <c r="B231" s="178"/>
      <c r="C231" s="178"/>
      <c r="D231" s="193"/>
      <c r="E231" s="193"/>
      <c r="F231" s="180"/>
      <c r="G231" s="180"/>
      <c r="H231" s="180"/>
      <c r="I231" s="180"/>
      <c r="J231" s="180"/>
      <c r="K231" s="180"/>
      <c r="L231" s="180"/>
      <c r="M231" s="181"/>
      <c r="N231" s="163" t="str">
        <f t="shared" si="13"/>
        <v/>
      </c>
      <c r="O231" s="126" t="str">
        <f t="shared" si="14"/>
        <v>-</v>
      </c>
      <c r="P231" s="164"/>
      <c r="Q231" s="164"/>
      <c r="R231" s="164"/>
      <c r="S231" s="164"/>
      <c r="T231" s="164"/>
      <c r="U231" s="164"/>
      <c r="V231" s="165"/>
    </row>
    <row r="232" spans="1:25" ht="27" customHeight="1">
      <c r="A232" s="192" t="str">
        <f>IF(ISBLANK(C232)," ",227-COUNTBLANK($C$6:C232))</f>
        <v xml:space="preserve"> </v>
      </c>
      <c r="B232" s="178"/>
      <c r="C232" s="178"/>
      <c r="D232" s="193"/>
      <c r="E232" s="193"/>
      <c r="F232" s="180"/>
      <c r="G232" s="180"/>
      <c r="H232" s="180"/>
      <c r="I232" s="180"/>
      <c r="J232" s="180"/>
      <c r="K232" s="180"/>
      <c r="L232" s="180"/>
      <c r="M232" s="181"/>
      <c r="N232" s="163" t="str">
        <f t="shared" si="13"/>
        <v/>
      </c>
      <c r="O232" s="126" t="str">
        <f t="shared" si="14"/>
        <v>-</v>
      </c>
      <c r="P232" s="164"/>
      <c r="Q232" s="164"/>
      <c r="R232" s="164"/>
      <c r="S232" s="164"/>
      <c r="T232" s="164"/>
      <c r="U232" s="164"/>
      <c r="V232" s="165"/>
    </row>
    <row r="233" spans="1:25" ht="27" customHeight="1">
      <c r="A233" s="192" t="str">
        <f>IF(ISBLANK(C233)," ",228-COUNTBLANK($C$6:C233))</f>
        <v xml:space="preserve"> </v>
      </c>
      <c r="B233" s="178"/>
      <c r="C233" s="178"/>
      <c r="D233" s="193"/>
      <c r="E233" s="193"/>
      <c r="F233" s="180"/>
      <c r="G233" s="180"/>
      <c r="H233" s="180"/>
      <c r="I233" s="180"/>
      <c r="J233" s="180"/>
      <c r="K233" s="180"/>
      <c r="L233" s="180"/>
      <c r="M233" s="181"/>
      <c r="N233" s="163" t="str">
        <f>CONCATENATE(C233,H233)</f>
        <v/>
      </c>
      <c r="O233" s="126" t="str">
        <f t="shared" si="14"/>
        <v>-</v>
      </c>
      <c r="P233" s="164"/>
      <c r="Q233" s="164"/>
      <c r="R233" s="164"/>
      <c r="S233" s="164"/>
      <c r="T233" s="164"/>
      <c r="U233" s="164"/>
      <c r="V233" s="165"/>
    </row>
    <row r="234" spans="1:25" ht="27" customHeight="1">
      <c r="A234" s="192" t="str">
        <f>IF(ISBLANK(C234)," ",229-COUNTBLANK($C$6:C234))</f>
        <v xml:space="preserve"> </v>
      </c>
      <c r="B234" s="178"/>
      <c r="C234" s="178"/>
      <c r="D234" s="193"/>
      <c r="E234" s="193"/>
      <c r="F234" s="180"/>
      <c r="G234" s="180"/>
      <c r="H234" s="180"/>
      <c r="I234" s="180"/>
      <c r="J234" s="180"/>
      <c r="K234" s="180"/>
      <c r="L234" s="180"/>
      <c r="M234" s="181"/>
      <c r="N234" s="163" t="str">
        <f>CONCATENATE(C234,H234)</f>
        <v/>
      </c>
      <c r="O234" s="126" t="str">
        <f t="shared" si="14"/>
        <v>-</v>
      </c>
      <c r="P234" s="164"/>
      <c r="Q234" s="164"/>
      <c r="R234" s="164"/>
      <c r="S234" s="164"/>
      <c r="T234" s="164"/>
      <c r="U234" s="164"/>
      <c r="V234" s="165"/>
    </row>
    <row r="235" spans="1:25" ht="27" customHeight="1">
      <c r="A235" s="192" t="str">
        <f>IF(ISBLANK(C235)," ",230-COUNTBLANK($C$6:C235))</f>
        <v xml:space="preserve"> </v>
      </c>
      <c r="B235" s="178"/>
      <c r="C235" s="178"/>
      <c r="D235" s="193"/>
      <c r="E235" s="193"/>
      <c r="F235" s="180"/>
      <c r="G235" s="180"/>
      <c r="H235" s="180"/>
      <c r="I235" s="180"/>
      <c r="J235" s="180"/>
      <c r="K235" s="180"/>
      <c r="L235" s="180"/>
      <c r="M235" s="181"/>
      <c r="N235" s="163" t="str">
        <f>CONCATENATE(C235,H235)</f>
        <v/>
      </c>
      <c r="O235" s="126" t="str">
        <f t="shared" si="14"/>
        <v>-</v>
      </c>
      <c r="P235" s="164"/>
      <c r="Q235" s="164"/>
      <c r="R235" s="164"/>
      <c r="S235" s="164"/>
      <c r="T235" s="164"/>
      <c r="U235" s="164"/>
      <c r="V235" s="166"/>
      <c r="W235" s="164"/>
      <c r="X235" s="164"/>
      <c r="Y235" s="164"/>
    </row>
    <row r="236" spans="1:25" ht="27" customHeight="1">
      <c r="A236" s="172" t="s">
        <v>44</v>
      </c>
      <c r="B236" s="173"/>
      <c r="C236" s="174"/>
      <c r="D236" s="194"/>
      <c r="E236" s="194">
        <f>SUM(E216:E235)</f>
        <v>0</v>
      </c>
      <c r="F236" s="176"/>
      <c r="G236" s="176"/>
      <c r="H236" s="176"/>
      <c r="I236" s="176"/>
      <c r="J236" s="176"/>
      <c r="K236" s="176"/>
      <c r="L236" s="176"/>
      <c r="M236" s="177"/>
      <c r="N236" s="163" t="str">
        <f>CONCATENATE(C236,H236)</f>
        <v/>
      </c>
      <c r="O236" s="126"/>
      <c r="P236" s="164"/>
      <c r="Q236" s="164"/>
      <c r="R236" s="164"/>
      <c r="S236" s="164"/>
      <c r="T236" s="164"/>
      <c r="U236" s="164"/>
      <c r="V236" s="166"/>
      <c r="W236" s="164"/>
      <c r="X236" s="164"/>
      <c r="Y236" s="164"/>
    </row>
    <row r="237" spans="1:25" ht="27" customHeight="1">
      <c r="A237" s="187" t="str">
        <f>IF(ISBLANK(C237)," ",232-COUNTBLANK($C$6:C237))</f>
        <v xml:space="preserve"> </v>
      </c>
      <c r="B237" s="188"/>
      <c r="C237" s="188"/>
      <c r="D237" s="189"/>
      <c r="E237" s="189"/>
      <c r="F237" s="190"/>
      <c r="G237" s="190"/>
      <c r="H237" s="190"/>
      <c r="I237" s="190"/>
      <c r="J237" s="190"/>
      <c r="K237" s="190"/>
      <c r="L237" s="190"/>
      <c r="M237" s="191"/>
      <c r="N237" s="163" t="str">
        <f>CONCATENATE(C237,H237)</f>
        <v/>
      </c>
      <c r="O237" s="126" t="str">
        <f>IF(D237&gt;=E237,"-","ERR")</f>
        <v>-</v>
      </c>
      <c r="P237" s="164"/>
      <c r="Q237" s="164"/>
      <c r="R237" s="164"/>
      <c r="S237" s="164"/>
      <c r="T237" s="164"/>
      <c r="U237" s="164"/>
      <c r="V237" s="164"/>
    </row>
    <row r="238" spans="1:25" ht="27" customHeight="1">
      <c r="A238" s="192" t="str">
        <f>IF(ISBLANK(C238)," ",233-COUNTBLANK($C$6:C238))</f>
        <v xml:space="preserve"> </v>
      </c>
      <c r="B238" s="178"/>
      <c r="C238" s="178"/>
      <c r="D238" s="193"/>
      <c r="E238" s="193"/>
      <c r="F238" s="180"/>
      <c r="G238" s="180"/>
      <c r="H238" s="180"/>
      <c r="I238" s="180"/>
      <c r="J238" s="180"/>
      <c r="K238" s="180"/>
      <c r="L238" s="180"/>
      <c r="M238" s="181"/>
      <c r="N238" s="163" t="str">
        <f t="shared" ref="N238:N257" si="15">CONCATENATE(C238,H238)</f>
        <v/>
      </c>
      <c r="O238" s="126" t="str">
        <f t="shared" ref="O238:O256" si="16">IF(D238&gt;=E238,"-","ERR")</f>
        <v>-</v>
      </c>
      <c r="P238" s="164"/>
      <c r="Q238" s="164"/>
      <c r="R238" s="164"/>
      <c r="S238" s="164"/>
      <c r="T238" s="164"/>
      <c r="U238" s="164"/>
      <c r="V238" s="164"/>
    </row>
    <row r="239" spans="1:25" ht="27" customHeight="1">
      <c r="A239" s="192" t="str">
        <f>IF(ISBLANK(C239)," ",234-COUNTBLANK($C$6:C239))</f>
        <v xml:space="preserve"> </v>
      </c>
      <c r="B239" s="178"/>
      <c r="C239" s="178"/>
      <c r="D239" s="193"/>
      <c r="E239" s="193"/>
      <c r="F239" s="180"/>
      <c r="G239" s="180"/>
      <c r="H239" s="180"/>
      <c r="I239" s="180"/>
      <c r="J239" s="180"/>
      <c r="K239" s="180"/>
      <c r="L239" s="180"/>
      <c r="M239" s="181"/>
      <c r="N239" s="163" t="str">
        <f t="shared" si="15"/>
        <v/>
      </c>
      <c r="O239" s="126" t="str">
        <f t="shared" si="16"/>
        <v>-</v>
      </c>
      <c r="P239" s="164"/>
      <c r="Q239" s="164"/>
      <c r="R239" s="164"/>
      <c r="S239" s="164"/>
      <c r="T239" s="164"/>
      <c r="U239" s="164"/>
      <c r="V239" s="164"/>
    </row>
    <row r="240" spans="1:25" ht="27" customHeight="1">
      <c r="A240" s="192" t="str">
        <f>IF(ISBLANK(C240)," ",235-COUNTBLANK($C$6:C240))</f>
        <v xml:space="preserve"> </v>
      </c>
      <c r="B240" s="178"/>
      <c r="C240" s="178"/>
      <c r="D240" s="193"/>
      <c r="E240" s="193"/>
      <c r="F240" s="180"/>
      <c r="G240" s="180"/>
      <c r="H240" s="180"/>
      <c r="I240" s="180"/>
      <c r="J240" s="180"/>
      <c r="K240" s="180"/>
      <c r="L240" s="180"/>
      <c r="M240" s="181"/>
      <c r="N240" s="163" t="str">
        <f t="shared" si="15"/>
        <v/>
      </c>
      <c r="O240" s="126" t="str">
        <f t="shared" si="16"/>
        <v>-</v>
      </c>
      <c r="P240" s="164"/>
      <c r="Q240" s="164"/>
      <c r="R240" s="164"/>
      <c r="S240" s="164"/>
      <c r="T240" s="164"/>
      <c r="U240" s="164"/>
      <c r="V240" s="164"/>
    </row>
    <row r="241" spans="1:25" ht="27" customHeight="1">
      <c r="A241" s="192" t="str">
        <f>IF(ISBLANK(C241)," ",236-COUNTBLANK($C$6:C241))</f>
        <v xml:space="preserve"> </v>
      </c>
      <c r="B241" s="178"/>
      <c r="C241" s="178"/>
      <c r="D241" s="193"/>
      <c r="E241" s="193"/>
      <c r="F241" s="180"/>
      <c r="G241" s="180"/>
      <c r="H241" s="180"/>
      <c r="I241" s="180"/>
      <c r="J241" s="180"/>
      <c r="K241" s="180"/>
      <c r="L241" s="180"/>
      <c r="M241" s="181"/>
      <c r="N241" s="163" t="str">
        <f t="shared" si="15"/>
        <v/>
      </c>
      <c r="O241" s="126" t="str">
        <f t="shared" si="16"/>
        <v>-</v>
      </c>
      <c r="P241" s="164"/>
      <c r="Q241" s="164"/>
      <c r="R241" s="164"/>
      <c r="S241" s="164"/>
      <c r="T241" s="164"/>
      <c r="U241" s="164"/>
      <c r="V241" s="164"/>
    </row>
    <row r="242" spans="1:25" ht="27" customHeight="1">
      <c r="A242" s="192" t="str">
        <f>IF(ISBLANK(C242)," ",237-COUNTBLANK($C$6:C242))</f>
        <v xml:space="preserve"> </v>
      </c>
      <c r="B242" s="178"/>
      <c r="C242" s="178"/>
      <c r="D242" s="193"/>
      <c r="E242" s="193"/>
      <c r="F242" s="180"/>
      <c r="G242" s="180"/>
      <c r="H242" s="180"/>
      <c r="I242" s="180"/>
      <c r="J242" s="180"/>
      <c r="K242" s="180"/>
      <c r="L242" s="180"/>
      <c r="M242" s="181"/>
      <c r="N242" s="163" t="str">
        <f t="shared" si="15"/>
        <v/>
      </c>
      <c r="O242" s="126" t="str">
        <f t="shared" si="16"/>
        <v>-</v>
      </c>
      <c r="P242" s="164"/>
      <c r="Q242" s="164"/>
      <c r="R242" s="164"/>
      <c r="S242" s="164"/>
      <c r="T242" s="164"/>
      <c r="U242" s="164"/>
      <c r="V242" s="164"/>
    </row>
    <row r="243" spans="1:25" ht="27" customHeight="1">
      <c r="A243" s="192" t="str">
        <f>IF(ISBLANK(C243)," ",238-COUNTBLANK($C$6:C243))</f>
        <v xml:space="preserve"> </v>
      </c>
      <c r="B243" s="178"/>
      <c r="C243" s="178"/>
      <c r="D243" s="193"/>
      <c r="E243" s="193"/>
      <c r="F243" s="180"/>
      <c r="G243" s="180"/>
      <c r="H243" s="180"/>
      <c r="I243" s="180"/>
      <c r="J243" s="180"/>
      <c r="K243" s="180"/>
      <c r="L243" s="180"/>
      <c r="M243" s="181"/>
      <c r="N243" s="163" t="str">
        <f t="shared" si="15"/>
        <v/>
      </c>
      <c r="O243" s="126" t="str">
        <f t="shared" si="16"/>
        <v>-</v>
      </c>
      <c r="P243" s="164"/>
      <c r="Q243" s="164"/>
      <c r="R243" s="164"/>
      <c r="S243" s="164"/>
      <c r="T243" s="164"/>
      <c r="U243" s="164"/>
      <c r="V243" s="164"/>
    </row>
    <row r="244" spans="1:25" ht="27" customHeight="1">
      <c r="A244" s="192" t="str">
        <f>IF(ISBLANK(C244)," ",239-COUNTBLANK($C$6:C244))</f>
        <v xml:space="preserve"> </v>
      </c>
      <c r="B244" s="178"/>
      <c r="C244" s="178"/>
      <c r="D244" s="193"/>
      <c r="E244" s="193"/>
      <c r="F244" s="180"/>
      <c r="G244" s="180"/>
      <c r="H244" s="180"/>
      <c r="I244" s="180"/>
      <c r="J244" s="180"/>
      <c r="K244" s="180"/>
      <c r="L244" s="180"/>
      <c r="M244" s="181"/>
      <c r="N244" s="163" t="str">
        <f t="shared" si="15"/>
        <v/>
      </c>
      <c r="O244" s="126" t="str">
        <f t="shared" si="16"/>
        <v>-</v>
      </c>
      <c r="P244" s="164"/>
      <c r="Q244" s="164"/>
      <c r="R244" s="164"/>
      <c r="S244" s="164"/>
      <c r="T244" s="164"/>
      <c r="U244" s="164"/>
      <c r="V244" s="164"/>
    </row>
    <row r="245" spans="1:25" ht="27" customHeight="1">
      <c r="A245" s="192" t="str">
        <f>IF(ISBLANK(C245)," ",240-COUNTBLANK($C$6:C245))</f>
        <v xml:space="preserve"> </v>
      </c>
      <c r="B245" s="178"/>
      <c r="C245" s="178"/>
      <c r="D245" s="193"/>
      <c r="E245" s="193"/>
      <c r="F245" s="180"/>
      <c r="G245" s="180"/>
      <c r="H245" s="180"/>
      <c r="I245" s="180"/>
      <c r="J245" s="180"/>
      <c r="K245" s="180"/>
      <c r="L245" s="180"/>
      <c r="M245" s="181"/>
      <c r="N245" s="163" t="str">
        <f t="shared" si="15"/>
        <v/>
      </c>
      <c r="O245" s="126" t="str">
        <f t="shared" si="16"/>
        <v>-</v>
      </c>
      <c r="P245" s="164"/>
      <c r="Q245" s="164"/>
      <c r="R245" s="164"/>
      <c r="S245" s="164"/>
      <c r="T245" s="164"/>
      <c r="U245" s="164"/>
      <c r="V245" s="164"/>
    </row>
    <row r="246" spans="1:25" ht="27" customHeight="1">
      <c r="A246" s="192" t="str">
        <f>IF(ISBLANK(C246)," ",241-COUNTBLANK($C$6:C246))</f>
        <v xml:space="preserve"> </v>
      </c>
      <c r="B246" s="178"/>
      <c r="C246" s="178"/>
      <c r="D246" s="193"/>
      <c r="E246" s="193"/>
      <c r="F246" s="180"/>
      <c r="G246" s="180"/>
      <c r="H246" s="180"/>
      <c r="I246" s="180"/>
      <c r="J246" s="180"/>
      <c r="K246" s="180"/>
      <c r="L246" s="180"/>
      <c r="M246" s="181"/>
      <c r="N246" s="163" t="str">
        <f t="shared" si="15"/>
        <v/>
      </c>
      <c r="O246" s="126" t="str">
        <f t="shared" si="16"/>
        <v>-</v>
      </c>
      <c r="P246" s="164"/>
      <c r="Q246" s="164"/>
      <c r="R246" s="164"/>
      <c r="S246" s="164"/>
      <c r="T246" s="164"/>
      <c r="U246" s="164"/>
      <c r="V246" s="164"/>
    </row>
    <row r="247" spans="1:25" ht="27" customHeight="1">
      <c r="A247" s="192" t="str">
        <f>IF(ISBLANK(C247)," ",242-COUNTBLANK($C$6:C247))</f>
        <v xml:space="preserve"> </v>
      </c>
      <c r="B247" s="178"/>
      <c r="C247" s="178"/>
      <c r="D247" s="193"/>
      <c r="E247" s="193"/>
      <c r="F247" s="180"/>
      <c r="G247" s="180"/>
      <c r="H247" s="180"/>
      <c r="I247" s="180"/>
      <c r="J247" s="180"/>
      <c r="K247" s="180"/>
      <c r="L247" s="180"/>
      <c r="M247" s="181"/>
      <c r="N247" s="163" t="str">
        <f t="shared" si="15"/>
        <v/>
      </c>
      <c r="O247" s="126" t="str">
        <f t="shared" si="16"/>
        <v>-</v>
      </c>
      <c r="P247" s="164"/>
      <c r="Q247" s="164"/>
      <c r="R247" s="164"/>
      <c r="S247" s="164"/>
      <c r="T247" s="164"/>
      <c r="U247" s="164"/>
      <c r="V247" s="164"/>
    </row>
    <row r="248" spans="1:25" ht="27" customHeight="1">
      <c r="A248" s="192" t="str">
        <f>IF(ISBLANK(C248)," ",243-COUNTBLANK($C$6:C248))</f>
        <v xml:space="preserve"> </v>
      </c>
      <c r="B248" s="178"/>
      <c r="C248" s="178"/>
      <c r="D248" s="193"/>
      <c r="E248" s="193"/>
      <c r="F248" s="180"/>
      <c r="G248" s="180"/>
      <c r="H248" s="180"/>
      <c r="I248" s="180"/>
      <c r="J248" s="180"/>
      <c r="K248" s="180"/>
      <c r="L248" s="180"/>
      <c r="M248" s="181"/>
      <c r="N248" s="163" t="str">
        <f t="shared" si="15"/>
        <v/>
      </c>
      <c r="O248" s="126" t="str">
        <f t="shared" si="16"/>
        <v>-</v>
      </c>
      <c r="P248" s="164"/>
      <c r="Q248" s="164"/>
      <c r="R248" s="164"/>
      <c r="S248" s="164"/>
      <c r="T248" s="164"/>
      <c r="U248" s="164"/>
      <c r="V248" s="164"/>
    </row>
    <row r="249" spans="1:25" ht="27" customHeight="1">
      <c r="A249" s="192" t="str">
        <f>IF(ISBLANK(C249)," ",244-COUNTBLANK($C$6:C249))</f>
        <v xml:space="preserve"> </v>
      </c>
      <c r="B249" s="178"/>
      <c r="C249" s="178"/>
      <c r="D249" s="193"/>
      <c r="E249" s="193"/>
      <c r="F249" s="180"/>
      <c r="G249" s="180"/>
      <c r="H249" s="180"/>
      <c r="I249" s="180"/>
      <c r="J249" s="180"/>
      <c r="K249" s="180"/>
      <c r="L249" s="180"/>
      <c r="M249" s="181"/>
      <c r="N249" s="163" t="str">
        <f t="shared" si="15"/>
        <v/>
      </c>
      <c r="O249" s="126" t="str">
        <f t="shared" si="16"/>
        <v>-</v>
      </c>
      <c r="P249" s="164"/>
      <c r="Q249" s="164"/>
      <c r="R249" s="164"/>
      <c r="S249" s="164"/>
      <c r="T249" s="164"/>
      <c r="U249" s="164"/>
      <c r="V249" s="164"/>
    </row>
    <row r="250" spans="1:25" ht="27" customHeight="1">
      <c r="A250" s="192" t="str">
        <f>IF(ISBLANK(C250)," ",245-COUNTBLANK($C$6:C250))</f>
        <v xml:space="preserve"> </v>
      </c>
      <c r="B250" s="178"/>
      <c r="C250" s="178"/>
      <c r="D250" s="193"/>
      <c r="E250" s="193"/>
      <c r="F250" s="180"/>
      <c r="G250" s="180"/>
      <c r="H250" s="180"/>
      <c r="I250" s="180"/>
      <c r="J250" s="180"/>
      <c r="K250" s="180"/>
      <c r="L250" s="180"/>
      <c r="M250" s="181"/>
      <c r="N250" s="163" t="str">
        <f t="shared" si="15"/>
        <v/>
      </c>
      <c r="O250" s="126" t="str">
        <f t="shared" si="16"/>
        <v>-</v>
      </c>
      <c r="P250" s="164"/>
      <c r="Q250" s="164"/>
      <c r="R250" s="164"/>
      <c r="S250" s="164"/>
      <c r="T250" s="164"/>
      <c r="U250" s="164"/>
      <c r="V250" s="164"/>
    </row>
    <row r="251" spans="1:25" ht="27" customHeight="1">
      <c r="A251" s="192" t="str">
        <f>IF(ISBLANK(C251)," ",246-COUNTBLANK($C$6:C251))</f>
        <v xml:space="preserve"> </v>
      </c>
      <c r="B251" s="178"/>
      <c r="C251" s="178"/>
      <c r="D251" s="193"/>
      <c r="E251" s="193"/>
      <c r="F251" s="180"/>
      <c r="G251" s="180"/>
      <c r="H251" s="180"/>
      <c r="I251" s="180"/>
      <c r="J251" s="180"/>
      <c r="K251" s="180"/>
      <c r="L251" s="180"/>
      <c r="M251" s="181"/>
      <c r="N251" s="163" t="str">
        <f t="shared" si="15"/>
        <v/>
      </c>
      <c r="O251" s="126" t="str">
        <f t="shared" si="16"/>
        <v>-</v>
      </c>
      <c r="P251" s="164"/>
      <c r="Q251" s="164"/>
      <c r="R251" s="164"/>
      <c r="S251" s="164"/>
      <c r="T251" s="164"/>
      <c r="U251" s="164"/>
      <c r="V251" s="164"/>
    </row>
    <row r="252" spans="1:25" ht="27" customHeight="1">
      <c r="A252" s="192" t="str">
        <f>IF(ISBLANK(C252)," ",247-COUNTBLANK($C$6:C252))</f>
        <v xml:space="preserve"> </v>
      </c>
      <c r="B252" s="178"/>
      <c r="C252" s="178"/>
      <c r="D252" s="193"/>
      <c r="E252" s="193"/>
      <c r="F252" s="180"/>
      <c r="G252" s="180"/>
      <c r="H252" s="180"/>
      <c r="I252" s="180"/>
      <c r="J252" s="180"/>
      <c r="K252" s="180"/>
      <c r="L252" s="180"/>
      <c r="M252" s="181"/>
      <c r="N252" s="163" t="str">
        <f t="shared" si="15"/>
        <v/>
      </c>
      <c r="O252" s="126" t="str">
        <f t="shared" si="16"/>
        <v>-</v>
      </c>
      <c r="P252" s="164"/>
      <c r="Q252" s="164"/>
      <c r="R252" s="164"/>
      <c r="S252" s="164"/>
      <c r="T252" s="164"/>
      <c r="U252" s="164"/>
      <c r="V252" s="165"/>
    </row>
    <row r="253" spans="1:25" ht="27" customHeight="1">
      <c r="A253" s="192" t="str">
        <f>IF(ISBLANK(C253)," ",248-COUNTBLANK($C$6:C253))</f>
        <v xml:space="preserve"> </v>
      </c>
      <c r="B253" s="178"/>
      <c r="C253" s="178"/>
      <c r="D253" s="193"/>
      <c r="E253" s="193"/>
      <c r="F253" s="180"/>
      <c r="G253" s="180"/>
      <c r="H253" s="180"/>
      <c r="I253" s="180"/>
      <c r="J253" s="180"/>
      <c r="K253" s="180"/>
      <c r="L253" s="180"/>
      <c r="M253" s="181"/>
      <c r="N253" s="163" t="str">
        <f t="shared" si="15"/>
        <v/>
      </c>
      <c r="O253" s="126" t="str">
        <f t="shared" si="16"/>
        <v>-</v>
      </c>
      <c r="P253" s="164"/>
      <c r="Q253" s="164"/>
      <c r="R253" s="164"/>
      <c r="S253" s="164"/>
      <c r="T253" s="164"/>
      <c r="U253" s="164"/>
      <c r="V253" s="165"/>
    </row>
    <row r="254" spans="1:25" ht="27" customHeight="1">
      <c r="A254" s="192" t="str">
        <f>IF(ISBLANK(C254)," ",249-COUNTBLANK($C$6:C254))</f>
        <v xml:space="preserve"> </v>
      </c>
      <c r="B254" s="178"/>
      <c r="C254" s="178"/>
      <c r="D254" s="193"/>
      <c r="E254" s="193"/>
      <c r="F254" s="180"/>
      <c r="G254" s="180"/>
      <c r="H254" s="180"/>
      <c r="I254" s="180"/>
      <c r="J254" s="180"/>
      <c r="K254" s="180"/>
      <c r="L254" s="180"/>
      <c r="M254" s="181"/>
      <c r="N254" s="163" t="str">
        <f t="shared" si="15"/>
        <v/>
      </c>
      <c r="O254" s="126" t="str">
        <f t="shared" si="16"/>
        <v>-</v>
      </c>
      <c r="P254" s="164"/>
      <c r="Q254" s="164"/>
      <c r="R254" s="164"/>
      <c r="S254" s="164"/>
      <c r="T254" s="164"/>
      <c r="U254" s="164"/>
      <c r="V254" s="165"/>
    </row>
    <row r="255" spans="1:25" ht="27" customHeight="1">
      <c r="A255" s="192" t="str">
        <f>IF(ISBLANK(C255)," ",250-COUNTBLANK($C$6:C255))</f>
        <v xml:space="preserve"> </v>
      </c>
      <c r="B255" s="178"/>
      <c r="C255" s="178"/>
      <c r="D255" s="193"/>
      <c r="E255" s="193"/>
      <c r="F255" s="180"/>
      <c r="G255" s="180"/>
      <c r="H255" s="180"/>
      <c r="I255" s="180"/>
      <c r="J255" s="180"/>
      <c r="K255" s="180"/>
      <c r="L255" s="180"/>
      <c r="M255" s="181"/>
      <c r="N255" s="163" t="str">
        <f t="shared" si="15"/>
        <v/>
      </c>
      <c r="O255" s="126" t="str">
        <f t="shared" si="16"/>
        <v>-</v>
      </c>
      <c r="P255" s="164"/>
      <c r="Q255" s="164"/>
      <c r="R255" s="164"/>
      <c r="S255" s="164"/>
      <c r="T255" s="164"/>
      <c r="U255" s="164"/>
      <c r="V255" s="165"/>
    </row>
    <row r="256" spans="1:25" ht="27" customHeight="1">
      <c r="A256" s="192" t="str">
        <f>IF(ISBLANK(C256)," ",251-COUNTBLANK($C$6:C256))</f>
        <v xml:space="preserve"> </v>
      </c>
      <c r="B256" s="178"/>
      <c r="C256" s="178"/>
      <c r="D256" s="193"/>
      <c r="E256" s="193"/>
      <c r="F256" s="180"/>
      <c r="G256" s="180"/>
      <c r="H256" s="180"/>
      <c r="I256" s="180"/>
      <c r="J256" s="180"/>
      <c r="K256" s="180"/>
      <c r="L256" s="180"/>
      <c r="M256" s="181"/>
      <c r="N256" s="163" t="str">
        <f t="shared" si="15"/>
        <v/>
      </c>
      <c r="O256" s="126" t="str">
        <f t="shared" si="16"/>
        <v>-</v>
      </c>
      <c r="P256" s="164"/>
      <c r="Q256" s="164"/>
      <c r="R256" s="164"/>
      <c r="S256" s="164"/>
      <c r="T256" s="164"/>
      <c r="U256" s="164"/>
      <c r="V256" s="166"/>
      <c r="W256" s="164"/>
      <c r="X256" s="164"/>
      <c r="Y256" s="164"/>
    </row>
    <row r="257" spans="1:25" ht="27" customHeight="1">
      <c r="A257" s="172" t="s">
        <v>44</v>
      </c>
      <c r="B257" s="173"/>
      <c r="C257" s="174"/>
      <c r="D257" s="194"/>
      <c r="E257" s="194">
        <f>SUM(E237:E256)</f>
        <v>0</v>
      </c>
      <c r="F257" s="176"/>
      <c r="G257" s="176"/>
      <c r="H257" s="176"/>
      <c r="I257" s="176"/>
      <c r="J257" s="176"/>
      <c r="K257" s="176"/>
      <c r="L257" s="176"/>
      <c r="M257" s="177"/>
      <c r="N257" s="163" t="str">
        <f t="shared" si="15"/>
        <v/>
      </c>
      <c r="O257" s="126"/>
      <c r="P257" s="164"/>
      <c r="Q257" s="164"/>
      <c r="R257" s="164"/>
      <c r="S257" s="164"/>
      <c r="T257" s="164"/>
      <c r="U257" s="164"/>
      <c r="V257" s="166"/>
      <c r="W257" s="164"/>
      <c r="X257" s="164"/>
      <c r="Y257" s="164"/>
    </row>
    <row r="258" spans="1:25" ht="27" customHeight="1">
      <c r="A258" s="187" t="str">
        <f>IF(ISBLANK(C258)," ",253-COUNTBLANK($C$6:C258))</f>
        <v xml:space="preserve"> </v>
      </c>
      <c r="B258" s="188"/>
      <c r="C258" s="188"/>
      <c r="D258" s="189"/>
      <c r="E258" s="189"/>
      <c r="F258" s="190"/>
      <c r="G258" s="190"/>
      <c r="H258" s="190"/>
      <c r="I258" s="190"/>
      <c r="J258" s="190"/>
      <c r="K258" s="190"/>
      <c r="L258" s="190"/>
      <c r="M258" s="191"/>
      <c r="N258" s="163" t="str">
        <f>CONCATENATE(C258,H258)</f>
        <v/>
      </c>
      <c r="O258" s="126" t="str">
        <f>IF(D258&gt;=E258,"-","ERR")</f>
        <v>-</v>
      </c>
      <c r="P258" s="164"/>
      <c r="Q258" s="164"/>
      <c r="R258" s="164"/>
      <c r="S258" s="164"/>
      <c r="T258" s="164"/>
      <c r="U258" s="164"/>
      <c r="V258" s="164"/>
    </row>
    <row r="259" spans="1:25" ht="27" customHeight="1">
      <c r="A259" s="192" t="str">
        <f>IF(ISBLANK(C259)," ",254-COUNTBLANK($C$6:C259))</f>
        <v xml:space="preserve"> </v>
      </c>
      <c r="B259" s="178"/>
      <c r="C259" s="178"/>
      <c r="D259" s="193"/>
      <c r="E259" s="193"/>
      <c r="F259" s="180"/>
      <c r="G259" s="180"/>
      <c r="H259" s="180"/>
      <c r="I259" s="180"/>
      <c r="J259" s="180"/>
      <c r="K259" s="180"/>
      <c r="L259" s="180"/>
      <c r="M259" s="181"/>
      <c r="N259" s="163" t="str">
        <f t="shared" ref="N259:N278" si="17">CONCATENATE(C259,H259)</f>
        <v/>
      </c>
      <c r="O259" s="126" t="str">
        <f t="shared" ref="O259:O277" si="18">IF(D259&gt;=E259,"-","ERR")</f>
        <v>-</v>
      </c>
      <c r="P259" s="164"/>
      <c r="Q259" s="164"/>
      <c r="R259" s="164"/>
      <c r="S259" s="164"/>
      <c r="T259" s="164"/>
      <c r="U259" s="164"/>
      <c r="V259" s="164"/>
    </row>
    <row r="260" spans="1:25" ht="27" customHeight="1">
      <c r="A260" s="192" t="str">
        <f>IF(ISBLANK(C260)," ",255-COUNTBLANK($C$6:C260))</f>
        <v xml:space="preserve"> </v>
      </c>
      <c r="B260" s="178"/>
      <c r="C260" s="178"/>
      <c r="D260" s="193"/>
      <c r="E260" s="193"/>
      <c r="F260" s="180"/>
      <c r="G260" s="180"/>
      <c r="H260" s="180"/>
      <c r="I260" s="180"/>
      <c r="J260" s="180"/>
      <c r="K260" s="180"/>
      <c r="L260" s="180"/>
      <c r="M260" s="181"/>
      <c r="N260" s="163" t="str">
        <f t="shared" si="17"/>
        <v/>
      </c>
      <c r="O260" s="126" t="str">
        <f t="shared" si="18"/>
        <v>-</v>
      </c>
      <c r="P260" s="164"/>
      <c r="Q260" s="164"/>
      <c r="R260" s="164"/>
      <c r="S260" s="164"/>
      <c r="T260" s="164"/>
      <c r="U260" s="164"/>
      <c r="V260" s="164"/>
    </row>
    <row r="261" spans="1:25" ht="27" customHeight="1">
      <c r="A261" s="192" t="str">
        <f>IF(ISBLANK(C261)," ",256-COUNTBLANK($C$6:C261))</f>
        <v xml:space="preserve"> </v>
      </c>
      <c r="B261" s="178"/>
      <c r="C261" s="178"/>
      <c r="D261" s="193"/>
      <c r="E261" s="193"/>
      <c r="F261" s="180"/>
      <c r="G261" s="180"/>
      <c r="H261" s="180"/>
      <c r="I261" s="180"/>
      <c r="J261" s="180"/>
      <c r="K261" s="180"/>
      <c r="L261" s="180"/>
      <c r="M261" s="181"/>
      <c r="N261" s="163" t="str">
        <f t="shared" si="17"/>
        <v/>
      </c>
      <c r="O261" s="126" t="str">
        <f t="shared" si="18"/>
        <v>-</v>
      </c>
      <c r="P261" s="164"/>
      <c r="Q261" s="164"/>
      <c r="R261" s="164"/>
      <c r="S261" s="164"/>
      <c r="T261" s="164"/>
      <c r="U261" s="164"/>
      <c r="V261" s="164"/>
    </row>
    <row r="262" spans="1:25" ht="27" customHeight="1">
      <c r="A262" s="192" t="str">
        <f>IF(ISBLANK(C262)," ",257-COUNTBLANK($C$6:C262))</f>
        <v xml:space="preserve"> </v>
      </c>
      <c r="B262" s="178"/>
      <c r="C262" s="178"/>
      <c r="D262" s="193"/>
      <c r="E262" s="193"/>
      <c r="F262" s="180"/>
      <c r="G262" s="180"/>
      <c r="H262" s="180"/>
      <c r="I262" s="180"/>
      <c r="J262" s="180"/>
      <c r="K262" s="180"/>
      <c r="L262" s="180"/>
      <c r="M262" s="181"/>
      <c r="N262" s="163" t="str">
        <f t="shared" si="17"/>
        <v/>
      </c>
      <c r="O262" s="126" t="str">
        <f t="shared" si="18"/>
        <v>-</v>
      </c>
      <c r="P262" s="164"/>
      <c r="Q262" s="164"/>
      <c r="R262" s="164"/>
      <c r="S262" s="164"/>
      <c r="T262" s="164"/>
      <c r="U262" s="164"/>
      <c r="V262" s="164"/>
    </row>
    <row r="263" spans="1:25" ht="27" customHeight="1">
      <c r="A263" s="192" t="str">
        <f>IF(ISBLANK(C263)," ",258-COUNTBLANK($C$6:C263))</f>
        <v xml:space="preserve"> </v>
      </c>
      <c r="B263" s="178"/>
      <c r="C263" s="178"/>
      <c r="D263" s="193"/>
      <c r="E263" s="193"/>
      <c r="F263" s="180"/>
      <c r="G263" s="180"/>
      <c r="H263" s="180"/>
      <c r="I263" s="180"/>
      <c r="J263" s="180"/>
      <c r="K263" s="180"/>
      <c r="L263" s="180"/>
      <c r="M263" s="181"/>
      <c r="N263" s="163" t="str">
        <f t="shared" si="17"/>
        <v/>
      </c>
      <c r="O263" s="126" t="str">
        <f t="shared" si="18"/>
        <v>-</v>
      </c>
      <c r="P263" s="164"/>
      <c r="Q263" s="164"/>
      <c r="R263" s="164"/>
      <c r="S263" s="164"/>
      <c r="T263" s="164"/>
      <c r="U263" s="164"/>
      <c r="V263" s="164"/>
    </row>
    <row r="264" spans="1:25" ht="27" customHeight="1">
      <c r="A264" s="192" t="str">
        <f>IF(ISBLANK(C264)," ",259-COUNTBLANK($C$6:C264))</f>
        <v xml:space="preserve"> </v>
      </c>
      <c r="B264" s="178"/>
      <c r="C264" s="178"/>
      <c r="D264" s="193"/>
      <c r="E264" s="193"/>
      <c r="F264" s="180"/>
      <c r="G264" s="180"/>
      <c r="H264" s="180"/>
      <c r="I264" s="180"/>
      <c r="J264" s="180"/>
      <c r="K264" s="180"/>
      <c r="L264" s="180"/>
      <c r="M264" s="181"/>
      <c r="N264" s="163" t="str">
        <f t="shared" si="17"/>
        <v/>
      </c>
      <c r="O264" s="126" t="str">
        <f t="shared" si="18"/>
        <v>-</v>
      </c>
      <c r="P264" s="164"/>
      <c r="Q264" s="164"/>
      <c r="R264" s="164"/>
      <c r="S264" s="164"/>
      <c r="T264" s="164"/>
      <c r="U264" s="164"/>
      <c r="V264" s="164"/>
    </row>
    <row r="265" spans="1:25" ht="27" customHeight="1">
      <c r="A265" s="192" t="str">
        <f>IF(ISBLANK(C265)," ",260-COUNTBLANK($C$6:C265))</f>
        <v xml:space="preserve"> </v>
      </c>
      <c r="B265" s="178"/>
      <c r="C265" s="178"/>
      <c r="D265" s="193"/>
      <c r="E265" s="193"/>
      <c r="F265" s="180"/>
      <c r="G265" s="180"/>
      <c r="H265" s="180"/>
      <c r="I265" s="180"/>
      <c r="J265" s="180"/>
      <c r="K265" s="180"/>
      <c r="L265" s="180"/>
      <c r="M265" s="181"/>
      <c r="N265" s="163" t="str">
        <f t="shared" si="17"/>
        <v/>
      </c>
      <c r="O265" s="126" t="str">
        <f t="shared" si="18"/>
        <v>-</v>
      </c>
      <c r="P265" s="164"/>
      <c r="Q265" s="164"/>
      <c r="R265" s="164"/>
      <c r="S265" s="164"/>
      <c r="T265" s="164"/>
      <c r="U265" s="164"/>
      <c r="V265" s="164"/>
    </row>
    <row r="266" spans="1:25" ht="27" customHeight="1">
      <c r="A266" s="192" t="str">
        <f>IF(ISBLANK(C266)," ",261-COUNTBLANK($C$6:C266))</f>
        <v xml:space="preserve"> </v>
      </c>
      <c r="B266" s="178"/>
      <c r="C266" s="178"/>
      <c r="D266" s="193"/>
      <c r="E266" s="193"/>
      <c r="F266" s="180"/>
      <c r="G266" s="180"/>
      <c r="H266" s="180"/>
      <c r="I266" s="180"/>
      <c r="J266" s="180"/>
      <c r="K266" s="180"/>
      <c r="L266" s="180"/>
      <c r="M266" s="181"/>
      <c r="N266" s="163" t="str">
        <f t="shared" si="17"/>
        <v/>
      </c>
      <c r="O266" s="126" t="str">
        <f t="shared" si="18"/>
        <v>-</v>
      </c>
      <c r="P266" s="164"/>
      <c r="Q266" s="164"/>
      <c r="R266" s="164"/>
      <c r="S266" s="164"/>
      <c r="T266" s="164"/>
      <c r="U266" s="164"/>
      <c r="V266" s="164"/>
    </row>
    <row r="267" spans="1:25" ht="27" customHeight="1">
      <c r="A267" s="192" t="str">
        <f>IF(ISBLANK(C267)," ",262-COUNTBLANK($C$6:C267))</f>
        <v xml:space="preserve"> </v>
      </c>
      <c r="B267" s="178"/>
      <c r="C267" s="178"/>
      <c r="D267" s="193"/>
      <c r="E267" s="193"/>
      <c r="F267" s="180"/>
      <c r="G267" s="180"/>
      <c r="H267" s="180"/>
      <c r="I267" s="180"/>
      <c r="J267" s="180"/>
      <c r="K267" s="180"/>
      <c r="L267" s="180"/>
      <c r="M267" s="181"/>
      <c r="N267" s="163" t="str">
        <f t="shared" si="17"/>
        <v/>
      </c>
      <c r="O267" s="126" t="str">
        <f t="shared" si="18"/>
        <v>-</v>
      </c>
      <c r="P267" s="164"/>
      <c r="Q267" s="164"/>
      <c r="R267" s="164"/>
      <c r="S267" s="164"/>
      <c r="T267" s="164"/>
      <c r="U267" s="164"/>
      <c r="V267" s="164"/>
    </row>
    <row r="268" spans="1:25" ht="27" customHeight="1">
      <c r="A268" s="192" t="str">
        <f>IF(ISBLANK(C268)," ",263-COUNTBLANK($C$6:C268))</f>
        <v xml:space="preserve"> </v>
      </c>
      <c r="B268" s="178"/>
      <c r="C268" s="178"/>
      <c r="D268" s="193"/>
      <c r="E268" s="193"/>
      <c r="F268" s="180"/>
      <c r="G268" s="180"/>
      <c r="H268" s="180"/>
      <c r="I268" s="180"/>
      <c r="J268" s="180"/>
      <c r="K268" s="180"/>
      <c r="L268" s="180"/>
      <c r="M268" s="181"/>
      <c r="N268" s="163" t="str">
        <f t="shared" si="17"/>
        <v/>
      </c>
      <c r="O268" s="126" t="str">
        <f t="shared" si="18"/>
        <v>-</v>
      </c>
      <c r="P268" s="164"/>
      <c r="Q268" s="164"/>
      <c r="R268" s="164"/>
      <c r="S268" s="164"/>
      <c r="T268" s="164"/>
      <c r="U268" s="164"/>
      <c r="V268" s="164"/>
    </row>
    <row r="269" spans="1:25" ht="27" customHeight="1">
      <c r="A269" s="192" t="str">
        <f>IF(ISBLANK(C269)," ",264-COUNTBLANK($C$6:C269))</f>
        <v xml:space="preserve"> </v>
      </c>
      <c r="B269" s="178"/>
      <c r="C269" s="178"/>
      <c r="D269" s="193"/>
      <c r="E269" s="193"/>
      <c r="F269" s="180"/>
      <c r="G269" s="180"/>
      <c r="H269" s="180"/>
      <c r="I269" s="180"/>
      <c r="J269" s="180"/>
      <c r="K269" s="180"/>
      <c r="L269" s="180"/>
      <c r="M269" s="181"/>
      <c r="N269" s="163" t="str">
        <f t="shared" si="17"/>
        <v/>
      </c>
      <c r="O269" s="126" t="str">
        <f t="shared" si="18"/>
        <v>-</v>
      </c>
      <c r="P269" s="164"/>
      <c r="Q269" s="164"/>
      <c r="R269" s="164"/>
      <c r="S269" s="164"/>
      <c r="T269" s="164"/>
      <c r="U269" s="164"/>
      <c r="V269" s="164"/>
    </row>
    <row r="270" spans="1:25" ht="27" customHeight="1">
      <c r="A270" s="192" t="str">
        <f>IF(ISBLANK(C270)," ",265-COUNTBLANK($C$6:C270))</f>
        <v xml:space="preserve"> </v>
      </c>
      <c r="B270" s="178"/>
      <c r="C270" s="178"/>
      <c r="D270" s="193"/>
      <c r="E270" s="193"/>
      <c r="F270" s="180"/>
      <c r="G270" s="180"/>
      <c r="H270" s="180"/>
      <c r="I270" s="180"/>
      <c r="J270" s="180"/>
      <c r="K270" s="180"/>
      <c r="L270" s="180"/>
      <c r="M270" s="181"/>
      <c r="N270" s="163" t="str">
        <f t="shared" si="17"/>
        <v/>
      </c>
      <c r="O270" s="126" t="str">
        <f t="shared" si="18"/>
        <v>-</v>
      </c>
      <c r="P270" s="164"/>
      <c r="Q270" s="164"/>
      <c r="R270" s="164"/>
      <c r="S270" s="164"/>
      <c r="T270" s="164"/>
      <c r="U270" s="164"/>
      <c r="V270" s="164"/>
    </row>
    <row r="271" spans="1:25" ht="27" customHeight="1">
      <c r="A271" s="192" t="str">
        <f>IF(ISBLANK(C271)," ",266-COUNTBLANK($C$6:C271))</f>
        <v xml:space="preserve"> </v>
      </c>
      <c r="B271" s="178"/>
      <c r="C271" s="178"/>
      <c r="D271" s="193"/>
      <c r="E271" s="193"/>
      <c r="F271" s="180"/>
      <c r="G271" s="180"/>
      <c r="H271" s="180"/>
      <c r="I271" s="180"/>
      <c r="J271" s="180"/>
      <c r="K271" s="180"/>
      <c r="L271" s="180"/>
      <c r="M271" s="181"/>
      <c r="N271" s="163" t="str">
        <f t="shared" si="17"/>
        <v/>
      </c>
      <c r="O271" s="126" t="str">
        <f t="shared" si="18"/>
        <v>-</v>
      </c>
      <c r="P271" s="164"/>
      <c r="Q271" s="164"/>
      <c r="R271" s="164"/>
      <c r="S271" s="164"/>
      <c r="T271" s="164"/>
      <c r="U271" s="164"/>
      <c r="V271" s="164"/>
    </row>
    <row r="272" spans="1:25" ht="27" customHeight="1">
      <c r="A272" s="192" t="str">
        <f>IF(ISBLANK(C272)," ",267-COUNTBLANK($C$6:C272))</f>
        <v xml:space="preserve"> </v>
      </c>
      <c r="B272" s="178"/>
      <c r="C272" s="178"/>
      <c r="D272" s="193"/>
      <c r="E272" s="193"/>
      <c r="F272" s="180"/>
      <c r="G272" s="180"/>
      <c r="H272" s="180"/>
      <c r="I272" s="180"/>
      <c r="J272" s="180"/>
      <c r="K272" s="180"/>
      <c r="L272" s="180"/>
      <c r="M272" s="181"/>
      <c r="N272" s="163" t="str">
        <f t="shared" si="17"/>
        <v/>
      </c>
      <c r="O272" s="126" t="str">
        <f t="shared" si="18"/>
        <v>-</v>
      </c>
      <c r="P272" s="164"/>
      <c r="Q272" s="164"/>
      <c r="R272" s="164"/>
      <c r="S272" s="164"/>
      <c r="T272" s="164"/>
      <c r="U272" s="164"/>
      <c r="V272" s="164"/>
    </row>
    <row r="273" spans="1:25" ht="27" customHeight="1">
      <c r="A273" s="192" t="str">
        <f>IF(ISBLANK(C273)," ",268-COUNTBLANK($C$6:C273))</f>
        <v xml:space="preserve"> </v>
      </c>
      <c r="B273" s="178"/>
      <c r="C273" s="178"/>
      <c r="D273" s="193"/>
      <c r="E273" s="193"/>
      <c r="F273" s="180"/>
      <c r="G273" s="180"/>
      <c r="H273" s="180"/>
      <c r="I273" s="180"/>
      <c r="J273" s="180"/>
      <c r="K273" s="180"/>
      <c r="L273" s="180"/>
      <c r="M273" s="181"/>
      <c r="N273" s="163" t="str">
        <f t="shared" si="17"/>
        <v/>
      </c>
      <c r="O273" s="126" t="str">
        <f t="shared" si="18"/>
        <v>-</v>
      </c>
      <c r="P273" s="164"/>
      <c r="Q273" s="164"/>
      <c r="R273" s="164"/>
      <c r="S273" s="164"/>
      <c r="T273" s="164"/>
      <c r="U273" s="164"/>
      <c r="V273" s="165"/>
    </row>
    <row r="274" spans="1:25" ht="27" customHeight="1">
      <c r="A274" s="192" t="str">
        <f>IF(ISBLANK(C274)," ",269-COUNTBLANK($C$6:C274))</f>
        <v xml:space="preserve"> </v>
      </c>
      <c r="B274" s="178"/>
      <c r="C274" s="178"/>
      <c r="D274" s="193"/>
      <c r="E274" s="193"/>
      <c r="F274" s="180"/>
      <c r="G274" s="180"/>
      <c r="H274" s="180"/>
      <c r="I274" s="180"/>
      <c r="J274" s="180"/>
      <c r="K274" s="180"/>
      <c r="L274" s="180"/>
      <c r="M274" s="181"/>
      <c r="N274" s="163" t="str">
        <f t="shared" si="17"/>
        <v/>
      </c>
      <c r="O274" s="126" t="str">
        <f t="shared" si="18"/>
        <v>-</v>
      </c>
      <c r="P274" s="164"/>
      <c r="Q274" s="164"/>
      <c r="R274" s="164"/>
      <c r="S274" s="164"/>
      <c r="T274" s="164"/>
      <c r="U274" s="164"/>
      <c r="V274" s="165"/>
    </row>
    <row r="275" spans="1:25" ht="27" customHeight="1">
      <c r="A275" s="192" t="str">
        <f>IF(ISBLANK(C275)," ",270-COUNTBLANK($C$6:C275))</f>
        <v xml:space="preserve"> </v>
      </c>
      <c r="B275" s="178"/>
      <c r="C275" s="178"/>
      <c r="D275" s="193"/>
      <c r="E275" s="193"/>
      <c r="F275" s="180"/>
      <c r="G275" s="180"/>
      <c r="H275" s="180"/>
      <c r="I275" s="180"/>
      <c r="J275" s="180"/>
      <c r="K275" s="180"/>
      <c r="L275" s="180"/>
      <c r="M275" s="181"/>
      <c r="N275" s="163" t="str">
        <f t="shared" si="17"/>
        <v/>
      </c>
      <c r="O275" s="126" t="str">
        <f t="shared" si="18"/>
        <v>-</v>
      </c>
      <c r="P275" s="164"/>
      <c r="Q275" s="164"/>
      <c r="R275" s="164"/>
      <c r="S275" s="164"/>
      <c r="T275" s="164"/>
      <c r="U275" s="164"/>
      <c r="V275" s="165"/>
    </row>
    <row r="276" spans="1:25" ht="27" customHeight="1">
      <c r="A276" s="192" t="str">
        <f>IF(ISBLANK(C276)," ",271-COUNTBLANK($C$6:C276))</f>
        <v xml:space="preserve"> </v>
      </c>
      <c r="B276" s="178"/>
      <c r="C276" s="178"/>
      <c r="D276" s="193"/>
      <c r="E276" s="193"/>
      <c r="F276" s="180"/>
      <c r="G276" s="180"/>
      <c r="H276" s="180"/>
      <c r="I276" s="180"/>
      <c r="J276" s="180"/>
      <c r="K276" s="180"/>
      <c r="L276" s="180"/>
      <c r="M276" s="181"/>
      <c r="N276" s="163" t="str">
        <f t="shared" si="17"/>
        <v/>
      </c>
      <c r="O276" s="126" t="str">
        <f t="shared" si="18"/>
        <v>-</v>
      </c>
      <c r="P276" s="164"/>
      <c r="Q276" s="164"/>
      <c r="R276" s="164"/>
      <c r="S276" s="164"/>
      <c r="T276" s="164"/>
      <c r="U276" s="164"/>
      <c r="V276" s="165"/>
    </row>
    <row r="277" spans="1:25" ht="27" customHeight="1">
      <c r="A277" s="192" t="str">
        <f>IF(ISBLANK(C277)," ",272-COUNTBLANK($C$6:C277))</f>
        <v xml:space="preserve"> </v>
      </c>
      <c r="B277" s="178"/>
      <c r="C277" s="178"/>
      <c r="D277" s="193"/>
      <c r="E277" s="193"/>
      <c r="F277" s="180"/>
      <c r="G277" s="180"/>
      <c r="H277" s="180"/>
      <c r="I277" s="180"/>
      <c r="J277" s="180"/>
      <c r="K277" s="180"/>
      <c r="L277" s="180"/>
      <c r="M277" s="181"/>
      <c r="N277" s="163" t="str">
        <f t="shared" si="17"/>
        <v/>
      </c>
      <c r="O277" s="126" t="str">
        <f t="shared" si="18"/>
        <v>-</v>
      </c>
      <c r="P277" s="164"/>
      <c r="Q277" s="164"/>
      <c r="R277" s="164"/>
      <c r="S277" s="164"/>
      <c r="T277" s="164"/>
      <c r="U277" s="164"/>
      <c r="V277" s="166"/>
      <c r="W277" s="164"/>
      <c r="X277" s="164"/>
      <c r="Y277" s="164"/>
    </row>
    <row r="278" spans="1:25" ht="27" customHeight="1">
      <c r="A278" s="172" t="s">
        <v>44</v>
      </c>
      <c r="B278" s="173"/>
      <c r="C278" s="174"/>
      <c r="D278" s="194"/>
      <c r="E278" s="194">
        <f>SUM(E258:E277)</f>
        <v>0</v>
      </c>
      <c r="F278" s="176"/>
      <c r="G278" s="176"/>
      <c r="H278" s="176"/>
      <c r="I278" s="176"/>
      <c r="J278" s="176"/>
      <c r="K278" s="176"/>
      <c r="L278" s="176"/>
      <c r="M278" s="177"/>
      <c r="N278" s="163" t="str">
        <f t="shared" si="17"/>
        <v/>
      </c>
      <c r="O278" s="126"/>
      <c r="P278" s="164"/>
      <c r="Q278" s="164"/>
      <c r="R278" s="164"/>
      <c r="S278" s="164"/>
      <c r="T278" s="164"/>
      <c r="U278" s="164"/>
      <c r="V278" s="166"/>
      <c r="W278" s="164"/>
      <c r="X278" s="164"/>
      <c r="Y278" s="164"/>
    </row>
    <row r="279" spans="1:25" ht="27" customHeight="1">
      <c r="A279" s="187" t="str">
        <f>IF(ISBLANK(C279)," ",274-COUNTBLANK($C$6:C279))</f>
        <v xml:space="preserve"> </v>
      </c>
      <c r="B279" s="188"/>
      <c r="C279" s="188"/>
      <c r="D279" s="189"/>
      <c r="E279" s="189"/>
      <c r="F279" s="190"/>
      <c r="G279" s="190"/>
      <c r="H279" s="190"/>
      <c r="I279" s="190"/>
      <c r="J279" s="190"/>
      <c r="K279" s="190"/>
      <c r="L279" s="190"/>
      <c r="M279" s="191"/>
      <c r="N279" s="163" t="str">
        <f>CONCATENATE(C279,H279)</f>
        <v/>
      </c>
      <c r="O279" s="126" t="str">
        <f>IF(D279&gt;=E279,"-","ERR")</f>
        <v>-</v>
      </c>
      <c r="P279" s="164"/>
      <c r="Q279" s="164"/>
      <c r="R279" s="164"/>
      <c r="S279" s="164"/>
      <c r="T279" s="164"/>
      <c r="U279" s="164"/>
      <c r="V279" s="164"/>
    </row>
    <row r="280" spans="1:25" ht="27" customHeight="1">
      <c r="A280" s="192" t="str">
        <f>IF(ISBLANK(C280)," ",275-COUNTBLANK($C$6:C280))</f>
        <v xml:space="preserve"> </v>
      </c>
      <c r="B280" s="178"/>
      <c r="C280" s="178"/>
      <c r="D280" s="193"/>
      <c r="E280" s="193"/>
      <c r="F280" s="180"/>
      <c r="G280" s="180"/>
      <c r="H280" s="180"/>
      <c r="I280" s="180"/>
      <c r="J280" s="180"/>
      <c r="K280" s="180"/>
      <c r="L280" s="180"/>
      <c r="M280" s="181"/>
      <c r="N280" s="163" t="str">
        <f t="shared" ref="N280:N299" si="19">CONCATENATE(C280,H280)</f>
        <v/>
      </c>
      <c r="O280" s="126" t="str">
        <f t="shared" ref="O280:O298" si="20">IF(D280&gt;=E280,"-","ERR")</f>
        <v>-</v>
      </c>
      <c r="P280" s="164"/>
      <c r="Q280" s="164"/>
      <c r="R280" s="164"/>
      <c r="S280" s="164"/>
      <c r="T280" s="164"/>
      <c r="U280" s="164"/>
      <c r="V280" s="164"/>
    </row>
    <row r="281" spans="1:25" ht="27" customHeight="1">
      <c r="A281" s="192" t="str">
        <f>IF(ISBLANK(C281)," ",276-COUNTBLANK($C$6:C281))</f>
        <v xml:space="preserve"> </v>
      </c>
      <c r="B281" s="178"/>
      <c r="C281" s="178"/>
      <c r="D281" s="193"/>
      <c r="E281" s="193"/>
      <c r="F281" s="180"/>
      <c r="G281" s="180"/>
      <c r="H281" s="180"/>
      <c r="I281" s="180"/>
      <c r="J281" s="180"/>
      <c r="K281" s="180"/>
      <c r="L281" s="180"/>
      <c r="M281" s="181"/>
      <c r="N281" s="163" t="str">
        <f t="shared" si="19"/>
        <v/>
      </c>
      <c r="O281" s="126" t="str">
        <f t="shared" si="20"/>
        <v>-</v>
      </c>
      <c r="P281" s="164"/>
      <c r="Q281" s="164"/>
      <c r="R281" s="164"/>
      <c r="S281" s="164"/>
      <c r="T281" s="164"/>
      <c r="U281" s="164"/>
      <c r="V281" s="164"/>
    </row>
    <row r="282" spans="1:25" ht="27" customHeight="1">
      <c r="A282" s="192" t="str">
        <f>IF(ISBLANK(C282)," ",277-COUNTBLANK($C$6:C282))</f>
        <v xml:space="preserve"> </v>
      </c>
      <c r="B282" s="178"/>
      <c r="C282" s="178"/>
      <c r="D282" s="193"/>
      <c r="E282" s="193"/>
      <c r="F282" s="180"/>
      <c r="G282" s="180"/>
      <c r="H282" s="180"/>
      <c r="I282" s="180"/>
      <c r="J282" s="180"/>
      <c r="K282" s="180"/>
      <c r="L282" s="180"/>
      <c r="M282" s="181"/>
      <c r="N282" s="163" t="str">
        <f t="shared" si="19"/>
        <v/>
      </c>
      <c r="O282" s="126" t="str">
        <f t="shared" si="20"/>
        <v>-</v>
      </c>
      <c r="P282" s="164"/>
      <c r="Q282" s="164"/>
      <c r="R282" s="164"/>
      <c r="S282" s="164"/>
      <c r="T282" s="164"/>
      <c r="U282" s="164"/>
      <c r="V282" s="164"/>
    </row>
    <row r="283" spans="1:25" ht="27" customHeight="1">
      <c r="A283" s="192" t="str">
        <f>IF(ISBLANK(C283)," ",278-COUNTBLANK($C$6:C283))</f>
        <v xml:space="preserve"> </v>
      </c>
      <c r="B283" s="178"/>
      <c r="C283" s="178"/>
      <c r="D283" s="193"/>
      <c r="E283" s="193"/>
      <c r="F283" s="180"/>
      <c r="G283" s="180"/>
      <c r="H283" s="180"/>
      <c r="I283" s="180"/>
      <c r="J283" s="180"/>
      <c r="K283" s="180"/>
      <c r="L283" s="180"/>
      <c r="M283" s="181"/>
      <c r="N283" s="163" t="str">
        <f t="shared" si="19"/>
        <v/>
      </c>
      <c r="O283" s="126" t="str">
        <f t="shared" si="20"/>
        <v>-</v>
      </c>
      <c r="P283" s="164"/>
      <c r="Q283" s="164"/>
      <c r="R283" s="164"/>
      <c r="S283" s="164"/>
      <c r="T283" s="164"/>
      <c r="U283" s="164"/>
      <c r="V283" s="164"/>
    </row>
    <row r="284" spans="1:25" ht="27" customHeight="1">
      <c r="A284" s="192" t="str">
        <f>IF(ISBLANK(C284)," ",279-COUNTBLANK($C$6:C284))</f>
        <v xml:space="preserve"> </v>
      </c>
      <c r="B284" s="178"/>
      <c r="C284" s="178"/>
      <c r="D284" s="193"/>
      <c r="E284" s="193"/>
      <c r="F284" s="180"/>
      <c r="G284" s="180"/>
      <c r="H284" s="180"/>
      <c r="I284" s="180"/>
      <c r="J284" s="180"/>
      <c r="K284" s="180"/>
      <c r="L284" s="180"/>
      <c r="M284" s="181"/>
      <c r="N284" s="163" t="str">
        <f t="shared" si="19"/>
        <v/>
      </c>
      <c r="O284" s="126" t="str">
        <f t="shared" si="20"/>
        <v>-</v>
      </c>
      <c r="P284" s="164"/>
      <c r="Q284" s="164"/>
      <c r="R284" s="164"/>
      <c r="S284" s="164"/>
      <c r="T284" s="164"/>
      <c r="U284" s="164"/>
      <c r="V284" s="164"/>
    </row>
    <row r="285" spans="1:25" ht="27" customHeight="1">
      <c r="A285" s="192" t="str">
        <f>IF(ISBLANK(C285)," ",280-COUNTBLANK($C$6:C285))</f>
        <v xml:space="preserve"> </v>
      </c>
      <c r="B285" s="178"/>
      <c r="C285" s="178"/>
      <c r="D285" s="193"/>
      <c r="E285" s="193"/>
      <c r="F285" s="180"/>
      <c r="G285" s="180"/>
      <c r="H285" s="180"/>
      <c r="I285" s="180"/>
      <c r="J285" s="180"/>
      <c r="K285" s="180"/>
      <c r="L285" s="180"/>
      <c r="M285" s="181"/>
      <c r="N285" s="163" t="str">
        <f t="shared" si="19"/>
        <v/>
      </c>
      <c r="O285" s="126" t="str">
        <f t="shared" si="20"/>
        <v>-</v>
      </c>
      <c r="P285" s="164"/>
      <c r="Q285" s="164"/>
      <c r="R285" s="164"/>
      <c r="S285" s="164"/>
      <c r="T285" s="164"/>
      <c r="U285" s="164"/>
      <c r="V285" s="164"/>
    </row>
    <row r="286" spans="1:25" ht="27" customHeight="1">
      <c r="A286" s="192" t="str">
        <f>IF(ISBLANK(C286)," ",281-COUNTBLANK($C$6:C286))</f>
        <v xml:space="preserve"> </v>
      </c>
      <c r="B286" s="178"/>
      <c r="C286" s="178"/>
      <c r="D286" s="193"/>
      <c r="E286" s="193"/>
      <c r="F286" s="180"/>
      <c r="G286" s="180"/>
      <c r="H286" s="180"/>
      <c r="I286" s="180"/>
      <c r="J286" s="180"/>
      <c r="K286" s="180"/>
      <c r="L286" s="180"/>
      <c r="M286" s="181"/>
      <c r="N286" s="163" t="str">
        <f t="shared" si="19"/>
        <v/>
      </c>
      <c r="O286" s="126" t="str">
        <f t="shared" si="20"/>
        <v>-</v>
      </c>
      <c r="P286" s="164"/>
      <c r="Q286" s="164"/>
      <c r="R286" s="164"/>
      <c r="S286" s="164"/>
      <c r="T286" s="164"/>
      <c r="U286" s="164"/>
      <c r="V286" s="164"/>
    </row>
    <row r="287" spans="1:25" ht="27" customHeight="1">
      <c r="A287" s="192" t="str">
        <f>IF(ISBLANK(C287)," ",282-COUNTBLANK($C$6:C287))</f>
        <v xml:space="preserve"> </v>
      </c>
      <c r="B287" s="178"/>
      <c r="C287" s="178"/>
      <c r="D287" s="193"/>
      <c r="E287" s="193"/>
      <c r="F287" s="180"/>
      <c r="G287" s="180"/>
      <c r="H287" s="180"/>
      <c r="I287" s="180"/>
      <c r="J287" s="180"/>
      <c r="K287" s="180"/>
      <c r="L287" s="180"/>
      <c r="M287" s="181"/>
      <c r="N287" s="163" t="str">
        <f t="shared" si="19"/>
        <v/>
      </c>
      <c r="O287" s="126" t="str">
        <f t="shared" si="20"/>
        <v>-</v>
      </c>
      <c r="P287" s="164"/>
      <c r="Q287" s="164"/>
      <c r="R287" s="164"/>
      <c r="S287" s="164"/>
      <c r="T287" s="164"/>
      <c r="U287" s="164"/>
      <c r="V287" s="164"/>
    </row>
    <row r="288" spans="1:25" ht="27" customHeight="1">
      <c r="A288" s="192" t="str">
        <f>IF(ISBLANK(C288)," ",283-COUNTBLANK($C$6:C288))</f>
        <v xml:space="preserve"> </v>
      </c>
      <c r="B288" s="178"/>
      <c r="C288" s="178"/>
      <c r="D288" s="193"/>
      <c r="E288" s="193"/>
      <c r="F288" s="180"/>
      <c r="G288" s="180"/>
      <c r="H288" s="180"/>
      <c r="I288" s="180"/>
      <c r="J288" s="180"/>
      <c r="K288" s="180"/>
      <c r="L288" s="180"/>
      <c r="M288" s="181"/>
      <c r="N288" s="163" t="str">
        <f t="shared" si="19"/>
        <v/>
      </c>
      <c r="O288" s="126" t="str">
        <f t="shared" si="20"/>
        <v>-</v>
      </c>
      <c r="P288" s="164"/>
      <c r="Q288" s="164"/>
      <c r="R288" s="164"/>
      <c r="S288" s="164"/>
      <c r="T288" s="164"/>
      <c r="U288" s="164"/>
      <c r="V288" s="164"/>
    </row>
    <row r="289" spans="1:25" ht="27" customHeight="1">
      <c r="A289" s="192" t="str">
        <f>IF(ISBLANK(C289)," ",284-COUNTBLANK($C$6:C289))</f>
        <v xml:space="preserve"> </v>
      </c>
      <c r="B289" s="178"/>
      <c r="C289" s="178"/>
      <c r="D289" s="193"/>
      <c r="E289" s="193"/>
      <c r="F289" s="180"/>
      <c r="G289" s="180"/>
      <c r="H289" s="180"/>
      <c r="I289" s="180"/>
      <c r="J289" s="180"/>
      <c r="K289" s="180"/>
      <c r="L289" s="180"/>
      <c r="M289" s="181"/>
      <c r="N289" s="163" t="str">
        <f t="shared" si="19"/>
        <v/>
      </c>
      <c r="O289" s="126" t="str">
        <f t="shared" si="20"/>
        <v>-</v>
      </c>
      <c r="P289" s="164"/>
      <c r="Q289" s="164"/>
      <c r="R289" s="164"/>
      <c r="S289" s="164"/>
      <c r="T289" s="164"/>
      <c r="U289" s="164"/>
      <c r="V289" s="164"/>
    </row>
    <row r="290" spans="1:25" ht="27" customHeight="1">
      <c r="A290" s="192" t="str">
        <f>IF(ISBLANK(C290)," ",285-COUNTBLANK($C$6:C290))</f>
        <v xml:space="preserve"> </v>
      </c>
      <c r="B290" s="178"/>
      <c r="C290" s="178"/>
      <c r="D290" s="193"/>
      <c r="E290" s="193"/>
      <c r="F290" s="180"/>
      <c r="G290" s="180"/>
      <c r="H290" s="180"/>
      <c r="I290" s="180"/>
      <c r="J290" s="180"/>
      <c r="K290" s="180"/>
      <c r="L290" s="180"/>
      <c r="M290" s="181"/>
      <c r="N290" s="163" t="str">
        <f t="shared" si="19"/>
        <v/>
      </c>
      <c r="O290" s="126" t="str">
        <f t="shared" si="20"/>
        <v>-</v>
      </c>
      <c r="P290" s="164"/>
      <c r="Q290" s="164"/>
      <c r="R290" s="164"/>
      <c r="S290" s="164"/>
      <c r="T290" s="164"/>
      <c r="U290" s="164"/>
      <c r="V290" s="164"/>
    </row>
    <row r="291" spans="1:25" ht="27" customHeight="1">
      <c r="A291" s="192" t="str">
        <f>IF(ISBLANK(C291)," ",286-COUNTBLANK($C$6:C291))</f>
        <v xml:space="preserve"> </v>
      </c>
      <c r="B291" s="178"/>
      <c r="C291" s="178"/>
      <c r="D291" s="193"/>
      <c r="E291" s="193"/>
      <c r="F291" s="180"/>
      <c r="G291" s="180"/>
      <c r="H291" s="180"/>
      <c r="I291" s="180"/>
      <c r="J291" s="180"/>
      <c r="K291" s="180"/>
      <c r="L291" s="180"/>
      <c r="M291" s="181"/>
      <c r="N291" s="163" t="str">
        <f t="shared" si="19"/>
        <v/>
      </c>
      <c r="O291" s="126" t="str">
        <f t="shared" si="20"/>
        <v>-</v>
      </c>
      <c r="P291" s="164"/>
      <c r="Q291" s="164"/>
      <c r="R291" s="164"/>
      <c r="S291" s="164"/>
      <c r="T291" s="164"/>
      <c r="U291" s="164"/>
      <c r="V291" s="164"/>
    </row>
    <row r="292" spans="1:25" ht="27" customHeight="1">
      <c r="A292" s="192" t="str">
        <f>IF(ISBLANK(C292)," ",287-COUNTBLANK($C$6:C292))</f>
        <v xml:space="preserve"> </v>
      </c>
      <c r="B292" s="178"/>
      <c r="C292" s="178"/>
      <c r="D292" s="193"/>
      <c r="E292" s="193"/>
      <c r="F292" s="180"/>
      <c r="G292" s="180"/>
      <c r="H292" s="180"/>
      <c r="I292" s="180"/>
      <c r="J292" s="180"/>
      <c r="K292" s="180"/>
      <c r="L292" s="180"/>
      <c r="M292" s="181"/>
      <c r="N292" s="163" t="str">
        <f t="shared" si="19"/>
        <v/>
      </c>
      <c r="O292" s="126" t="str">
        <f t="shared" si="20"/>
        <v>-</v>
      </c>
      <c r="P292" s="164"/>
      <c r="Q292" s="164"/>
      <c r="R292" s="164"/>
      <c r="S292" s="164"/>
      <c r="T292" s="164"/>
      <c r="U292" s="164"/>
      <c r="V292" s="164"/>
    </row>
    <row r="293" spans="1:25" ht="27" customHeight="1">
      <c r="A293" s="192" t="str">
        <f>IF(ISBLANK(C293)," ",288-COUNTBLANK($C$6:C293))</f>
        <v xml:space="preserve"> </v>
      </c>
      <c r="B293" s="178"/>
      <c r="C293" s="178"/>
      <c r="D293" s="193"/>
      <c r="E293" s="193"/>
      <c r="F293" s="180"/>
      <c r="G293" s="180"/>
      <c r="H293" s="180"/>
      <c r="I293" s="180"/>
      <c r="J293" s="180"/>
      <c r="K293" s="180"/>
      <c r="L293" s="180"/>
      <c r="M293" s="181"/>
      <c r="N293" s="163" t="str">
        <f t="shared" si="19"/>
        <v/>
      </c>
      <c r="O293" s="126" t="str">
        <f t="shared" si="20"/>
        <v>-</v>
      </c>
      <c r="P293" s="164"/>
      <c r="Q293" s="164"/>
      <c r="R293" s="164"/>
      <c r="S293" s="164"/>
      <c r="T293" s="164"/>
      <c r="U293" s="164"/>
      <c r="V293" s="164"/>
    </row>
    <row r="294" spans="1:25" ht="27" customHeight="1">
      <c r="A294" s="192" t="str">
        <f>IF(ISBLANK(C294)," ",289-COUNTBLANK($C$6:C294))</f>
        <v xml:space="preserve"> </v>
      </c>
      <c r="B294" s="178"/>
      <c r="C294" s="178"/>
      <c r="D294" s="193"/>
      <c r="E294" s="193"/>
      <c r="F294" s="180"/>
      <c r="G294" s="180"/>
      <c r="H294" s="180"/>
      <c r="I294" s="180"/>
      <c r="J294" s="180"/>
      <c r="K294" s="180"/>
      <c r="L294" s="180"/>
      <c r="M294" s="181"/>
      <c r="N294" s="163" t="str">
        <f t="shared" si="19"/>
        <v/>
      </c>
      <c r="O294" s="126" t="str">
        <f t="shared" si="20"/>
        <v>-</v>
      </c>
      <c r="P294" s="164"/>
      <c r="Q294" s="164"/>
      <c r="R294" s="164"/>
      <c r="S294" s="164"/>
      <c r="T294" s="164"/>
      <c r="U294" s="164"/>
      <c r="V294" s="165"/>
    </row>
    <row r="295" spans="1:25" ht="27" customHeight="1">
      <c r="A295" s="192" t="str">
        <f>IF(ISBLANK(C295)," ",290-COUNTBLANK($C$6:C295))</f>
        <v xml:space="preserve"> </v>
      </c>
      <c r="B295" s="178"/>
      <c r="C295" s="178"/>
      <c r="D295" s="193"/>
      <c r="E295" s="193"/>
      <c r="F295" s="180"/>
      <c r="G295" s="180"/>
      <c r="H295" s="180"/>
      <c r="I295" s="180"/>
      <c r="J295" s="180"/>
      <c r="K295" s="180"/>
      <c r="L295" s="180"/>
      <c r="M295" s="181"/>
      <c r="N295" s="163" t="str">
        <f t="shared" si="19"/>
        <v/>
      </c>
      <c r="O295" s="126" t="str">
        <f t="shared" si="20"/>
        <v>-</v>
      </c>
      <c r="P295" s="164"/>
      <c r="Q295" s="164"/>
      <c r="R295" s="164"/>
      <c r="S295" s="164"/>
      <c r="T295" s="164"/>
      <c r="U295" s="164"/>
      <c r="V295" s="165"/>
    </row>
    <row r="296" spans="1:25" ht="27" customHeight="1">
      <c r="A296" s="192" t="str">
        <f>IF(ISBLANK(C296)," ",291-COUNTBLANK($C$6:C296))</f>
        <v xml:space="preserve"> </v>
      </c>
      <c r="B296" s="178"/>
      <c r="C296" s="178"/>
      <c r="D296" s="193"/>
      <c r="E296" s="193"/>
      <c r="F296" s="180"/>
      <c r="G296" s="180"/>
      <c r="H296" s="180"/>
      <c r="I296" s="180"/>
      <c r="J296" s="180"/>
      <c r="K296" s="180"/>
      <c r="L296" s="180"/>
      <c r="M296" s="181"/>
      <c r="N296" s="163" t="str">
        <f t="shared" si="19"/>
        <v/>
      </c>
      <c r="O296" s="126" t="str">
        <f t="shared" si="20"/>
        <v>-</v>
      </c>
      <c r="P296" s="164"/>
      <c r="Q296" s="164"/>
      <c r="R296" s="164"/>
      <c r="S296" s="164"/>
      <c r="T296" s="164"/>
      <c r="U296" s="164"/>
      <c r="V296" s="165"/>
    </row>
    <row r="297" spans="1:25" ht="27" customHeight="1">
      <c r="A297" s="192" t="str">
        <f>IF(ISBLANK(C297)," ",292-COUNTBLANK($C$6:C297))</f>
        <v xml:space="preserve"> </v>
      </c>
      <c r="B297" s="178"/>
      <c r="C297" s="178"/>
      <c r="D297" s="193"/>
      <c r="E297" s="193"/>
      <c r="F297" s="180"/>
      <c r="G297" s="180"/>
      <c r="H297" s="180"/>
      <c r="I297" s="180"/>
      <c r="J297" s="180"/>
      <c r="K297" s="180"/>
      <c r="L297" s="180"/>
      <c r="M297" s="181"/>
      <c r="N297" s="163" t="str">
        <f t="shared" si="19"/>
        <v/>
      </c>
      <c r="O297" s="126" t="str">
        <f t="shared" si="20"/>
        <v>-</v>
      </c>
      <c r="P297" s="164"/>
      <c r="Q297" s="164"/>
      <c r="R297" s="164"/>
      <c r="S297" s="164"/>
      <c r="T297" s="164"/>
      <c r="U297" s="164"/>
      <c r="V297" s="165"/>
    </row>
    <row r="298" spans="1:25" ht="27" customHeight="1">
      <c r="A298" s="192" t="str">
        <f>IF(ISBLANK(C298)," ",293-COUNTBLANK($C$6:C298))</f>
        <v xml:space="preserve"> </v>
      </c>
      <c r="B298" s="178"/>
      <c r="C298" s="178"/>
      <c r="D298" s="193"/>
      <c r="E298" s="193"/>
      <c r="F298" s="180"/>
      <c r="G298" s="180"/>
      <c r="H298" s="180"/>
      <c r="I298" s="180"/>
      <c r="J298" s="180"/>
      <c r="K298" s="180"/>
      <c r="L298" s="180"/>
      <c r="M298" s="181"/>
      <c r="N298" s="163" t="str">
        <f t="shared" si="19"/>
        <v/>
      </c>
      <c r="O298" s="126" t="str">
        <f t="shared" si="20"/>
        <v>-</v>
      </c>
      <c r="P298" s="164"/>
      <c r="Q298" s="164"/>
      <c r="R298" s="164"/>
      <c r="S298" s="164"/>
      <c r="T298" s="164"/>
      <c r="U298" s="164"/>
      <c r="V298" s="166"/>
      <c r="W298" s="164"/>
      <c r="X298" s="164"/>
      <c r="Y298" s="164"/>
    </row>
    <row r="299" spans="1:25" ht="27" customHeight="1">
      <c r="A299" s="172" t="s">
        <v>44</v>
      </c>
      <c r="B299" s="173"/>
      <c r="C299" s="174"/>
      <c r="D299" s="194"/>
      <c r="E299" s="194">
        <f>SUM(E279:E298)</f>
        <v>0</v>
      </c>
      <c r="F299" s="176"/>
      <c r="G299" s="176"/>
      <c r="H299" s="176"/>
      <c r="I299" s="176"/>
      <c r="J299" s="176"/>
      <c r="K299" s="176"/>
      <c r="L299" s="176"/>
      <c r="M299" s="177"/>
      <c r="N299" s="163" t="str">
        <f t="shared" si="19"/>
        <v/>
      </c>
      <c r="O299" s="126"/>
      <c r="P299" s="164"/>
      <c r="Q299" s="164"/>
      <c r="R299" s="164"/>
      <c r="S299" s="164"/>
      <c r="T299" s="164"/>
      <c r="U299" s="164"/>
      <c r="V299" s="166"/>
      <c r="W299" s="164"/>
      <c r="X299" s="164"/>
      <c r="Y299" s="164"/>
    </row>
    <row r="300" spans="1:25" ht="27" customHeight="1">
      <c r="A300" s="187" t="str">
        <f>IF(ISBLANK(C300)," ",295-COUNTBLANK($C$6:C300))</f>
        <v xml:space="preserve"> </v>
      </c>
      <c r="B300" s="188"/>
      <c r="C300" s="188"/>
      <c r="D300" s="189"/>
      <c r="E300" s="189"/>
      <c r="F300" s="190"/>
      <c r="G300" s="190"/>
      <c r="H300" s="190"/>
      <c r="I300" s="190"/>
      <c r="J300" s="190"/>
      <c r="K300" s="190"/>
      <c r="L300" s="190"/>
      <c r="M300" s="191"/>
      <c r="N300" s="163" t="str">
        <f>CONCATENATE(C300,H300)</f>
        <v/>
      </c>
      <c r="O300" s="126" t="str">
        <f>IF(D300&gt;=E300,"-","ERR")</f>
        <v>-</v>
      </c>
      <c r="P300" s="164"/>
      <c r="Q300" s="164"/>
      <c r="R300" s="164"/>
      <c r="S300" s="164"/>
      <c r="T300" s="164"/>
      <c r="U300" s="164"/>
      <c r="V300" s="164"/>
    </row>
    <row r="301" spans="1:25" ht="27" customHeight="1">
      <c r="A301" s="192" t="str">
        <f>IF(ISBLANK(C301)," ",296-COUNTBLANK($C$6:C301))</f>
        <v xml:space="preserve"> </v>
      </c>
      <c r="B301" s="178"/>
      <c r="C301" s="178"/>
      <c r="D301" s="193"/>
      <c r="E301" s="193"/>
      <c r="F301" s="180"/>
      <c r="G301" s="180"/>
      <c r="H301" s="180"/>
      <c r="I301" s="180"/>
      <c r="J301" s="180"/>
      <c r="K301" s="180"/>
      <c r="L301" s="180"/>
      <c r="M301" s="181"/>
      <c r="N301" s="163" t="str">
        <f t="shared" ref="N301:N320" si="21">CONCATENATE(C301,H301)</f>
        <v/>
      </c>
      <c r="O301" s="126" t="str">
        <f t="shared" ref="O301:O319" si="22">IF(D301&gt;=E301,"-","ERR")</f>
        <v>-</v>
      </c>
      <c r="P301" s="164"/>
      <c r="Q301" s="164"/>
      <c r="R301" s="164"/>
      <c r="S301" s="164"/>
      <c r="T301" s="164"/>
      <c r="U301" s="164"/>
      <c r="V301" s="164"/>
    </row>
    <row r="302" spans="1:25" ht="27" customHeight="1">
      <c r="A302" s="192" t="str">
        <f>IF(ISBLANK(C302)," ",297-COUNTBLANK($C$6:C302))</f>
        <v xml:space="preserve"> </v>
      </c>
      <c r="B302" s="178"/>
      <c r="C302" s="178"/>
      <c r="D302" s="193"/>
      <c r="E302" s="193"/>
      <c r="F302" s="180"/>
      <c r="G302" s="180"/>
      <c r="H302" s="180"/>
      <c r="I302" s="180"/>
      <c r="J302" s="180"/>
      <c r="K302" s="180"/>
      <c r="L302" s="180"/>
      <c r="M302" s="181"/>
      <c r="N302" s="163" t="str">
        <f t="shared" si="21"/>
        <v/>
      </c>
      <c r="O302" s="126" t="str">
        <f t="shared" si="22"/>
        <v>-</v>
      </c>
      <c r="P302" s="164"/>
      <c r="Q302" s="164"/>
      <c r="R302" s="164"/>
      <c r="S302" s="164"/>
      <c r="T302" s="164"/>
      <c r="U302" s="164"/>
      <c r="V302" s="164"/>
    </row>
    <row r="303" spans="1:25" ht="27" customHeight="1">
      <c r="A303" s="192" t="str">
        <f>IF(ISBLANK(C303)," ",298-COUNTBLANK($C$6:C303))</f>
        <v xml:space="preserve"> </v>
      </c>
      <c r="B303" s="178"/>
      <c r="C303" s="178"/>
      <c r="D303" s="193"/>
      <c r="E303" s="193"/>
      <c r="F303" s="180"/>
      <c r="G303" s="180"/>
      <c r="H303" s="180"/>
      <c r="I303" s="180"/>
      <c r="J303" s="180"/>
      <c r="K303" s="180"/>
      <c r="L303" s="180"/>
      <c r="M303" s="181"/>
      <c r="N303" s="163" t="str">
        <f t="shared" si="21"/>
        <v/>
      </c>
      <c r="O303" s="126" t="str">
        <f t="shared" si="22"/>
        <v>-</v>
      </c>
      <c r="P303" s="164"/>
      <c r="Q303" s="164"/>
      <c r="R303" s="164"/>
      <c r="S303" s="164"/>
      <c r="T303" s="164"/>
      <c r="U303" s="164"/>
      <c r="V303" s="164"/>
    </row>
    <row r="304" spans="1:25" ht="27" customHeight="1">
      <c r="A304" s="192" t="str">
        <f>IF(ISBLANK(C304)," ",299-COUNTBLANK($C$6:C304))</f>
        <v xml:space="preserve"> </v>
      </c>
      <c r="B304" s="178"/>
      <c r="C304" s="178"/>
      <c r="D304" s="193"/>
      <c r="E304" s="193"/>
      <c r="F304" s="180"/>
      <c r="G304" s="180"/>
      <c r="H304" s="180"/>
      <c r="I304" s="180"/>
      <c r="J304" s="180"/>
      <c r="K304" s="180"/>
      <c r="L304" s="180"/>
      <c r="M304" s="181"/>
      <c r="N304" s="163" t="str">
        <f t="shared" si="21"/>
        <v/>
      </c>
      <c r="O304" s="126" t="str">
        <f t="shared" si="22"/>
        <v>-</v>
      </c>
      <c r="P304" s="164"/>
      <c r="Q304" s="164"/>
      <c r="R304" s="164"/>
      <c r="S304" s="164"/>
      <c r="T304" s="164"/>
      <c r="U304" s="164"/>
      <c r="V304" s="164"/>
    </row>
    <row r="305" spans="1:25" ht="27" customHeight="1">
      <c r="A305" s="192" t="str">
        <f>IF(ISBLANK(C305)," ",300-COUNTBLANK($C$6:C305))</f>
        <v xml:space="preserve"> </v>
      </c>
      <c r="B305" s="178"/>
      <c r="C305" s="178"/>
      <c r="D305" s="193"/>
      <c r="E305" s="193"/>
      <c r="F305" s="180"/>
      <c r="G305" s="180"/>
      <c r="H305" s="180"/>
      <c r="I305" s="180"/>
      <c r="J305" s="180"/>
      <c r="K305" s="180"/>
      <c r="L305" s="180"/>
      <c r="M305" s="181"/>
      <c r="N305" s="163" t="str">
        <f t="shared" si="21"/>
        <v/>
      </c>
      <c r="O305" s="126" t="str">
        <f t="shared" si="22"/>
        <v>-</v>
      </c>
      <c r="P305" s="164"/>
      <c r="Q305" s="164"/>
      <c r="R305" s="164"/>
      <c r="S305" s="164"/>
      <c r="T305" s="164"/>
      <c r="U305" s="164"/>
      <c r="V305" s="164"/>
    </row>
    <row r="306" spans="1:25" ht="27" customHeight="1">
      <c r="A306" s="192" t="str">
        <f>IF(ISBLANK(C306)," ",301-COUNTBLANK($C$6:C306))</f>
        <v xml:space="preserve"> </v>
      </c>
      <c r="B306" s="178"/>
      <c r="C306" s="178"/>
      <c r="D306" s="193"/>
      <c r="E306" s="193"/>
      <c r="F306" s="180"/>
      <c r="G306" s="180"/>
      <c r="H306" s="180"/>
      <c r="I306" s="180"/>
      <c r="J306" s="180"/>
      <c r="K306" s="180"/>
      <c r="L306" s="180"/>
      <c r="M306" s="181"/>
      <c r="N306" s="163" t="str">
        <f t="shared" si="21"/>
        <v/>
      </c>
      <c r="O306" s="126" t="str">
        <f t="shared" si="22"/>
        <v>-</v>
      </c>
      <c r="P306" s="164"/>
      <c r="Q306" s="164"/>
      <c r="R306" s="164"/>
      <c r="S306" s="164"/>
      <c r="T306" s="164"/>
      <c r="U306" s="164"/>
      <c r="V306" s="164"/>
    </row>
    <row r="307" spans="1:25" ht="27" customHeight="1">
      <c r="A307" s="192" t="str">
        <f>IF(ISBLANK(C307)," ",302-COUNTBLANK($C$6:C307))</f>
        <v xml:space="preserve"> </v>
      </c>
      <c r="B307" s="178"/>
      <c r="C307" s="178"/>
      <c r="D307" s="193"/>
      <c r="E307" s="193"/>
      <c r="F307" s="180"/>
      <c r="G307" s="180"/>
      <c r="H307" s="180"/>
      <c r="I307" s="180"/>
      <c r="J307" s="180"/>
      <c r="K307" s="180"/>
      <c r="L307" s="180"/>
      <c r="M307" s="181"/>
      <c r="N307" s="163" t="str">
        <f t="shared" si="21"/>
        <v/>
      </c>
      <c r="O307" s="126" t="str">
        <f t="shared" si="22"/>
        <v>-</v>
      </c>
      <c r="P307" s="164"/>
      <c r="Q307" s="164"/>
      <c r="R307" s="164"/>
      <c r="S307" s="164"/>
      <c r="T307" s="164"/>
      <c r="U307" s="164"/>
      <c r="V307" s="164"/>
    </row>
    <row r="308" spans="1:25" ht="27" customHeight="1">
      <c r="A308" s="192" t="str">
        <f>IF(ISBLANK(C308)," ",303-COUNTBLANK($C$6:C308))</f>
        <v xml:space="preserve"> </v>
      </c>
      <c r="B308" s="178"/>
      <c r="C308" s="178"/>
      <c r="D308" s="193"/>
      <c r="E308" s="193"/>
      <c r="F308" s="180"/>
      <c r="G308" s="180"/>
      <c r="H308" s="180"/>
      <c r="I308" s="180"/>
      <c r="J308" s="180"/>
      <c r="K308" s="180"/>
      <c r="L308" s="180"/>
      <c r="M308" s="181"/>
      <c r="N308" s="163" t="str">
        <f t="shared" si="21"/>
        <v/>
      </c>
      <c r="O308" s="126" t="str">
        <f t="shared" si="22"/>
        <v>-</v>
      </c>
      <c r="P308" s="164"/>
      <c r="Q308" s="164"/>
      <c r="R308" s="164"/>
      <c r="S308" s="164"/>
      <c r="T308" s="164"/>
      <c r="U308" s="164"/>
      <c r="V308" s="164"/>
    </row>
    <row r="309" spans="1:25" ht="27" customHeight="1">
      <c r="A309" s="192" t="str">
        <f>IF(ISBLANK(C309)," ",304-COUNTBLANK($C$6:C309))</f>
        <v xml:space="preserve"> </v>
      </c>
      <c r="B309" s="178"/>
      <c r="C309" s="178"/>
      <c r="D309" s="193"/>
      <c r="E309" s="193"/>
      <c r="F309" s="180"/>
      <c r="G309" s="180"/>
      <c r="H309" s="180"/>
      <c r="I309" s="180"/>
      <c r="J309" s="180"/>
      <c r="K309" s="180"/>
      <c r="L309" s="180"/>
      <c r="M309" s="181"/>
      <c r="N309" s="163" t="str">
        <f t="shared" si="21"/>
        <v/>
      </c>
      <c r="O309" s="126" t="str">
        <f t="shared" si="22"/>
        <v>-</v>
      </c>
      <c r="P309" s="164"/>
      <c r="Q309" s="164"/>
      <c r="R309" s="164"/>
      <c r="S309" s="164"/>
      <c r="T309" s="164"/>
      <c r="U309" s="164"/>
      <c r="V309" s="164"/>
    </row>
    <row r="310" spans="1:25" ht="27" customHeight="1">
      <c r="A310" s="192" t="str">
        <f>IF(ISBLANK(C310)," ",305-COUNTBLANK($C$6:C310))</f>
        <v xml:space="preserve"> </v>
      </c>
      <c r="B310" s="178"/>
      <c r="C310" s="178"/>
      <c r="D310" s="193"/>
      <c r="E310" s="193"/>
      <c r="F310" s="180"/>
      <c r="G310" s="180"/>
      <c r="H310" s="180"/>
      <c r="I310" s="180"/>
      <c r="J310" s="180"/>
      <c r="K310" s="180"/>
      <c r="L310" s="180"/>
      <c r="M310" s="181"/>
      <c r="N310" s="163" t="str">
        <f t="shared" si="21"/>
        <v/>
      </c>
      <c r="O310" s="126" t="str">
        <f t="shared" si="22"/>
        <v>-</v>
      </c>
      <c r="P310" s="164"/>
      <c r="Q310" s="164"/>
      <c r="R310" s="164"/>
      <c r="S310" s="164"/>
      <c r="T310" s="164"/>
      <c r="U310" s="164"/>
      <c r="V310" s="164"/>
    </row>
    <row r="311" spans="1:25" ht="27" customHeight="1">
      <c r="A311" s="192" t="str">
        <f>IF(ISBLANK(C311)," ",306-COUNTBLANK($C$6:C311))</f>
        <v xml:space="preserve"> </v>
      </c>
      <c r="B311" s="178"/>
      <c r="C311" s="178"/>
      <c r="D311" s="193"/>
      <c r="E311" s="193"/>
      <c r="F311" s="180"/>
      <c r="G311" s="180"/>
      <c r="H311" s="180"/>
      <c r="I311" s="180"/>
      <c r="J311" s="180"/>
      <c r="K311" s="180"/>
      <c r="L311" s="180"/>
      <c r="M311" s="181"/>
      <c r="N311" s="163" t="str">
        <f t="shared" si="21"/>
        <v/>
      </c>
      <c r="O311" s="126" t="str">
        <f t="shared" si="22"/>
        <v>-</v>
      </c>
      <c r="P311" s="164"/>
      <c r="Q311" s="164"/>
      <c r="R311" s="164"/>
      <c r="S311" s="164"/>
      <c r="T311" s="164"/>
      <c r="U311" s="164"/>
      <c r="V311" s="164"/>
    </row>
    <row r="312" spans="1:25" ht="27" customHeight="1">
      <c r="A312" s="192" t="str">
        <f>IF(ISBLANK(C312)," ",307-COUNTBLANK($C$6:C312))</f>
        <v xml:space="preserve"> </v>
      </c>
      <c r="B312" s="178"/>
      <c r="C312" s="178"/>
      <c r="D312" s="193"/>
      <c r="E312" s="193"/>
      <c r="F312" s="180"/>
      <c r="G312" s="180"/>
      <c r="H312" s="180"/>
      <c r="I312" s="180"/>
      <c r="J312" s="180"/>
      <c r="K312" s="180"/>
      <c r="L312" s="180"/>
      <c r="M312" s="181"/>
      <c r="N312" s="163" t="str">
        <f t="shared" si="21"/>
        <v/>
      </c>
      <c r="O312" s="126" t="str">
        <f t="shared" si="22"/>
        <v>-</v>
      </c>
      <c r="P312" s="164"/>
      <c r="Q312" s="164"/>
      <c r="R312" s="164"/>
      <c r="S312" s="164"/>
      <c r="T312" s="164"/>
      <c r="U312" s="164"/>
      <c r="V312" s="164"/>
    </row>
    <row r="313" spans="1:25" ht="27" customHeight="1">
      <c r="A313" s="192" t="str">
        <f>IF(ISBLANK(C313)," ",308-COUNTBLANK($C$6:C313))</f>
        <v xml:space="preserve"> </v>
      </c>
      <c r="B313" s="178"/>
      <c r="C313" s="178"/>
      <c r="D313" s="193"/>
      <c r="E313" s="193"/>
      <c r="F313" s="180"/>
      <c r="G313" s="180"/>
      <c r="H313" s="180"/>
      <c r="I313" s="180"/>
      <c r="J313" s="180"/>
      <c r="K313" s="180"/>
      <c r="L313" s="180"/>
      <c r="M313" s="181"/>
      <c r="N313" s="163" t="str">
        <f t="shared" si="21"/>
        <v/>
      </c>
      <c r="O313" s="126" t="str">
        <f t="shared" si="22"/>
        <v>-</v>
      </c>
      <c r="P313" s="164"/>
      <c r="Q313" s="164"/>
      <c r="R313" s="164"/>
      <c r="S313" s="164"/>
      <c r="T313" s="164"/>
      <c r="U313" s="164"/>
      <c r="V313" s="164"/>
    </row>
    <row r="314" spans="1:25" ht="27" customHeight="1">
      <c r="A314" s="192" t="str">
        <f>IF(ISBLANK(C314)," ",309-COUNTBLANK($C$6:C314))</f>
        <v xml:space="preserve"> </v>
      </c>
      <c r="B314" s="178"/>
      <c r="C314" s="178"/>
      <c r="D314" s="193"/>
      <c r="E314" s="193"/>
      <c r="F314" s="180"/>
      <c r="G314" s="180"/>
      <c r="H314" s="180"/>
      <c r="I314" s="180"/>
      <c r="J314" s="180"/>
      <c r="K314" s="180"/>
      <c r="L314" s="180"/>
      <c r="M314" s="181"/>
      <c r="N314" s="163" t="str">
        <f t="shared" si="21"/>
        <v/>
      </c>
      <c r="O314" s="126" t="str">
        <f t="shared" si="22"/>
        <v>-</v>
      </c>
      <c r="P314" s="164"/>
      <c r="Q314" s="164"/>
      <c r="R314" s="164"/>
      <c r="S314" s="164"/>
      <c r="T314" s="164"/>
      <c r="U314" s="164"/>
      <c r="V314" s="164"/>
    </row>
    <row r="315" spans="1:25" ht="27" customHeight="1">
      <c r="A315" s="192" t="str">
        <f>IF(ISBLANK(C315)," ",310-COUNTBLANK($C$6:C315))</f>
        <v xml:space="preserve"> </v>
      </c>
      <c r="B315" s="178"/>
      <c r="C315" s="178"/>
      <c r="D315" s="193"/>
      <c r="E315" s="193"/>
      <c r="F315" s="180"/>
      <c r="G315" s="180"/>
      <c r="H315" s="180"/>
      <c r="I315" s="180"/>
      <c r="J315" s="180"/>
      <c r="K315" s="180"/>
      <c r="L315" s="180"/>
      <c r="M315" s="181"/>
      <c r="N315" s="163" t="str">
        <f t="shared" si="21"/>
        <v/>
      </c>
      <c r="O315" s="126" t="str">
        <f t="shared" si="22"/>
        <v>-</v>
      </c>
      <c r="P315" s="164"/>
      <c r="Q315" s="164"/>
      <c r="R315" s="164"/>
      <c r="S315" s="164"/>
      <c r="T315" s="164"/>
      <c r="U315" s="164"/>
      <c r="V315" s="165"/>
    </row>
    <row r="316" spans="1:25" ht="27" customHeight="1">
      <c r="A316" s="192" t="str">
        <f>IF(ISBLANK(C316)," ",311-COUNTBLANK($C$6:C316))</f>
        <v xml:space="preserve"> </v>
      </c>
      <c r="B316" s="178"/>
      <c r="C316" s="178"/>
      <c r="D316" s="193"/>
      <c r="E316" s="193"/>
      <c r="F316" s="180"/>
      <c r="G316" s="180"/>
      <c r="H316" s="180"/>
      <c r="I316" s="180"/>
      <c r="J316" s="180"/>
      <c r="K316" s="180"/>
      <c r="L316" s="180"/>
      <c r="M316" s="181"/>
      <c r="N316" s="163" t="str">
        <f t="shared" si="21"/>
        <v/>
      </c>
      <c r="O316" s="126" t="str">
        <f t="shared" si="22"/>
        <v>-</v>
      </c>
      <c r="P316" s="164"/>
      <c r="Q316" s="164"/>
      <c r="R316" s="164"/>
      <c r="S316" s="164"/>
      <c r="T316" s="164"/>
      <c r="U316" s="164"/>
      <c r="V316" s="165"/>
    </row>
    <row r="317" spans="1:25" ht="27" customHeight="1">
      <c r="A317" s="192" t="str">
        <f>IF(ISBLANK(C317)," ",312-COUNTBLANK($C$6:C317))</f>
        <v xml:space="preserve"> </v>
      </c>
      <c r="B317" s="178"/>
      <c r="C317" s="178"/>
      <c r="D317" s="193"/>
      <c r="E317" s="193"/>
      <c r="F317" s="180"/>
      <c r="G317" s="180"/>
      <c r="H317" s="180"/>
      <c r="I317" s="180"/>
      <c r="J317" s="180"/>
      <c r="K317" s="180"/>
      <c r="L317" s="180"/>
      <c r="M317" s="181"/>
      <c r="N317" s="163" t="str">
        <f t="shared" si="21"/>
        <v/>
      </c>
      <c r="O317" s="126" t="str">
        <f t="shared" si="22"/>
        <v>-</v>
      </c>
      <c r="P317" s="164"/>
      <c r="Q317" s="164"/>
      <c r="R317" s="164"/>
      <c r="S317" s="164"/>
      <c r="T317" s="164"/>
      <c r="U317" s="164"/>
      <c r="V317" s="165"/>
    </row>
    <row r="318" spans="1:25" ht="27" customHeight="1">
      <c r="A318" s="192" t="str">
        <f>IF(ISBLANK(C318)," ",313-COUNTBLANK($C$6:C318))</f>
        <v xml:space="preserve"> </v>
      </c>
      <c r="B318" s="178"/>
      <c r="C318" s="178"/>
      <c r="D318" s="193"/>
      <c r="E318" s="193"/>
      <c r="F318" s="180"/>
      <c r="G318" s="180"/>
      <c r="H318" s="180"/>
      <c r="I318" s="180"/>
      <c r="J318" s="180"/>
      <c r="K318" s="180"/>
      <c r="L318" s="180"/>
      <c r="M318" s="181"/>
      <c r="N318" s="163" t="str">
        <f t="shared" si="21"/>
        <v/>
      </c>
      <c r="O318" s="126" t="str">
        <f t="shared" si="22"/>
        <v>-</v>
      </c>
      <c r="P318" s="164"/>
      <c r="Q318" s="164"/>
      <c r="R318" s="164"/>
      <c r="S318" s="164"/>
      <c r="T318" s="164"/>
      <c r="U318" s="164"/>
      <c r="V318" s="165"/>
    </row>
    <row r="319" spans="1:25" ht="27" customHeight="1">
      <c r="A319" s="192" t="str">
        <f>IF(ISBLANK(C319)," ",314-COUNTBLANK($C$6:C319))</f>
        <v xml:space="preserve"> </v>
      </c>
      <c r="B319" s="178"/>
      <c r="C319" s="178"/>
      <c r="D319" s="193"/>
      <c r="E319" s="193"/>
      <c r="F319" s="180"/>
      <c r="G319" s="180"/>
      <c r="H319" s="180"/>
      <c r="I319" s="180"/>
      <c r="J319" s="180"/>
      <c r="K319" s="180"/>
      <c r="L319" s="180"/>
      <c r="M319" s="181"/>
      <c r="N319" s="163" t="str">
        <f t="shared" si="21"/>
        <v/>
      </c>
      <c r="O319" s="126" t="str">
        <f t="shared" si="22"/>
        <v>-</v>
      </c>
      <c r="P319" s="164"/>
      <c r="Q319" s="164"/>
      <c r="R319" s="164"/>
      <c r="S319" s="164"/>
      <c r="T319" s="164"/>
      <c r="U319" s="164"/>
      <c r="V319" s="166"/>
      <c r="W319" s="164"/>
      <c r="X319" s="164"/>
      <c r="Y319" s="164"/>
    </row>
    <row r="320" spans="1:25" ht="27" customHeight="1">
      <c r="A320" s="172" t="s">
        <v>44</v>
      </c>
      <c r="B320" s="173"/>
      <c r="C320" s="174"/>
      <c r="D320" s="194"/>
      <c r="E320" s="194">
        <f>SUM(E300:E319)</f>
        <v>0</v>
      </c>
      <c r="F320" s="176"/>
      <c r="G320" s="176"/>
      <c r="H320" s="176"/>
      <c r="I320" s="176"/>
      <c r="J320" s="176"/>
      <c r="K320" s="176"/>
      <c r="L320" s="176"/>
      <c r="M320" s="177"/>
      <c r="N320" s="163" t="str">
        <f t="shared" si="21"/>
        <v/>
      </c>
      <c r="O320" s="126"/>
      <c r="P320" s="164"/>
      <c r="Q320" s="164"/>
      <c r="R320" s="164"/>
      <c r="S320" s="164"/>
      <c r="T320" s="164"/>
      <c r="U320" s="164"/>
      <c r="V320" s="166"/>
      <c r="W320" s="164"/>
      <c r="X320" s="164"/>
      <c r="Y320" s="164"/>
    </row>
    <row r="321" spans="1:22" ht="27" customHeight="1">
      <c r="A321" s="187" t="str">
        <f>IF(ISBLANK(C321)," ",316-COUNTBLANK($C$6:C321))</f>
        <v xml:space="preserve"> </v>
      </c>
      <c r="B321" s="188"/>
      <c r="C321" s="188"/>
      <c r="D321" s="189"/>
      <c r="E321" s="189"/>
      <c r="F321" s="190"/>
      <c r="G321" s="190"/>
      <c r="H321" s="190"/>
      <c r="I321" s="190"/>
      <c r="J321" s="190"/>
      <c r="K321" s="190"/>
      <c r="L321" s="190"/>
      <c r="M321" s="191"/>
      <c r="N321" s="163" t="str">
        <f>CONCATENATE(C321,H321)</f>
        <v/>
      </c>
      <c r="O321" s="126" t="str">
        <f>IF(D321&gt;=E321,"-","ERR")</f>
        <v>-</v>
      </c>
      <c r="P321" s="164"/>
      <c r="Q321" s="164"/>
      <c r="R321" s="164"/>
      <c r="S321" s="164"/>
      <c r="T321" s="164"/>
      <c r="U321" s="164"/>
      <c r="V321" s="164"/>
    </row>
    <row r="322" spans="1:22" ht="27" customHeight="1">
      <c r="A322" s="192" t="str">
        <f>IF(ISBLANK(C322)," ",317-COUNTBLANK($C$6:C322))</f>
        <v xml:space="preserve"> </v>
      </c>
      <c r="B322" s="178"/>
      <c r="C322" s="178"/>
      <c r="D322" s="193"/>
      <c r="E322" s="193"/>
      <c r="F322" s="180"/>
      <c r="G322" s="180"/>
      <c r="H322" s="180"/>
      <c r="I322" s="180"/>
      <c r="J322" s="180"/>
      <c r="K322" s="180"/>
      <c r="L322" s="180"/>
      <c r="M322" s="181"/>
      <c r="N322" s="163" t="str">
        <f t="shared" ref="N322:N341" si="23">CONCATENATE(C322,H322)</f>
        <v/>
      </c>
      <c r="O322" s="126" t="str">
        <f t="shared" ref="O322:O340" si="24">IF(D322&gt;=E322,"-","ERR")</f>
        <v>-</v>
      </c>
      <c r="P322" s="164"/>
      <c r="Q322" s="164"/>
      <c r="R322" s="164"/>
      <c r="S322" s="164"/>
      <c r="T322" s="164"/>
      <c r="U322" s="164"/>
      <c r="V322" s="164"/>
    </row>
    <row r="323" spans="1:22" ht="27" customHeight="1">
      <c r="A323" s="192" t="str">
        <f>IF(ISBLANK(C323)," ",318-COUNTBLANK($C$6:C323))</f>
        <v xml:space="preserve"> </v>
      </c>
      <c r="B323" s="178"/>
      <c r="C323" s="178"/>
      <c r="D323" s="193"/>
      <c r="E323" s="193"/>
      <c r="F323" s="180"/>
      <c r="G323" s="180"/>
      <c r="H323" s="180"/>
      <c r="I323" s="180"/>
      <c r="J323" s="180"/>
      <c r="K323" s="180"/>
      <c r="L323" s="180"/>
      <c r="M323" s="181"/>
      <c r="N323" s="163" t="str">
        <f t="shared" si="23"/>
        <v/>
      </c>
      <c r="O323" s="126" t="str">
        <f t="shared" si="24"/>
        <v>-</v>
      </c>
      <c r="P323" s="164"/>
      <c r="Q323" s="164"/>
      <c r="R323" s="164"/>
      <c r="S323" s="164"/>
      <c r="T323" s="164"/>
      <c r="U323" s="164"/>
      <c r="V323" s="164"/>
    </row>
    <row r="324" spans="1:22" ht="27" customHeight="1">
      <c r="A324" s="192" t="str">
        <f>IF(ISBLANK(C324)," ",319-COUNTBLANK($C$6:C324))</f>
        <v xml:space="preserve"> </v>
      </c>
      <c r="B324" s="178"/>
      <c r="C324" s="178"/>
      <c r="D324" s="193"/>
      <c r="E324" s="193"/>
      <c r="F324" s="180"/>
      <c r="G324" s="180"/>
      <c r="H324" s="180"/>
      <c r="I324" s="180"/>
      <c r="J324" s="180"/>
      <c r="K324" s="180"/>
      <c r="L324" s="180"/>
      <c r="M324" s="181"/>
      <c r="N324" s="163" t="str">
        <f t="shared" si="23"/>
        <v/>
      </c>
      <c r="O324" s="126" t="str">
        <f t="shared" si="24"/>
        <v>-</v>
      </c>
      <c r="P324" s="164"/>
      <c r="Q324" s="164"/>
      <c r="R324" s="164"/>
      <c r="S324" s="164"/>
      <c r="T324" s="164"/>
      <c r="U324" s="164"/>
      <c r="V324" s="164"/>
    </row>
    <row r="325" spans="1:22" ht="27" customHeight="1">
      <c r="A325" s="192" t="str">
        <f>IF(ISBLANK(C325)," ",320-COUNTBLANK($C$6:C325))</f>
        <v xml:space="preserve"> </v>
      </c>
      <c r="B325" s="178"/>
      <c r="C325" s="178"/>
      <c r="D325" s="193"/>
      <c r="E325" s="193"/>
      <c r="F325" s="180"/>
      <c r="G325" s="180"/>
      <c r="H325" s="180"/>
      <c r="I325" s="180"/>
      <c r="J325" s="180"/>
      <c r="K325" s="180"/>
      <c r="L325" s="180"/>
      <c r="M325" s="181"/>
      <c r="N325" s="163" t="str">
        <f t="shared" si="23"/>
        <v/>
      </c>
      <c r="O325" s="126" t="str">
        <f t="shared" si="24"/>
        <v>-</v>
      </c>
      <c r="P325" s="164"/>
      <c r="Q325" s="164"/>
      <c r="R325" s="164"/>
      <c r="S325" s="164"/>
      <c r="T325" s="164"/>
      <c r="U325" s="164"/>
      <c r="V325" s="164"/>
    </row>
    <row r="326" spans="1:22" ht="27" customHeight="1">
      <c r="A326" s="192" t="str">
        <f>IF(ISBLANK(C326)," ",321-COUNTBLANK($C$6:C326))</f>
        <v xml:space="preserve"> </v>
      </c>
      <c r="B326" s="178"/>
      <c r="C326" s="178"/>
      <c r="D326" s="193"/>
      <c r="E326" s="193"/>
      <c r="F326" s="180"/>
      <c r="G326" s="180"/>
      <c r="H326" s="180"/>
      <c r="I326" s="180"/>
      <c r="J326" s="180"/>
      <c r="K326" s="180"/>
      <c r="L326" s="180"/>
      <c r="M326" s="181"/>
      <c r="N326" s="163" t="str">
        <f t="shared" si="23"/>
        <v/>
      </c>
      <c r="O326" s="126" t="str">
        <f t="shared" si="24"/>
        <v>-</v>
      </c>
      <c r="P326" s="164"/>
      <c r="Q326" s="164"/>
      <c r="R326" s="164"/>
      <c r="S326" s="164"/>
      <c r="T326" s="164"/>
      <c r="U326" s="164"/>
      <c r="V326" s="164"/>
    </row>
    <row r="327" spans="1:22" ht="27" customHeight="1">
      <c r="A327" s="192" t="str">
        <f>IF(ISBLANK(C327)," ",322-COUNTBLANK($C$6:C327))</f>
        <v xml:space="preserve"> </v>
      </c>
      <c r="B327" s="178"/>
      <c r="C327" s="178"/>
      <c r="D327" s="193"/>
      <c r="E327" s="193"/>
      <c r="F327" s="180"/>
      <c r="G327" s="180"/>
      <c r="H327" s="180"/>
      <c r="I327" s="180"/>
      <c r="J327" s="180"/>
      <c r="K327" s="180"/>
      <c r="L327" s="180"/>
      <c r="M327" s="181"/>
      <c r="N327" s="163" t="str">
        <f t="shared" si="23"/>
        <v/>
      </c>
      <c r="O327" s="126" t="str">
        <f t="shared" si="24"/>
        <v>-</v>
      </c>
      <c r="P327" s="164"/>
      <c r="Q327" s="164"/>
      <c r="R327" s="164"/>
      <c r="S327" s="164"/>
      <c r="T327" s="164"/>
      <c r="U327" s="164"/>
      <c r="V327" s="164"/>
    </row>
    <row r="328" spans="1:22" ht="27" customHeight="1">
      <c r="A328" s="192" t="str">
        <f>IF(ISBLANK(C328)," ",323-COUNTBLANK($C$6:C328))</f>
        <v xml:space="preserve"> </v>
      </c>
      <c r="B328" s="178"/>
      <c r="C328" s="178"/>
      <c r="D328" s="193"/>
      <c r="E328" s="193"/>
      <c r="F328" s="180"/>
      <c r="G328" s="180"/>
      <c r="H328" s="180"/>
      <c r="I328" s="180"/>
      <c r="J328" s="180"/>
      <c r="K328" s="180"/>
      <c r="L328" s="180"/>
      <c r="M328" s="181"/>
      <c r="N328" s="163" t="str">
        <f t="shared" si="23"/>
        <v/>
      </c>
      <c r="O328" s="126" t="str">
        <f t="shared" si="24"/>
        <v>-</v>
      </c>
      <c r="P328" s="164"/>
      <c r="Q328" s="164"/>
      <c r="R328" s="164"/>
      <c r="S328" s="164"/>
      <c r="T328" s="164"/>
      <c r="U328" s="164"/>
      <c r="V328" s="164"/>
    </row>
    <row r="329" spans="1:22" ht="27" customHeight="1">
      <c r="A329" s="192" t="str">
        <f>IF(ISBLANK(C329)," ",324-COUNTBLANK($C$6:C329))</f>
        <v xml:space="preserve"> </v>
      </c>
      <c r="B329" s="178"/>
      <c r="C329" s="178"/>
      <c r="D329" s="193"/>
      <c r="E329" s="193"/>
      <c r="F329" s="180"/>
      <c r="G329" s="180"/>
      <c r="H329" s="180"/>
      <c r="I329" s="180"/>
      <c r="J329" s="180"/>
      <c r="K329" s="180"/>
      <c r="L329" s="180"/>
      <c r="M329" s="181"/>
      <c r="N329" s="163" t="str">
        <f t="shared" si="23"/>
        <v/>
      </c>
      <c r="O329" s="126" t="str">
        <f t="shared" si="24"/>
        <v>-</v>
      </c>
      <c r="P329" s="164"/>
      <c r="Q329" s="164"/>
      <c r="R329" s="164"/>
      <c r="S329" s="164"/>
      <c r="T329" s="164"/>
      <c r="U329" s="164"/>
      <c r="V329" s="164"/>
    </row>
    <row r="330" spans="1:22" ht="27" customHeight="1">
      <c r="A330" s="192" t="str">
        <f>IF(ISBLANK(C330)," ",325-COUNTBLANK($C$6:C330))</f>
        <v xml:space="preserve"> </v>
      </c>
      <c r="B330" s="178"/>
      <c r="C330" s="178"/>
      <c r="D330" s="193"/>
      <c r="E330" s="193"/>
      <c r="F330" s="180"/>
      <c r="G330" s="180"/>
      <c r="H330" s="180"/>
      <c r="I330" s="180"/>
      <c r="J330" s="180"/>
      <c r="K330" s="180"/>
      <c r="L330" s="180"/>
      <c r="M330" s="181"/>
      <c r="N330" s="163" t="str">
        <f t="shared" si="23"/>
        <v/>
      </c>
      <c r="O330" s="126" t="str">
        <f t="shared" si="24"/>
        <v>-</v>
      </c>
      <c r="P330" s="164"/>
      <c r="Q330" s="164"/>
      <c r="R330" s="164"/>
      <c r="S330" s="164"/>
      <c r="T330" s="164"/>
      <c r="U330" s="164"/>
      <c r="V330" s="164"/>
    </row>
    <row r="331" spans="1:22" ht="27" customHeight="1">
      <c r="A331" s="192" t="str">
        <f>IF(ISBLANK(C331)," ",326-COUNTBLANK($C$6:C331))</f>
        <v xml:space="preserve"> </v>
      </c>
      <c r="B331" s="178"/>
      <c r="C331" s="178"/>
      <c r="D331" s="193"/>
      <c r="E331" s="193"/>
      <c r="F331" s="180"/>
      <c r="G331" s="180"/>
      <c r="H331" s="180"/>
      <c r="I331" s="180"/>
      <c r="J331" s="180"/>
      <c r="K331" s="180"/>
      <c r="L331" s="180"/>
      <c r="M331" s="181"/>
      <c r="N331" s="163" t="str">
        <f t="shared" si="23"/>
        <v/>
      </c>
      <c r="O331" s="126" t="str">
        <f t="shared" si="24"/>
        <v>-</v>
      </c>
      <c r="P331" s="164"/>
      <c r="Q331" s="164"/>
      <c r="R331" s="164"/>
      <c r="S331" s="164"/>
      <c r="T331" s="164"/>
      <c r="U331" s="164"/>
      <c r="V331" s="164"/>
    </row>
    <row r="332" spans="1:22" ht="27" customHeight="1">
      <c r="A332" s="192" t="str">
        <f>IF(ISBLANK(C332)," ",327-COUNTBLANK($C$6:C332))</f>
        <v xml:space="preserve"> </v>
      </c>
      <c r="B332" s="178"/>
      <c r="C332" s="178"/>
      <c r="D332" s="193"/>
      <c r="E332" s="193"/>
      <c r="F332" s="180"/>
      <c r="G332" s="180"/>
      <c r="H332" s="180"/>
      <c r="I332" s="180"/>
      <c r="J332" s="180"/>
      <c r="K332" s="180"/>
      <c r="L332" s="180"/>
      <c r="M332" s="181"/>
      <c r="N332" s="163" t="str">
        <f t="shared" si="23"/>
        <v/>
      </c>
      <c r="O332" s="126" t="str">
        <f t="shared" si="24"/>
        <v>-</v>
      </c>
      <c r="P332" s="164"/>
      <c r="Q332" s="164"/>
      <c r="R332" s="164"/>
      <c r="S332" s="164"/>
      <c r="T332" s="164"/>
      <c r="U332" s="164"/>
      <c r="V332" s="164"/>
    </row>
    <row r="333" spans="1:22" ht="27" customHeight="1">
      <c r="A333" s="192" t="str">
        <f>IF(ISBLANK(C333)," ",328-COUNTBLANK($C$6:C333))</f>
        <v xml:space="preserve"> </v>
      </c>
      <c r="B333" s="178"/>
      <c r="C333" s="178"/>
      <c r="D333" s="193"/>
      <c r="E333" s="193"/>
      <c r="F333" s="180"/>
      <c r="G333" s="180"/>
      <c r="H333" s="180"/>
      <c r="I333" s="180"/>
      <c r="J333" s="180"/>
      <c r="K333" s="180"/>
      <c r="L333" s="180"/>
      <c r="M333" s="181"/>
      <c r="N333" s="163" t="str">
        <f t="shared" si="23"/>
        <v/>
      </c>
      <c r="O333" s="126" t="str">
        <f t="shared" si="24"/>
        <v>-</v>
      </c>
      <c r="P333" s="164"/>
      <c r="Q333" s="164"/>
      <c r="R333" s="164"/>
      <c r="S333" s="164"/>
      <c r="T333" s="164"/>
      <c r="U333" s="164"/>
      <c r="V333" s="164"/>
    </row>
    <row r="334" spans="1:22" ht="27" customHeight="1">
      <c r="A334" s="192" t="str">
        <f>IF(ISBLANK(C334)," ",329-COUNTBLANK($C$6:C334))</f>
        <v xml:space="preserve"> </v>
      </c>
      <c r="B334" s="178"/>
      <c r="C334" s="178"/>
      <c r="D334" s="193"/>
      <c r="E334" s="193"/>
      <c r="F334" s="180"/>
      <c r="G334" s="180"/>
      <c r="H334" s="180"/>
      <c r="I334" s="180"/>
      <c r="J334" s="180"/>
      <c r="K334" s="180"/>
      <c r="L334" s="180"/>
      <c r="M334" s="181"/>
      <c r="N334" s="163" t="str">
        <f t="shared" si="23"/>
        <v/>
      </c>
      <c r="O334" s="126" t="str">
        <f t="shared" si="24"/>
        <v>-</v>
      </c>
      <c r="P334" s="164"/>
      <c r="Q334" s="164"/>
      <c r="R334" s="164"/>
      <c r="S334" s="164"/>
      <c r="T334" s="164"/>
      <c r="U334" s="164"/>
      <c r="V334" s="164"/>
    </row>
    <row r="335" spans="1:22" ht="27" customHeight="1">
      <c r="A335" s="192" t="str">
        <f>IF(ISBLANK(C335)," ",330-COUNTBLANK($C$6:C335))</f>
        <v xml:space="preserve"> </v>
      </c>
      <c r="B335" s="178"/>
      <c r="C335" s="178"/>
      <c r="D335" s="193"/>
      <c r="E335" s="193"/>
      <c r="F335" s="180"/>
      <c r="G335" s="180"/>
      <c r="H335" s="180"/>
      <c r="I335" s="180"/>
      <c r="J335" s="180"/>
      <c r="K335" s="180"/>
      <c r="L335" s="180"/>
      <c r="M335" s="181"/>
      <c r="N335" s="163" t="str">
        <f t="shared" si="23"/>
        <v/>
      </c>
      <c r="O335" s="126" t="str">
        <f t="shared" si="24"/>
        <v>-</v>
      </c>
      <c r="P335" s="164"/>
      <c r="Q335" s="164"/>
      <c r="R335" s="164"/>
      <c r="S335" s="164"/>
      <c r="T335" s="164"/>
      <c r="U335" s="164"/>
      <c r="V335" s="164"/>
    </row>
    <row r="336" spans="1:22" ht="27" customHeight="1">
      <c r="A336" s="192" t="str">
        <f>IF(ISBLANK(C336)," ",331-COUNTBLANK($C$6:C336))</f>
        <v xml:space="preserve"> </v>
      </c>
      <c r="B336" s="178"/>
      <c r="C336" s="178"/>
      <c r="D336" s="193"/>
      <c r="E336" s="193"/>
      <c r="F336" s="180"/>
      <c r="G336" s="180"/>
      <c r="H336" s="180"/>
      <c r="I336" s="180"/>
      <c r="J336" s="180"/>
      <c r="K336" s="180"/>
      <c r="L336" s="180"/>
      <c r="M336" s="181"/>
      <c r="N336" s="163" t="str">
        <f t="shared" si="23"/>
        <v/>
      </c>
      <c r="O336" s="126" t="str">
        <f t="shared" si="24"/>
        <v>-</v>
      </c>
      <c r="P336" s="164"/>
      <c r="Q336" s="164"/>
      <c r="R336" s="164"/>
      <c r="S336" s="164"/>
      <c r="T336" s="164"/>
      <c r="U336" s="164"/>
      <c r="V336" s="165"/>
    </row>
    <row r="337" spans="1:25" ht="27" customHeight="1">
      <c r="A337" s="192" t="str">
        <f>IF(ISBLANK(C337)," ",332-COUNTBLANK($C$6:C337))</f>
        <v xml:space="preserve"> </v>
      </c>
      <c r="B337" s="178"/>
      <c r="C337" s="178"/>
      <c r="D337" s="193"/>
      <c r="E337" s="193"/>
      <c r="F337" s="180"/>
      <c r="G337" s="180"/>
      <c r="H337" s="180"/>
      <c r="I337" s="180"/>
      <c r="J337" s="180"/>
      <c r="K337" s="180"/>
      <c r="L337" s="180"/>
      <c r="M337" s="181"/>
      <c r="N337" s="163" t="str">
        <f t="shared" si="23"/>
        <v/>
      </c>
      <c r="O337" s="126" t="str">
        <f t="shared" si="24"/>
        <v>-</v>
      </c>
      <c r="P337" s="164"/>
      <c r="Q337" s="164"/>
      <c r="R337" s="164"/>
      <c r="S337" s="164"/>
      <c r="T337" s="164"/>
      <c r="U337" s="164"/>
      <c r="V337" s="165"/>
    </row>
    <row r="338" spans="1:25" ht="27" customHeight="1">
      <c r="A338" s="192" t="str">
        <f>IF(ISBLANK(C338)," ",333-COUNTBLANK($C$6:C338))</f>
        <v xml:space="preserve"> </v>
      </c>
      <c r="B338" s="178"/>
      <c r="C338" s="178"/>
      <c r="D338" s="193"/>
      <c r="E338" s="193"/>
      <c r="F338" s="180"/>
      <c r="G338" s="180"/>
      <c r="H338" s="180"/>
      <c r="I338" s="180"/>
      <c r="J338" s="180"/>
      <c r="K338" s="180"/>
      <c r="L338" s="180"/>
      <c r="M338" s="181"/>
      <c r="N338" s="163" t="str">
        <f t="shared" si="23"/>
        <v/>
      </c>
      <c r="O338" s="126" t="str">
        <f t="shared" si="24"/>
        <v>-</v>
      </c>
      <c r="P338" s="164"/>
      <c r="Q338" s="164"/>
      <c r="R338" s="164"/>
      <c r="S338" s="164"/>
      <c r="T338" s="164"/>
      <c r="U338" s="164"/>
      <c r="V338" s="165"/>
    </row>
    <row r="339" spans="1:25" ht="27" customHeight="1">
      <c r="A339" s="192" t="str">
        <f>IF(ISBLANK(C339)," ",334-COUNTBLANK($C$6:C339))</f>
        <v xml:space="preserve"> </v>
      </c>
      <c r="B339" s="178"/>
      <c r="C339" s="178"/>
      <c r="D339" s="193"/>
      <c r="E339" s="193"/>
      <c r="F339" s="180"/>
      <c r="G339" s="180"/>
      <c r="H339" s="180"/>
      <c r="I339" s="180"/>
      <c r="J339" s="180"/>
      <c r="K339" s="180"/>
      <c r="L339" s="180"/>
      <c r="M339" s="181"/>
      <c r="N339" s="163" t="str">
        <f t="shared" si="23"/>
        <v/>
      </c>
      <c r="O339" s="126" t="str">
        <f t="shared" si="24"/>
        <v>-</v>
      </c>
      <c r="P339" s="164"/>
      <c r="Q339" s="164"/>
      <c r="R339" s="164"/>
      <c r="S339" s="164"/>
      <c r="T339" s="164"/>
      <c r="U339" s="164"/>
      <c r="V339" s="165"/>
    </row>
    <row r="340" spans="1:25" ht="27" customHeight="1">
      <c r="A340" s="192" t="str">
        <f>IF(ISBLANK(C340)," ",335-COUNTBLANK($C$6:C340))</f>
        <v xml:space="preserve"> </v>
      </c>
      <c r="B340" s="178"/>
      <c r="C340" s="178"/>
      <c r="D340" s="193"/>
      <c r="E340" s="193"/>
      <c r="F340" s="180"/>
      <c r="G340" s="180"/>
      <c r="H340" s="180"/>
      <c r="I340" s="180"/>
      <c r="J340" s="180"/>
      <c r="K340" s="180"/>
      <c r="L340" s="180"/>
      <c r="M340" s="181"/>
      <c r="N340" s="163" t="str">
        <f t="shared" si="23"/>
        <v/>
      </c>
      <c r="O340" s="126" t="str">
        <f t="shared" si="24"/>
        <v>-</v>
      </c>
      <c r="P340" s="164"/>
      <c r="Q340" s="164"/>
      <c r="R340" s="164"/>
      <c r="S340" s="164"/>
      <c r="T340" s="164"/>
      <c r="U340" s="164"/>
      <c r="V340" s="166"/>
      <c r="W340" s="164"/>
      <c r="X340" s="164"/>
      <c r="Y340" s="164"/>
    </row>
    <row r="341" spans="1:25" ht="27" customHeight="1">
      <c r="A341" s="172" t="s">
        <v>44</v>
      </c>
      <c r="B341" s="173"/>
      <c r="C341" s="174"/>
      <c r="D341" s="194"/>
      <c r="E341" s="194">
        <f>SUM(E321:E340)</f>
        <v>0</v>
      </c>
      <c r="F341" s="176"/>
      <c r="G341" s="176"/>
      <c r="H341" s="176"/>
      <c r="I341" s="176"/>
      <c r="J341" s="176"/>
      <c r="K341" s="176"/>
      <c r="L341" s="176"/>
      <c r="M341" s="177"/>
      <c r="N341" s="163" t="str">
        <f t="shared" si="23"/>
        <v/>
      </c>
      <c r="O341" s="126"/>
      <c r="P341" s="164"/>
      <c r="Q341" s="164"/>
      <c r="R341" s="164"/>
      <c r="S341" s="164"/>
      <c r="T341" s="164"/>
      <c r="U341" s="164"/>
      <c r="V341" s="166"/>
      <c r="W341" s="164"/>
      <c r="X341" s="164"/>
      <c r="Y341" s="164"/>
    </row>
    <row r="342" spans="1:25" ht="27" customHeight="1">
      <c r="A342" s="187" t="str">
        <f>IF(ISBLANK(C342)," ",337-COUNTBLANK($C$6:C342))</f>
        <v xml:space="preserve"> </v>
      </c>
      <c r="B342" s="188"/>
      <c r="C342" s="188"/>
      <c r="D342" s="189"/>
      <c r="E342" s="189"/>
      <c r="F342" s="190"/>
      <c r="G342" s="190"/>
      <c r="H342" s="190"/>
      <c r="I342" s="190"/>
      <c r="J342" s="190"/>
      <c r="K342" s="190"/>
      <c r="L342" s="190"/>
      <c r="M342" s="191"/>
      <c r="N342" s="163" t="str">
        <f>CONCATENATE(C342,H342)</f>
        <v/>
      </c>
      <c r="O342" s="126" t="str">
        <f>IF(D342&gt;=E342,"-","ERR")</f>
        <v>-</v>
      </c>
      <c r="P342" s="164"/>
      <c r="Q342" s="164"/>
      <c r="R342" s="164"/>
      <c r="S342" s="164"/>
      <c r="T342" s="164"/>
      <c r="U342" s="164"/>
      <c r="V342" s="164"/>
    </row>
    <row r="343" spans="1:25" ht="27" customHeight="1">
      <c r="A343" s="192" t="str">
        <f>IF(ISBLANK(C343)," ",338-COUNTBLANK($C$6:C343))</f>
        <v xml:space="preserve"> </v>
      </c>
      <c r="B343" s="178"/>
      <c r="C343" s="178"/>
      <c r="D343" s="193"/>
      <c r="E343" s="193"/>
      <c r="F343" s="180"/>
      <c r="G343" s="180"/>
      <c r="H343" s="180"/>
      <c r="I343" s="180"/>
      <c r="J343" s="180"/>
      <c r="K343" s="180"/>
      <c r="L343" s="180"/>
      <c r="M343" s="181"/>
      <c r="N343" s="163" t="str">
        <f t="shared" ref="N343:N362" si="25">CONCATENATE(C343,H343)</f>
        <v/>
      </c>
      <c r="O343" s="126" t="str">
        <f t="shared" ref="O343:O361" si="26">IF(D343&gt;=E343,"-","ERR")</f>
        <v>-</v>
      </c>
      <c r="P343" s="164"/>
      <c r="Q343" s="164"/>
      <c r="R343" s="164"/>
      <c r="S343" s="164"/>
      <c r="T343" s="164"/>
      <c r="U343" s="164"/>
      <c r="V343" s="164"/>
    </row>
    <row r="344" spans="1:25" ht="27" customHeight="1">
      <c r="A344" s="192" t="str">
        <f>IF(ISBLANK(C344)," ",339-COUNTBLANK($C$6:C344))</f>
        <v xml:space="preserve"> </v>
      </c>
      <c r="B344" s="178"/>
      <c r="C344" s="178"/>
      <c r="D344" s="193"/>
      <c r="E344" s="193"/>
      <c r="F344" s="180"/>
      <c r="G344" s="180"/>
      <c r="H344" s="180"/>
      <c r="I344" s="180"/>
      <c r="J344" s="180"/>
      <c r="K344" s="180"/>
      <c r="L344" s="180"/>
      <c r="M344" s="181"/>
      <c r="N344" s="163" t="str">
        <f t="shared" si="25"/>
        <v/>
      </c>
      <c r="O344" s="126" t="str">
        <f t="shared" si="26"/>
        <v>-</v>
      </c>
      <c r="P344" s="164"/>
      <c r="Q344" s="164"/>
      <c r="R344" s="164"/>
      <c r="S344" s="164"/>
      <c r="T344" s="164"/>
      <c r="U344" s="164"/>
      <c r="V344" s="164"/>
    </row>
    <row r="345" spans="1:25" ht="27" customHeight="1">
      <c r="A345" s="192" t="str">
        <f>IF(ISBLANK(C345)," ",340-COUNTBLANK($C$6:C345))</f>
        <v xml:space="preserve"> </v>
      </c>
      <c r="B345" s="178"/>
      <c r="C345" s="178"/>
      <c r="D345" s="193"/>
      <c r="E345" s="193"/>
      <c r="F345" s="180"/>
      <c r="G345" s="180"/>
      <c r="H345" s="180"/>
      <c r="I345" s="180"/>
      <c r="J345" s="180"/>
      <c r="K345" s="180"/>
      <c r="L345" s="180"/>
      <c r="M345" s="181"/>
      <c r="N345" s="163" t="str">
        <f t="shared" si="25"/>
        <v/>
      </c>
      <c r="O345" s="126" t="str">
        <f t="shared" si="26"/>
        <v>-</v>
      </c>
      <c r="P345" s="164"/>
      <c r="Q345" s="164"/>
      <c r="R345" s="164"/>
      <c r="S345" s="164"/>
      <c r="T345" s="164"/>
      <c r="U345" s="164"/>
      <c r="V345" s="164"/>
    </row>
    <row r="346" spans="1:25" ht="27" customHeight="1">
      <c r="A346" s="192" t="str">
        <f>IF(ISBLANK(C346)," ",341-COUNTBLANK($C$6:C346))</f>
        <v xml:space="preserve"> </v>
      </c>
      <c r="B346" s="178"/>
      <c r="C346" s="178"/>
      <c r="D346" s="193"/>
      <c r="E346" s="193"/>
      <c r="F346" s="180"/>
      <c r="G346" s="180"/>
      <c r="H346" s="180"/>
      <c r="I346" s="180"/>
      <c r="J346" s="180"/>
      <c r="K346" s="180"/>
      <c r="L346" s="180"/>
      <c r="M346" s="181"/>
      <c r="N346" s="163" t="str">
        <f t="shared" si="25"/>
        <v/>
      </c>
      <c r="O346" s="126" t="str">
        <f t="shared" si="26"/>
        <v>-</v>
      </c>
      <c r="P346" s="164"/>
      <c r="Q346" s="164"/>
      <c r="R346" s="164"/>
      <c r="S346" s="164"/>
      <c r="T346" s="164"/>
      <c r="U346" s="164"/>
      <c r="V346" s="164"/>
    </row>
    <row r="347" spans="1:25" ht="27" customHeight="1">
      <c r="A347" s="192" t="str">
        <f>IF(ISBLANK(C347)," ",342-COUNTBLANK($C$6:C347))</f>
        <v xml:space="preserve"> </v>
      </c>
      <c r="B347" s="178"/>
      <c r="C347" s="178"/>
      <c r="D347" s="193"/>
      <c r="E347" s="193"/>
      <c r="F347" s="180"/>
      <c r="G347" s="180"/>
      <c r="H347" s="180"/>
      <c r="I347" s="180"/>
      <c r="J347" s="180"/>
      <c r="K347" s="180"/>
      <c r="L347" s="180"/>
      <c r="M347" s="181"/>
      <c r="N347" s="163" t="str">
        <f t="shared" si="25"/>
        <v/>
      </c>
      <c r="O347" s="126" t="str">
        <f t="shared" si="26"/>
        <v>-</v>
      </c>
      <c r="P347" s="164"/>
      <c r="Q347" s="164"/>
      <c r="R347" s="164"/>
      <c r="S347" s="164"/>
      <c r="T347" s="164"/>
      <c r="U347" s="164"/>
      <c r="V347" s="164"/>
    </row>
    <row r="348" spans="1:25" ht="27" customHeight="1">
      <c r="A348" s="192" t="str">
        <f>IF(ISBLANK(C348)," ",343-COUNTBLANK($C$6:C348))</f>
        <v xml:space="preserve"> </v>
      </c>
      <c r="B348" s="178"/>
      <c r="C348" s="178"/>
      <c r="D348" s="193"/>
      <c r="E348" s="193"/>
      <c r="F348" s="180"/>
      <c r="G348" s="180"/>
      <c r="H348" s="180"/>
      <c r="I348" s="180"/>
      <c r="J348" s="180"/>
      <c r="K348" s="180"/>
      <c r="L348" s="180"/>
      <c r="M348" s="181"/>
      <c r="N348" s="163" t="str">
        <f t="shared" si="25"/>
        <v/>
      </c>
      <c r="O348" s="126" t="str">
        <f t="shared" si="26"/>
        <v>-</v>
      </c>
      <c r="P348" s="164"/>
      <c r="Q348" s="164"/>
      <c r="R348" s="164"/>
      <c r="S348" s="164"/>
      <c r="T348" s="164"/>
      <c r="U348" s="164"/>
      <c r="V348" s="164"/>
    </row>
    <row r="349" spans="1:25" ht="27" customHeight="1">
      <c r="A349" s="192" t="str">
        <f>IF(ISBLANK(C349)," ",344-COUNTBLANK($C$6:C349))</f>
        <v xml:space="preserve"> </v>
      </c>
      <c r="B349" s="178"/>
      <c r="C349" s="178"/>
      <c r="D349" s="193"/>
      <c r="E349" s="193"/>
      <c r="F349" s="180"/>
      <c r="G349" s="180"/>
      <c r="H349" s="180"/>
      <c r="I349" s="180"/>
      <c r="J349" s="180"/>
      <c r="K349" s="180"/>
      <c r="L349" s="180"/>
      <c r="M349" s="181"/>
      <c r="N349" s="163" t="str">
        <f t="shared" si="25"/>
        <v/>
      </c>
      <c r="O349" s="126" t="str">
        <f t="shared" si="26"/>
        <v>-</v>
      </c>
      <c r="P349" s="164"/>
      <c r="Q349" s="164"/>
      <c r="R349" s="164"/>
      <c r="S349" s="164"/>
      <c r="T349" s="164"/>
      <c r="U349" s="164"/>
      <c r="V349" s="164"/>
    </row>
    <row r="350" spans="1:25" ht="27" customHeight="1">
      <c r="A350" s="192" t="str">
        <f>IF(ISBLANK(C350)," ",345-COUNTBLANK($C$6:C350))</f>
        <v xml:space="preserve"> </v>
      </c>
      <c r="B350" s="178"/>
      <c r="C350" s="178"/>
      <c r="D350" s="193"/>
      <c r="E350" s="193"/>
      <c r="F350" s="180"/>
      <c r="G350" s="180"/>
      <c r="H350" s="180"/>
      <c r="I350" s="180"/>
      <c r="J350" s="180"/>
      <c r="K350" s="180"/>
      <c r="L350" s="180"/>
      <c r="M350" s="181"/>
      <c r="N350" s="163" t="str">
        <f t="shared" si="25"/>
        <v/>
      </c>
      <c r="O350" s="126" t="str">
        <f t="shared" si="26"/>
        <v>-</v>
      </c>
      <c r="P350" s="164"/>
      <c r="Q350" s="164"/>
      <c r="R350" s="164"/>
      <c r="S350" s="164"/>
      <c r="T350" s="164"/>
      <c r="U350" s="164"/>
      <c r="V350" s="164"/>
    </row>
    <row r="351" spans="1:25" ht="27" customHeight="1">
      <c r="A351" s="192" t="str">
        <f>IF(ISBLANK(C351)," ",346-COUNTBLANK($C$6:C351))</f>
        <v xml:space="preserve"> </v>
      </c>
      <c r="B351" s="178"/>
      <c r="C351" s="178"/>
      <c r="D351" s="193"/>
      <c r="E351" s="193"/>
      <c r="F351" s="180"/>
      <c r="G351" s="180"/>
      <c r="H351" s="180"/>
      <c r="I351" s="180"/>
      <c r="J351" s="180"/>
      <c r="K351" s="180"/>
      <c r="L351" s="180"/>
      <c r="M351" s="181"/>
      <c r="N351" s="163" t="str">
        <f t="shared" si="25"/>
        <v/>
      </c>
      <c r="O351" s="126" t="str">
        <f t="shared" si="26"/>
        <v>-</v>
      </c>
      <c r="P351" s="164"/>
      <c r="Q351" s="164"/>
      <c r="R351" s="164"/>
      <c r="S351" s="164"/>
      <c r="T351" s="164"/>
      <c r="U351" s="164"/>
      <c r="V351" s="164"/>
    </row>
    <row r="352" spans="1:25" ht="27" customHeight="1">
      <c r="A352" s="192" t="str">
        <f>IF(ISBLANK(C352)," ",347-COUNTBLANK($C$6:C352))</f>
        <v xml:space="preserve"> </v>
      </c>
      <c r="B352" s="178"/>
      <c r="C352" s="178"/>
      <c r="D352" s="193"/>
      <c r="E352" s="193"/>
      <c r="F352" s="180"/>
      <c r="G352" s="180"/>
      <c r="H352" s="180"/>
      <c r="I352" s="180"/>
      <c r="J352" s="180"/>
      <c r="K352" s="180"/>
      <c r="L352" s="180"/>
      <c r="M352" s="181"/>
      <c r="N352" s="163" t="str">
        <f t="shared" si="25"/>
        <v/>
      </c>
      <c r="O352" s="126" t="str">
        <f t="shared" si="26"/>
        <v>-</v>
      </c>
      <c r="P352" s="164"/>
      <c r="Q352" s="164"/>
      <c r="R352" s="164"/>
      <c r="S352" s="164"/>
      <c r="T352" s="164"/>
      <c r="U352" s="164"/>
      <c r="V352" s="164"/>
    </row>
    <row r="353" spans="1:25" ht="27" customHeight="1">
      <c r="A353" s="192" t="str">
        <f>IF(ISBLANK(C353)," ",348-COUNTBLANK($C$6:C353))</f>
        <v xml:space="preserve"> </v>
      </c>
      <c r="B353" s="178"/>
      <c r="C353" s="178"/>
      <c r="D353" s="193"/>
      <c r="E353" s="193"/>
      <c r="F353" s="180"/>
      <c r="G353" s="180"/>
      <c r="H353" s="180"/>
      <c r="I353" s="180"/>
      <c r="J353" s="180"/>
      <c r="K353" s="180"/>
      <c r="L353" s="180"/>
      <c r="M353" s="181"/>
      <c r="N353" s="163" t="str">
        <f t="shared" si="25"/>
        <v/>
      </c>
      <c r="O353" s="126" t="str">
        <f t="shared" si="26"/>
        <v>-</v>
      </c>
      <c r="P353" s="164"/>
      <c r="Q353" s="164"/>
      <c r="R353" s="164"/>
      <c r="S353" s="164"/>
      <c r="T353" s="164"/>
      <c r="U353" s="164"/>
      <c r="V353" s="164"/>
    </row>
    <row r="354" spans="1:25" ht="27" customHeight="1">
      <c r="A354" s="192" t="str">
        <f>IF(ISBLANK(C354)," ",349-COUNTBLANK($C$6:C354))</f>
        <v xml:space="preserve"> </v>
      </c>
      <c r="B354" s="178"/>
      <c r="C354" s="178"/>
      <c r="D354" s="193"/>
      <c r="E354" s="193"/>
      <c r="F354" s="180"/>
      <c r="G354" s="180"/>
      <c r="H354" s="180"/>
      <c r="I354" s="180"/>
      <c r="J354" s="180"/>
      <c r="K354" s="180"/>
      <c r="L354" s="180"/>
      <c r="M354" s="181"/>
      <c r="N354" s="163" t="str">
        <f t="shared" si="25"/>
        <v/>
      </c>
      <c r="O354" s="126" t="str">
        <f t="shared" si="26"/>
        <v>-</v>
      </c>
      <c r="P354" s="164"/>
      <c r="Q354" s="164"/>
      <c r="R354" s="164"/>
      <c r="S354" s="164"/>
      <c r="T354" s="164"/>
      <c r="U354" s="164"/>
      <c r="V354" s="164"/>
    </row>
    <row r="355" spans="1:25" ht="27" customHeight="1">
      <c r="A355" s="192" t="str">
        <f>IF(ISBLANK(C355)," ",350-COUNTBLANK($C$6:C355))</f>
        <v xml:space="preserve"> </v>
      </c>
      <c r="B355" s="178"/>
      <c r="C355" s="178"/>
      <c r="D355" s="193"/>
      <c r="E355" s="193"/>
      <c r="F355" s="180"/>
      <c r="G355" s="180"/>
      <c r="H355" s="180"/>
      <c r="I355" s="180"/>
      <c r="J355" s="180"/>
      <c r="K355" s="180"/>
      <c r="L355" s="180"/>
      <c r="M355" s="181"/>
      <c r="N355" s="163" t="str">
        <f t="shared" si="25"/>
        <v/>
      </c>
      <c r="O355" s="126" t="str">
        <f t="shared" si="26"/>
        <v>-</v>
      </c>
      <c r="P355" s="164"/>
      <c r="Q355" s="164"/>
      <c r="R355" s="164"/>
      <c r="S355" s="164"/>
      <c r="T355" s="164"/>
      <c r="U355" s="164"/>
      <c r="V355" s="164"/>
    </row>
    <row r="356" spans="1:25" ht="27" customHeight="1">
      <c r="A356" s="192" t="str">
        <f>IF(ISBLANK(C356)," ",351-COUNTBLANK($C$6:C356))</f>
        <v xml:space="preserve"> </v>
      </c>
      <c r="B356" s="178"/>
      <c r="C356" s="178"/>
      <c r="D356" s="193"/>
      <c r="E356" s="193"/>
      <c r="F356" s="180"/>
      <c r="G356" s="180"/>
      <c r="H356" s="180"/>
      <c r="I356" s="180"/>
      <c r="J356" s="180"/>
      <c r="K356" s="180"/>
      <c r="L356" s="180"/>
      <c r="M356" s="181"/>
      <c r="N356" s="163" t="str">
        <f t="shared" si="25"/>
        <v/>
      </c>
      <c r="O356" s="126" t="str">
        <f t="shared" si="26"/>
        <v>-</v>
      </c>
      <c r="P356" s="164"/>
      <c r="Q356" s="164"/>
      <c r="R356" s="164"/>
      <c r="S356" s="164"/>
      <c r="T356" s="164"/>
      <c r="U356" s="164"/>
      <c r="V356" s="164"/>
    </row>
    <row r="357" spans="1:25" ht="27" customHeight="1">
      <c r="A357" s="192" t="str">
        <f>IF(ISBLANK(C357)," ",352-COUNTBLANK($C$6:C357))</f>
        <v xml:space="preserve"> </v>
      </c>
      <c r="B357" s="178"/>
      <c r="C357" s="178"/>
      <c r="D357" s="193"/>
      <c r="E357" s="193"/>
      <c r="F357" s="180"/>
      <c r="G357" s="180"/>
      <c r="H357" s="180"/>
      <c r="I357" s="180"/>
      <c r="J357" s="180"/>
      <c r="K357" s="180"/>
      <c r="L357" s="180"/>
      <c r="M357" s="181"/>
      <c r="N357" s="163" t="str">
        <f t="shared" si="25"/>
        <v/>
      </c>
      <c r="O357" s="126" t="str">
        <f t="shared" si="26"/>
        <v>-</v>
      </c>
      <c r="P357" s="164"/>
      <c r="Q357" s="164"/>
      <c r="R357" s="164"/>
      <c r="S357" s="164"/>
      <c r="T357" s="164"/>
      <c r="U357" s="164"/>
      <c r="V357" s="165"/>
    </row>
    <row r="358" spans="1:25" ht="27" customHeight="1">
      <c r="A358" s="192" t="str">
        <f>IF(ISBLANK(C358)," ",353-COUNTBLANK($C$6:C358))</f>
        <v xml:space="preserve"> </v>
      </c>
      <c r="B358" s="178"/>
      <c r="C358" s="178"/>
      <c r="D358" s="193"/>
      <c r="E358" s="193"/>
      <c r="F358" s="180"/>
      <c r="G358" s="180"/>
      <c r="H358" s="180"/>
      <c r="I358" s="180"/>
      <c r="J358" s="180"/>
      <c r="K358" s="180"/>
      <c r="L358" s="180"/>
      <c r="M358" s="181"/>
      <c r="N358" s="163" t="str">
        <f t="shared" si="25"/>
        <v/>
      </c>
      <c r="O358" s="126" t="str">
        <f t="shared" si="26"/>
        <v>-</v>
      </c>
      <c r="P358" s="164"/>
      <c r="Q358" s="164"/>
      <c r="R358" s="164"/>
      <c r="S358" s="164"/>
      <c r="T358" s="164"/>
      <c r="U358" s="164"/>
      <c r="V358" s="165"/>
    </row>
    <row r="359" spans="1:25" ht="27" customHeight="1">
      <c r="A359" s="192" t="str">
        <f>IF(ISBLANK(C359)," ",354-COUNTBLANK($C$6:C359))</f>
        <v xml:space="preserve"> </v>
      </c>
      <c r="B359" s="178"/>
      <c r="C359" s="178"/>
      <c r="D359" s="193"/>
      <c r="E359" s="193"/>
      <c r="F359" s="180"/>
      <c r="G359" s="180"/>
      <c r="H359" s="180"/>
      <c r="I359" s="180"/>
      <c r="J359" s="180"/>
      <c r="K359" s="180"/>
      <c r="L359" s="180"/>
      <c r="M359" s="181"/>
      <c r="N359" s="163" t="str">
        <f t="shared" si="25"/>
        <v/>
      </c>
      <c r="O359" s="126" t="str">
        <f t="shared" si="26"/>
        <v>-</v>
      </c>
      <c r="P359" s="164"/>
      <c r="Q359" s="164"/>
      <c r="R359" s="164"/>
      <c r="S359" s="164"/>
      <c r="T359" s="164"/>
      <c r="U359" s="164"/>
      <c r="V359" s="165"/>
    </row>
    <row r="360" spans="1:25" ht="27" customHeight="1">
      <c r="A360" s="192" t="str">
        <f>IF(ISBLANK(C360)," ",355-COUNTBLANK($C$6:C360))</f>
        <v xml:space="preserve"> </v>
      </c>
      <c r="B360" s="178"/>
      <c r="C360" s="178"/>
      <c r="D360" s="193"/>
      <c r="E360" s="193"/>
      <c r="F360" s="180"/>
      <c r="G360" s="180"/>
      <c r="H360" s="180"/>
      <c r="I360" s="180"/>
      <c r="J360" s="180"/>
      <c r="K360" s="180"/>
      <c r="L360" s="180"/>
      <c r="M360" s="181"/>
      <c r="N360" s="163" t="str">
        <f t="shared" si="25"/>
        <v/>
      </c>
      <c r="O360" s="126" t="str">
        <f t="shared" si="26"/>
        <v>-</v>
      </c>
      <c r="P360" s="164"/>
      <c r="Q360" s="164"/>
      <c r="R360" s="164"/>
      <c r="S360" s="164"/>
      <c r="T360" s="164"/>
      <c r="U360" s="164"/>
      <c r="V360" s="165"/>
    </row>
    <row r="361" spans="1:25" ht="27" customHeight="1">
      <c r="A361" s="192" t="str">
        <f>IF(ISBLANK(C361)," ",356-COUNTBLANK($C$6:C361))</f>
        <v xml:space="preserve"> </v>
      </c>
      <c r="B361" s="178"/>
      <c r="C361" s="178"/>
      <c r="D361" s="193"/>
      <c r="E361" s="193"/>
      <c r="F361" s="180"/>
      <c r="G361" s="180"/>
      <c r="H361" s="180"/>
      <c r="I361" s="180"/>
      <c r="J361" s="180"/>
      <c r="K361" s="180"/>
      <c r="L361" s="180"/>
      <c r="M361" s="181"/>
      <c r="N361" s="163" t="str">
        <f t="shared" si="25"/>
        <v/>
      </c>
      <c r="O361" s="126" t="str">
        <f t="shared" si="26"/>
        <v>-</v>
      </c>
      <c r="P361" s="164"/>
      <c r="Q361" s="164"/>
      <c r="R361" s="164"/>
      <c r="S361" s="164"/>
      <c r="T361" s="164"/>
      <c r="U361" s="164"/>
      <c r="V361" s="166"/>
      <c r="W361" s="164"/>
      <c r="X361" s="164"/>
      <c r="Y361" s="164"/>
    </row>
    <row r="362" spans="1:25" ht="27" customHeight="1">
      <c r="A362" s="172" t="s">
        <v>44</v>
      </c>
      <c r="B362" s="173"/>
      <c r="C362" s="174"/>
      <c r="D362" s="194"/>
      <c r="E362" s="194">
        <f>SUM(E342:E361)</f>
        <v>0</v>
      </c>
      <c r="F362" s="176"/>
      <c r="G362" s="176"/>
      <c r="H362" s="176"/>
      <c r="I362" s="176"/>
      <c r="J362" s="176"/>
      <c r="K362" s="176"/>
      <c r="L362" s="176"/>
      <c r="M362" s="177"/>
      <c r="N362" s="163" t="str">
        <f t="shared" si="25"/>
        <v/>
      </c>
      <c r="O362" s="126"/>
      <c r="P362" s="164"/>
      <c r="Q362" s="164"/>
      <c r="R362" s="164"/>
      <c r="S362" s="164"/>
      <c r="T362" s="164"/>
      <c r="U362" s="164"/>
      <c r="V362" s="166"/>
      <c r="W362" s="164"/>
      <c r="X362" s="164"/>
      <c r="Y362" s="164"/>
    </row>
    <row r="363" spans="1:25" ht="27" customHeight="1">
      <c r="A363" s="187" t="str">
        <f>IF(ISBLANK(C363)," ",358-COUNTBLANK($C$6:C363))</f>
        <v xml:space="preserve"> </v>
      </c>
      <c r="B363" s="188"/>
      <c r="C363" s="188"/>
      <c r="D363" s="189"/>
      <c r="E363" s="189"/>
      <c r="F363" s="190"/>
      <c r="G363" s="190"/>
      <c r="H363" s="190"/>
      <c r="I363" s="190"/>
      <c r="J363" s="190"/>
      <c r="K363" s="190"/>
      <c r="L363" s="190"/>
      <c r="M363" s="191"/>
      <c r="N363" s="163" t="str">
        <f>CONCATENATE(C363,H363)</f>
        <v/>
      </c>
      <c r="O363" s="126" t="str">
        <f>IF(D363&gt;=E363,"-","ERR")</f>
        <v>-</v>
      </c>
      <c r="P363" s="164"/>
      <c r="Q363" s="164"/>
      <c r="R363" s="164"/>
      <c r="S363" s="164"/>
      <c r="T363" s="164"/>
      <c r="U363" s="164"/>
      <c r="V363" s="164"/>
    </row>
    <row r="364" spans="1:25" ht="27" customHeight="1">
      <c r="A364" s="192" t="str">
        <f>IF(ISBLANK(C364)," ",359-COUNTBLANK($C$6:C364))</f>
        <v xml:space="preserve"> </v>
      </c>
      <c r="B364" s="178"/>
      <c r="C364" s="178"/>
      <c r="D364" s="193"/>
      <c r="E364" s="193"/>
      <c r="F364" s="180"/>
      <c r="G364" s="180"/>
      <c r="H364" s="180"/>
      <c r="I364" s="180"/>
      <c r="J364" s="180"/>
      <c r="K364" s="180"/>
      <c r="L364" s="180"/>
      <c r="M364" s="181"/>
      <c r="N364" s="163" t="str">
        <f t="shared" ref="N364:N383" si="27">CONCATENATE(C364,H364)</f>
        <v/>
      </c>
      <c r="O364" s="126" t="str">
        <f t="shared" ref="O364:O382" si="28">IF(D364&gt;=E364,"-","ERR")</f>
        <v>-</v>
      </c>
      <c r="P364" s="164"/>
      <c r="Q364" s="164"/>
      <c r="R364" s="164"/>
      <c r="S364" s="164"/>
      <c r="T364" s="164"/>
      <c r="U364" s="164"/>
      <c r="V364" s="164"/>
    </row>
    <row r="365" spans="1:25" ht="27" customHeight="1">
      <c r="A365" s="192" t="str">
        <f>IF(ISBLANK(C365)," ",360-COUNTBLANK($C$6:C365))</f>
        <v xml:space="preserve"> </v>
      </c>
      <c r="B365" s="178"/>
      <c r="C365" s="178"/>
      <c r="D365" s="193"/>
      <c r="E365" s="193"/>
      <c r="F365" s="180"/>
      <c r="G365" s="180"/>
      <c r="H365" s="180"/>
      <c r="I365" s="180"/>
      <c r="J365" s="180"/>
      <c r="K365" s="180"/>
      <c r="L365" s="180"/>
      <c r="M365" s="181"/>
      <c r="N365" s="163" t="str">
        <f t="shared" si="27"/>
        <v/>
      </c>
      <c r="O365" s="126" t="str">
        <f t="shared" si="28"/>
        <v>-</v>
      </c>
      <c r="P365" s="164"/>
      <c r="Q365" s="164"/>
      <c r="R365" s="164"/>
      <c r="S365" s="164"/>
      <c r="T365" s="164"/>
      <c r="U365" s="164"/>
      <c r="V365" s="164"/>
    </row>
    <row r="366" spans="1:25" ht="27" customHeight="1">
      <c r="A366" s="192" t="str">
        <f>IF(ISBLANK(C366)," ",361-COUNTBLANK($C$6:C366))</f>
        <v xml:space="preserve"> </v>
      </c>
      <c r="B366" s="178"/>
      <c r="C366" s="178"/>
      <c r="D366" s="193"/>
      <c r="E366" s="193"/>
      <c r="F366" s="180"/>
      <c r="G366" s="180"/>
      <c r="H366" s="180"/>
      <c r="I366" s="180"/>
      <c r="J366" s="180"/>
      <c r="K366" s="180"/>
      <c r="L366" s="180"/>
      <c r="M366" s="181"/>
      <c r="N366" s="163" t="str">
        <f t="shared" si="27"/>
        <v/>
      </c>
      <c r="O366" s="126" t="str">
        <f t="shared" si="28"/>
        <v>-</v>
      </c>
      <c r="P366" s="164"/>
      <c r="Q366" s="164"/>
      <c r="R366" s="164"/>
      <c r="S366" s="164"/>
      <c r="T366" s="164"/>
      <c r="U366" s="164"/>
      <c r="V366" s="164"/>
    </row>
    <row r="367" spans="1:25" ht="27" customHeight="1">
      <c r="A367" s="192" t="str">
        <f>IF(ISBLANK(C367)," ",362-COUNTBLANK($C$6:C367))</f>
        <v xml:space="preserve"> </v>
      </c>
      <c r="B367" s="178"/>
      <c r="C367" s="178"/>
      <c r="D367" s="193"/>
      <c r="E367" s="193"/>
      <c r="F367" s="180"/>
      <c r="G367" s="180"/>
      <c r="H367" s="180"/>
      <c r="I367" s="180"/>
      <c r="J367" s="180"/>
      <c r="K367" s="180"/>
      <c r="L367" s="180"/>
      <c r="M367" s="181"/>
      <c r="N367" s="163" t="str">
        <f t="shared" si="27"/>
        <v/>
      </c>
      <c r="O367" s="126" t="str">
        <f t="shared" si="28"/>
        <v>-</v>
      </c>
      <c r="P367" s="164"/>
      <c r="Q367" s="164"/>
      <c r="R367" s="164"/>
      <c r="S367" s="164"/>
      <c r="T367" s="164"/>
      <c r="U367" s="164"/>
      <c r="V367" s="164"/>
    </row>
    <row r="368" spans="1:25" ht="27" customHeight="1">
      <c r="A368" s="192" t="str">
        <f>IF(ISBLANK(C368)," ",363-COUNTBLANK($C$6:C368))</f>
        <v xml:space="preserve"> </v>
      </c>
      <c r="B368" s="178"/>
      <c r="C368" s="178"/>
      <c r="D368" s="193"/>
      <c r="E368" s="193"/>
      <c r="F368" s="180"/>
      <c r="G368" s="180"/>
      <c r="H368" s="180"/>
      <c r="I368" s="180"/>
      <c r="J368" s="180"/>
      <c r="K368" s="180"/>
      <c r="L368" s="180"/>
      <c r="M368" s="181"/>
      <c r="N368" s="163" t="str">
        <f t="shared" si="27"/>
        <v/>
      </c>
      <c r="O368" s="126" t="str">
        <f t="shared" si="28"/>
        <v>-</v>
      </c>
      <c r="P368" s="164"/>
      <c r="Q368" s="164"/>
      <c r="R368" s="164"/>
      <c r="S368" s="164"/>
      <c r="T368" s="164"/>
      <c r="U368" s="164"/>
      <c r="V368" s="164"/>
    </row>
    <row r="369" spans="1:25" ht="27" customHeight="1">
      <c r="A369" s="192" t="str">
        <f>IF(ISBLANK(C369)," ",364-COUNTBLANK($C$6:C369))</f>
        <v xml:space="preserve"> </v>
      </c>
      <c r="B369" s="178"/>
      <c r="C369" s="178"/>
      <c r="D369" s="193"/>
      <c r="E369" s="193"/>
      <c r="F369" s="180"/>
      <c r="G369" s="180"/>
      <c r="H369" s="180"/>
      <c r="I369" s="180"/>
      <c r="J369" s="180"/>
      <c r="K369" s="180"/>
      <c r="L369" s="180"/>
      <c r="M369" s="181"/>
      <c r="N369" s="163" t="str">
        <f t="shared" si="27"/>
        <v/>
      </c>
      <c r="O369" s="126" t="str">
        <f t="shared" si="28"/>
        <v>-</v>
      </c>
      <c r="P369" s="164"/>
      <c r="Q369" s="164"/>
      <c r="R369" s="164"/>
      <c r="S369" s="164"/>
      <c r="T369" s="164"/>
      <c r="U369" s="164"/>
      <c r="V369" s="164"/>
    </row>
    <row r="370" spans="1:25" ht="27" customHeight="1">
      <c r="A370" s="192" t="str">
        <f>IF(ISBLANK(C370)," ",365-COUNTBLANK($C$6:C370))</f>
        <v xml:space="preserve"> </v>
      </c>
      <c r="B370" s="178"/>
      <c r="C370" s="178"/>
      <c r="D370" s="193"/>
      <c r="E370" s="193"/>
      <c r="F370" s="180"/>
      <c r="G370" s="180"/>
      <c r="H370" s="180"/>
      <c r="I370" s="180"/>
      <c r="J370" s="180"/>
      <c r="K370" s="180"/>
      <c r="L370" s="180"/>
      <c r="M370" s="181"/>
      <c r="N370" s="163" t="str">
        <f t="shared" si="27"/>
        <v/>
      </c>
      <c r="O370" s="126" t="str">
        <f t="shared" si="28"/>
        <v>-</v>
      </c>
      <c r="P370" s="164"/>
      <c r="Q370" s="164"/>
      <c r="R370" s="164"/>
      <c r="S370" s="164"/>
      <c r="T370" s="164"/>
      <c r="U370" s="164"/>
      <c r="V370" s="164"/>
    </row>
    <row r="371" spans="1:25" ht="27" customHeight="1">
      <c r="A371" s="192" t="str">
        <f>IF(ISBLANK(C371)," ",366-COUNTBLANK($C$6:C371))</f>
        <v xml:space="preserve"> </v>
      </c>
      <c r="B371" s="178"/>
      <c r="C371" s="178"/>
      <c r="D371" s="193"/>
      <c r="E371" s="193"/>
      <c r="F371" s="180"/>
      <c r="G371" s="180"/>
      <c r="H371" s="180"/>
      <c r="I371" s="180"/>
      <c r="J371" s="180"/>
      <c r="K371" s="180"/>
      <c r="L371" s="180"/>
      <c r="M371" s="181"/>
      <c r="N371" s="163" t="str">
        <f t="shared" si="27"/>
        <v/>
      </c>
      <c r="O371" s="126" t="str">
        <f t="shared" si="28"/>
        <v>-</v>
      </c>
      <c r="P371" s="164"/>
      <c r="Q371" s="164"/>
      <c r="R371" s="164"/>
      <c r="S371" s="164"/>
      <c r="T371" s="164"/>
      <c r="U371" s="164"/>
      <c r="V371" s="164"/>
    </row>
    <row r="372" spans="1:25" ht="27" customHeight="1">
      <c r="A372" s="192" t="str">
        <f>IF(ISBLANK(C372)," ",367-COUNTBLANK($C$6:C372))</f>
        <v xml:space="preserve"> </v>
      </c>
      <c r="B372" s="178"/>
      <c r="C372" s="178"/>
      <c r="D372" s="193"/>
      <c r="E372" s="193"/>
      <c r="F372" s="180"/>
      <c r="G372" s="180"/>
      <c r="H372" s="180"/>
      <c r="I372" s="180"/>
      <c r="J372" s="180"/>
      <c r="K372" s="180"/>
      <c r="L372" s="180"/>
      <c r="M372" s="181"/>
      <c r="N372" s="163" t="str">
        <f t="shared" si="27"/>
        <v/>
      </c>
      <c r="O372" s="126" t="str">
        <f t="shared" si="28"/>
        <v>-</v>
      </c>
      <c r="P372" s="164"/>
      <c r="Q372" s="164"/>
      <c r="R372" s="164"/>
      <c r="S372" s="164"/>
      <c r="T372" s="164"/>
      <c r="U372" s="164"/>
      <c r="V372" s="164"/>
    </row>
    <row r="373" spans="1:25" ht="27" customHeight="1">
      <c r="A373" s="192" t="str">
        <f>IF(ISBLANK(C373)," ",368-COUNTBLANK($C$6:C373))</f>
        <v xml:space="preserve"> </v>
      </c>
      <c r="B373" s="178"/>
      <c r="C373" s="178"/>
      <c r="D373" s="193"/>
      <c r="E373" s="193"/>
      <c r="F373" s="180"/>
      <c r="G373" s="180"/>
      <c r="H373" s="180"/>
      <c r="I373" s="180"/>
      <c r="J373" s="180"/>
      <c r="K373" s="180"/>
      <c r="L373" s="180"/>
      <c r="M373" s="181"/>
      <c r="N373" s="163" t="str">
        <f t="shared" si="27"/>
        <v/>
      </c>
      <c r="O373" s="126" t="str">
        <f t="shared" si="28"/>
        <v>-</v>
      </c>
      <c r="P373" s="164"/>
      <c r="Q373" s="164"/>
      <c r="R373" s="164"/>
      <c r="S373" s="164"/>
      <c r="T373" s="164"/>
      <c r="U373" s="164"/>
      <c r="V373" s="164"/>
    </row>
    <row r="374" spans="1:25" ht="27" customHeight="1">
      <c r="A374" s="192" t="str">
        <f>IF(ISBLANK(C374)," ",369-COUNTBLANK($C$6:C374))</f>
        <v xml:space="preserve"> </v>
      </c>
      <c r="B374" s="178"/>
      <c r="C374" s="178"/>
      <c r="D374" s="193"/>
      <c r="E374" s="193"/>
      <c r="F374" s="180"/>
      <c r="G374" s="180"/>
      <c r="H374" s="180"/>
      <c r="I374" s="180"/>
      <c r="J374" s="180"/>
      <c r="K374" s="180"/>
      <c r="L374" s="180"/>
      <c r="M374" s="181"/>
      <c r="N374" s="163" t="str">
        <f t="shared" si="27"/>
        <v/>
      </c>
      <c r="O374" s="126" t="str">
        <f t="shared" si="28"/>
        <v>-</v>
      </c>
      <c r="P374" s="164"/>
      <c r="Q374" s="164"/>
      <c r="R374" s="164"/>
      <c r="S374" s="164"/>
      <c r="T374" s="164"/>
      <c r="U374" s="164"/>
      <c r="V374" s="164"/>
    </row>
    <row r="375" spans="1:25" ht="27" customHeight="1">
      <c r="A375" s="192" t="str">
        <f>IF(ISBLANK(C375)," ",370-COUNTBLANK($C$6:C375))</f>
        <v xml:space="preserve"> </v>
      </c>
      <c r="B375" s="178"/>
      <c r="C375" s="178"/>
      <c r="D375" s="193"/>
      <c r="E375" s="193"/>
      <c r="F375" s="180"/>
      <c r="G375" s="180"/>
      <c r="H375" s="180"/>
      <c r="I375" s="180"/>
      <c r="J375" s="180"/>
      <c r="K375" s="180"/>
      <c r="L375" s="180"/>
      <c r="M375" s="181"/>
      <c r="N375" s="163" t="str">
        <f t="shared" si="27"/>
        <v/>
      </c>
      <c r="O375" s="126" t="str">
        <f t="shared" si="28"/>
        <v>-</v>
      </c>
      <c r="P375" s="164"/>
      <c r="Q375" s="164"/>
      <c r="R375" s="164"/>
      <c r="S375" s="164"/>
      <c r="T375" s="164"/>
      <c r="U375" s="164"/>
      <c r="V375" s="164"/>
    </row>
    <row r="376" spans="1:25" ht="27" customHeight="1">
      <c r="A376" s="192" t="str">
        <f>IF(ISBLANK(C376)," ",371-COUNTBLANK($C$6:C376))</f>
        <v xml:space="preserve"> </v>
      </c>
      <c r="B376" s="178"/>
      <c r="C376" s="178"/>
      <c r="D376" s="193"/>
      <c r="E376" s="193"/>
      <c r="F376" s="180"/>
      <c r="G376" s="180"/>
      <c r="H376" s="180"/>
      <c r="I376" s="180"/>
      <c r="J376" s="180"/>
      <c r="K376" s="180"/>
      <c r="L376" s="180"/>
      <c r="M376" s="181"/>
      <c r="N376" s="163" t="str">
        <f t="shared" si="27"/>
        <v/>
      </c>
      <c r="O376" s="126" t="str">
        <f t="shared" si="28"/>
        <v>-</v>
      </c>
      <c r="P376" s="164"/>
      <c r="Q376" s="164"/>
      <c r="R376" s="164"/>
      <c r="S376" s="164"/>
      <c r="T376" s="164"/>
      <c r="U376" s="164"/>
      <c r="V376" s="164"/>
    </row>
    <row r="377" spans="1:25" ht="27" customHeight="1">
      <c r="A377" s="192" t="str">
        <f>IF(ISBLANK(C377)," ",372-COUNTBLANK($C$6:C377))</f>
        <v xml:space="preserve"> </v>
      </c>
      <c r="B377" s="178"/>
      <c r="C377" s="178"/>
      <c r="D377" s="193"/>
      <c r="E377" s="193"/>
      <c r="F377" s="180"/>
      <c r="G377" s="180"/>
      <c r="H377" s="180"/>
      <c r="I377" s="180"/>
      <c r="J377" s="180"/>
      <c r="K377" s="180"/>
      <c r="L377" s="180"/>
      <c r="M377" s="181"/>
      <c r="N377" s="163" t="str">
        <f t="shared" si="27"/>
        <v/>
      </c>
      <c r="O377" s="126" t="str">
        <f t="shared" si="28"/>
        <v>-</v>
      </c>
      <c r="P377" s="164"/>
      <c r="Q377" s="164"/>
      <c r="R377" s="164"/>
      <c r="S377" s="164"/>
      <c r="T377" s="164"/>
      <c r="U377" s="164"/>
      <c r="V377" s="164"/>
    </row>
    <row r="378" spans="1:25" ht="27" customHeight="1">
      <c r="A378" s="192" t="str">
        <f>IF(ISBLANK(C378)," ",373-COUNTBLANK($C$6:C378))</f>
        <v xml:space="preserve"> </v>
      </c>
      <c r="B378" s="178"/>
      <c r="C378" s="178"/>
      <c r="D378" s="193"/>
      <c r="E378" s="193"/>
      <c r="F378" s="180"/>
      <c r="G378" s="180"/>
      <c r="H378" s="180"/>
      <c r="I378" s="180"/>
      <c r="J378" s="180"/>
      <c r="K378" s="180"/>
      <c r="L378" s="180"/>
      <c r="M378" s="181"/>
      <c r="N378" s="163" t="str">
        <f t="shared" si="27"/>
        <v/>
      </c>
      <c r="O378" s="126" t="str">
        <f t="shared" si="28"/>
        <v>-</v>
      </c>
      <c r="P378" s="164"/>
      <c r="Q378" s="164"/>
      <c r="R378" s="164"/>
      <c r="S378" s="164"/>
      <c r="T378" s="164"/>
      <c r="U378" s="164"/>
      <c r="V378" s="165"/>
    </row>
    <row r="379" spans="1:25" ht="27" customHeight="1">
      <c r="A379" s="192" t="str">
        <f>IF(ISBLANK(C379)," ",374-COUNTBLANK($C$6:C379))</f>
        <v xml:space="preserve"> </v>
      </c>
      <c r="B379" s="178"/>
      <c r="C379" s="178"/>
      <c r="D379" s="193"/>
      <c r="E379" s="193"/>
      <c r="F379" s="180"/>
      <c r="G379" s="180"/>
      <c r="H379" s="180"/>
      <c r="I379" s="180"/>
      <c r="J379" s="180"/>
      <c r="K379" s="180"/>
      <c r="L379" s="180"/>
      <c r="M379" s="181"/>
      <c r="N379" s="163" t="str">
        <f t="shared" si="27"/>
        <v/>
      </c>
      <c r="O379" s="126" t="str">
        <f t="shared" si="28"/>
        <v>-</v>
      </c>
      <c r="P379" s="164"/>
      <c r="Q379" s="164"/>
      <c r="R379" s="164"/>
      <c r="S379" s="164"/>
      <c r="T379" s="164"/>
      <c r="U379" s="164"/>
      <c r="V379" s="165"/>
    </row>
    <row r="380" spans="1:25" ht="27" customHeight="1">
      <c r="A380" s="192" t="str">
        <f>IF(ISBLANK(C380)," ",375-COUNTBLANK($C$6:C380))</f>
        <v xml:space="preserve"> </v>
      </c>
      <c r="B380" s="178"/>
      <c r="C380" s="178"/>
      <c r="D380" s="193"/>
      <c r="E380" s="193"/>
      <c r="F380" s="180"/>
      <c r="G380" s="180"/>
      <c r="H380" s="180"/>
      <c r="I380" s="180"/>
      <c r="J380" s="180"/>
      <c r="K380" s="180"/>
      <c r="L380" s="180"/>
      <c r="M380" s="181"/>
      <c r="N380" s="163" t="str">
        <f t="shared" si="27"/>
        <v/>
      </c>
      <c r="O380" s="126" t="str">
        <f t="shared" si="28"/>
        <v>-</v>
      </c>
      <c r="P380" s="164"/>
      <c r="Q380" s="164"/>
      <c r="R380" s="164"/>
      <c r="S380" s="164"/>
      <c r="T380" s="164"/>
      <c r="U380" s="164"/>
      <c r="V380" s="165"/>
    </row>
    <row r="381" spans="1:25" ht="27" customHeight="1">
      <c r="A381" s="192" t="str">
        <f>IF(ISBLANK(C381)," ",376-COUNTBLANK($C$6:C381))</f>
        <v xml:space="preserve"> </v>
      </c>
      <c r="B381" s="178"/>
      <c r="C381" s="178"/>
      <c r="D381" s="193"/>
      <c r="E381" s="193"/>
      <c r="F381" s="180"/>
      <c r="G381" s="180"/>
      <c r="H381" s="180"/>
      <c r="I381" s="180"/>
      <c r="J381" s="180"/>
      <c r="K381" s="180"/>
      <c r="L381" s="180"/>
      <c r="M381" s="181"/>
      <c r="N381" s="163" t="str">
        <f t="shared" si="27"/>
        <v/>
      </c>
      <c r="O381" s="126" t="str">
        <f t="shared" si="28"/>
        <v>-</v>
      </c>
      <c r="P381" s="164"/>
      <c r="Q381" s="164"/>
      <c r="R381" s="164"/>
      <c r="S381" s="164"/>
      <c r="T381" s="164"/>
      <c r="U381" s="164"/>
      <c r="V381" s="165"/>
    </row>
    <row r="382" spans="1:25" ht="27" customHeight="1">
      <c r="A382" s="192" t="str">
        <f>IF(ISBLANK(C382)," ",377-COUNTBLANK($C$6:C382))</f>
        <v xml:space="preserve"> </v>
      </c>
      <c r="B382" s="178"/>
      <c r="C382" s="178"/>
      <c r="D382" s="193"/>
      <c r="E382" s="193"/>
      <c r="F382" s="180"/>
      <c r="G382" s="180"/>
      <c r="H382" s="180"/>
      <c r="I382" s="180"/>
      <c r="J382" s="180"/>
      <c r="K382" s="180"/>
      <c r="L382" s="180"/>
      <c r="M382" s="181"/>
      <c r="N382" s="163" t="str">
        <f t="shared" si="27"/>
        <v/>
      </c>
      <c r="O382" s="126" t="str">
        <f t="shared" si="28"/>
        <v>-</v>
      </c>
      <c r="P382" s="164"/>
      <c r="Q382" s="164"/>
      <c r="R382" s="164"/>
      <c r="S382" s="164"/>
      <c r="T382" s="164"/>
      <c r="U382" s="164"/>
      <c r="V382" s="166"/>
      <c r="W382" s="164"/>
      <c r="X382" s="164"/>
      <c r="Y382" s="164"/>
    </row>
    <row r="383" spans="1:25" ht="27" customHeight="1">
      <c r="A383" s="172" t="s">
        <v>44</v>
      </c>
      <c r="B383" s="173"/>
      <c r="C383" s="174"/>
      <c r="D383" s="194"/>
      <c r="E383" s="194">
        <f>SUM(E363:E382)</f>
        <v>0</v>
      </c>
      <c r="F383" s="176"/>
      <c r="G383" s="176"/>
      <c r="H383" s="176"/>
      <c r="I383" s="176"/>
      <c r="J383" s="176"/>
      <c r="K383" s="176"/>
      <c r="L383" s="176"/>
      <c r="M383" s="177"/>
      <c r="N383" s="163" t="str">
        <f t="shared" si="27"/>
        <v/>
      </c>
      <c r="O383" s="126"/>
      <c r="P383" s="164"/>
      <c r="Q383" s="164"/>
      <c r="R383" s="164"/>
      <c r="S383" s="164"/>
      <c r="T383" s="164"/>
      <c r="U383" s="164"/>
      <c r="V383" s="166"/>
      <c r="W383" s="164"/>
      <c r="X383" s="164"/>
      <c r="Y383" s="164"/>
    </row>
    <row r="384" spans="1:25" ht="27" customHeight="1">
      <c r="A384" s="187" t="str">
        <f>IF(ISBLANK(C384)," ",379-COUNTBLANK($C$6:C384))</f>
        <v xml:space="preserve"> </v>
      </c>
      <c r="B384" s="188"/>
      <c r="C384" s="188"/>
      <c r="D384" s="189"/>
      <c r="E384" s="189"/>
      <c r="F384" s="190"/>
      <c r="G384" s="190"/>
      <c r="H384" s="190"/>
      <c r="I384" s="190"/>
      <c r="J384" s="190"/>
      <c r="K384" s="190"/>
      <c r="L384" s="190"/>
      <c r="M384" s="191"/>
      <c r="N384" s="163" t="str">
        <f>CONCATENATE(C384,H384)</f>
        <v/>
      </c>
      <c r="O384" s="126" t="str">
        <f>IF(D384&gt;=E384,"-","ERR")</f>
        <v>-</v>
      </c>
      <c r="P384" s="164"/>
      <c r="Q384" s="164"/>
      <c r="R384" s="164"/>
      <c r="S384" s="164"/>
      <c r="T384" s="164"/>
      <c r="U384" s="164"/>
      <c r="V384" s="164"/>
    </row>
    <row r="385" spans="1:22" ht="27" customHeight="1">
      <c r="A385" s="192" t="str">
        <f>IF(ISBLANK(C385)," ",380-COUNTBLANK($C$6:C385))</f>
        <v xml:space="preserve"> </v>
      </c>
      <c r="B385" s="178"/>
      <c r="C385" s="178"/>
      <c r="D385" s="193"/>
      <c r="E385" s="193"/>
      <c r="F385" s="180"/>
      <c r="G385" s="180"/>
      <c r="H385" s="180"/>
      <c r="I385" s="180"/>
      <c r="J385" s="180"/>
      <c r="K385" s="180"/>
      <c r="L385" s="180"/>
      <c r="M385" s="181"/>
      <c r="N385" s="163" t="str">
        <f t="shared" ref="N385:N404" si="29">CONCATENATE(C385,H385)</f>
        <v/>
      </c>
      <c r="O385" s="126" t="str">
        <f t="shared" ref="O385:O403" si="30">IF(D385&gt;=E385,"-","ERR")</f>
        <v>-</v>
      </c>
      <c r="P385" s="164"/>
      <c r="Q385" s="164"/>
      <c r="R385" s="164"/>
      <c r="S385" s="164"/>
      <c r="T385" s="164"/>
      <c r="U385" s="164"/>
      <c r="V385" s="164"/>
    </row>
    <row r="386" spans="1:22" ht="27" customHeight="1">
      <c r="A386" s="192" t="str">
        <f>IF(ISBLANK(C386)," ",381-COUNTBLANK($C$6:C386))</f>
        <v xml:space="preserve"> </v>
      </c>
      <c r="B386" s="178"/>
      <c r="C386" s="178"/>
      <c r="D386" s="193"/>
      <c r="E386" s="193"/>
      <c r="F386" s="180"/>
      <c r="G386" s="180"/>
      <c r="H386" s="180"/>
      <c r="I386" s="180"/>
      <c r="J386" s="180"/>
      <c r="K386" s="180"/>
      <c r="L386" s="180"/>
      <c r="M386" s="181"/>
      <c r="N386" s="163" t="str">
        <f t="shared" si="29"/>
        <v/>
      </c>
      <c r="O386" s="126" t="str">
        <f t="shared" si="30"/>
        <v>-</v>
      </c>
      <c r="P386" s="164"/>
      <c r="Q386" s="164"/>
      <c r="R386" s="164"/>
      <c r="S386" s="164"/>
      <c r="T386" s="164"/>
      <c r="U386" s="164"/>
      <c r="V386" s="164"/>
    </row>
    <row r="387" spans="1:22" ht="27" customHeight="1">
      <c r="A387" s="192" t="str">
        <f>IF(ISBLANK(C387)," ",382-COUNTBLANK($C$6:C387))</f>
        <v xml:space="preserve"> </v>
      </c>
      <c r="B387" s="178"/>
      <c r="C387" s="178"/>
      <c r="D387" s="193"/>
      <c r="E387" s="193"/>
      <c r="F387" s="180"/>
      <c r="G387" s="180"/>
      <c r="H387" s="180"/>
      <c r="I387" s="180"/>
      <c r="J387" s="180"/>
      <c r="K387" s="180"/>
      <c r="L387" s="180"/>
      <c r="M387" s="181"/>
      <c r="N387" s="163" t="str">
        <f t="shared" si="29"/>
        <v/>
      </c>
      <c r="O387" s="126" t="str">
        <f t="shared" si="30"/>
        <v>-</v>
      </c>
      <c r="P387" s="164"/>
      <c r="Q387" s="164"/>
      <c r="R387" s="164"/>
      <c r="S387" s="164"/>
      <c r="T387" s="164"/>
      <c r="U387" s="164"/>
      <c r="V387" s="164"/>
    </row>
    <row r="388" spans="1:22" ht="27" customHeight="1">
      <c r="A388" s="192" t="str">
        <f>IF(ISBLANK(C388)," ",383-COUNTBLANK($C$6:C388))</f>
        <v xml:space="preserve"> </v>
      </c>
      <c r="B388" s="178"/>
      <c r="C388" s="178"/>
      <c r="D388" s="193"/>
      <c r="E388" s="193"/>
      <c r="F388" s="180"/>
      <c r="G388" s="180"/>
      <c r="H388" s="180"/>
      <c r="I388" s="180"/>
      <c r="J388" s="180"/>
      <c r="K388" s="180"/>
      <c r="L388" s="180"/>
      <c r="M388" s="181"/>
      <c r="N388" s="163" t="str">
        <f t="shared" si="29"/>
        <v/>
      </c>
      <c r="O388" s="126" t="str">
        <f t="shared" si="30"/>
        <v>-</v>
      </c>
      <c r="P388" s="164"/>
      <c r="Q388" s="164"/>
      <c r="R388" s="164"/>
      <c r="S388" s="164"/>
      <c r="T388" s="164"/>
      <c r="U388" s="164"/>
      <c r="V388" s="164"/>
    </row>
    <row r="389" spans="1:22" ht="27" customHeight="1">
      <c r="A389" s="192" t="str">
        <f>IF(ISBLANK(C389)," ",384-COUNTBLANK($C$6:C389))</f>
        <v xml:space="preserve"> </v>
      </c>
      <c r="B389" s="178"/>
      <c r="C389" s="178"/>
      <c r="D389" s="193"/>
      <c r="E389" s="193"/>
      <c r="F389" s="180"/>
      <c r="G389" s="180"/>
      <c r="H389" s="180"/>
      <c r="I389" s="180"/>
      <c r="J389" s="180"/>
      <c r="K389" s="180"/>
      <c r="L389" s="180"/>
      <c r="M389" s="181"/>
      <c r="N389" s="163" t="str">
        <f t="shared" si="29"/>
        <v/>
      </c>
      <c r="O389" s="126" t="str">
        <f t="shared" si="30"/>
        <v>-</v>
      </c>
      <c r="P389" s="164"/>
      <c r="Q389" s="164"/>
      <c r="R389" s="164"/>
      <c r="S389" s="164"/>
      <c r="T389" s="164"/>
      <c r="U389" s="164"/>
      <c r="V389" s="164"/>
    </row>
    <row r="390" spans="1:22" ht="27" customHeight="1">
      <c r="A390" s="192" t="str">
        <f>IF(ISBLANK(C390)," ",385-COUNTBLANK($C$6:C390))</f>
        <v xml:space="preserve"> </v>
      </c>
      <c r="B390" s="178"/>
      <c r="C390" s="178"/>
      <c r="D390" s="193"/>
      <c r="E390" s="193"/>
      <c r="F390" s="180"/>
      <c r="G390" s="180"/>
      <c r="H390" s="180"/>
      <c r="I390" s="180"/>
      <c r="J390" s="180"/>
      <c r="K390" s="180"/>
      <c r="L390" s="180"/>
      <c r="M390" s="181"/>
      <c r="N390" s="163" t="str">
        <f t="shared" si="29"/>
        <v/>
      </c>
      <c r="O390" s="126" t="str">
        <f t="shared" si="30"/>
        <v>-</v>
      </c>
      <c r="P390" s="164"/>
      <c r="Q390" s="164"/>
      <c r="R390" s="164"/>
      <c r="S390" s="164"/>
      <c r="T390" s="164"/>
      <c r="U390" s="164"/>
      <c r="V390" s="164"/>
    </row>
    <row r="391" spans="1:22" ht="27" customHeight="1">
      <c r="A391" s="192" t="str">
        <f>IF(ISBLANK(C391)," ",386-COUNTBLANK($C$6:C391))</f>
        <v xml:space="preserve"> </v>
      </c>
      <c r="B391" s="178"/>
      <c r="C391" s="178"/>
      <c r="D391" s="193"/>
      <c r="E391" s="193"/>
      <c r="F391" s="180"/>
      <c r="G391" s="180"/>
      <c r="H391" s="180"/>
      <c r="I391" s="180"/>
      <c r="J391" s="180"/>
      <c r="K391" s="180"/>
      <c r="L391" s="180"/>
      <c r="M391" s="181"/>
      <c r="N391" s="163" t="str">
        <f t="shared" si="29"/>
        <v/>
      </c>
      <c r="O391" s="126" t="str">
        <f t="shared" si="30"/>
        <v>-</v>
      </c>
      <c r="P391" s="164"/>
      <c r="Q391" s="164"/>
      <c r="R391" s="164"/>
      <c r="S391" s="164"/>
      <c r="T391" s="164"/>
      <c r="U391" s="164"/>
      <c r="V391" s="164"/>
    </row>
    <row r="392" spans="1:22" ht="27" customHeight="1">
      <c r="A392" s="192" t="str">
        <f>IF(ISBLANK(C392)," ",387-COUNTBLANK($C$6:C392))</f>
        <v xml:space="preserve"> </v>
      </c>
      <c r="B392" s="178"/>
      <c r="C392" s="178"/>
      <c r="D392" s="193"/>
      <c r="E392" s="193"/>
      <c r="F392" s="180"/>
      <c r="G392" s="180"/>
      <c r="H392" s="180"/>
      <c r="I392" s="180"/>
      <c r="J392" s="180"/>
      <c r="K392" s="180"/>
      <c r="L392" s="180"/>
      <c r="M392" s="181"/>
      <c r="N392" s="163" t="str">
        <f t="shared" si="29"/>
        <v/>
      </c>
      <c r="O392" s="126" t="str">
        <f t="shared" si="30"/>
        <v>-</v>
      </c>
      <c r="P392" s="164"/>
      <c r="Q392" s="164"/>
      <c r="R392" s="164"/>
      <c r="S392" s="164"/>
      <c r="T392" s="164"/>
      <c r="U392" s="164"/>
      <c r="V392" s="164"/>
    </row>
    <row r="393" spans="1:22" ht="27" customHeight="1">
      <c r="A393" s="192" t="str">
        <f>IF(ISBLANK(C393)," ",388-COUNTBLANK($C$6:C393))</f>
        <v xml:space="preserve"> </v>
      </c>
      <c r="B393" s="178"/>
      <c r="C393" s="178"/>
      <c r="D393" s="193"/>
      <c r="E393" s="193"/>
      <c r="F393" s="180"/>
      <c r="G393" s="180"/>
      <c r="H393" s="180"/>
      <c r="I393" s="180"/>
      <c r="J393" s="180"/>
      <c r="K393" s="180"/>
      <c r="L393" s="180"/>
      <c r="M393" s="181"/>
      <c r="N393" s="163" t="str">
        <f t="shared" si="29"/>
        <v/>
      </c>
      <c r="O393" s="126" t="str">
        <f t="shared" si="30"/>
        <v>-</v>
      </c>
      <c r="P393" s="164"/>
      <c r="Q393" s="164"/>
      <c r="R393" s="164"/>
      <c r="S393" s="164"/>
      <c r="T393" s="164"/>
      <c r="U393" s="164"/>
      <c r="V393" s="164"/>
    </row>
    <row r="394" spans="1:22" ht="27" customHeight="1">
      <c r="A394" s="192" t="str">
        <f>IF(ISBLANK(C394)," ",389-COUNTBLANK($C$6:C394))</f>
        <v xml:space="preserve"> </v>
      </c>
      <c r="B394" s="178"/>
      <c r="C394" s="178"/>
      <c r="D394" s="193"/>
      <c r="E394" s="193"/>
      <c r="F394" s="180"/>
      <c r="G394" s="180"/>
      <c r="H394" s="180"/>
      <c r="I394" s="180"/>
      <c r="J394" s="180"/>
      <c r="K394" s="180"/>
      <c r="L394" s="180"/>
      <c r="M394" s="181"/>
      <c r="N394" s="163" t="str">
        <f t="shared" si="29"/>
        <v/>
      </c>
      <c r="O394" s="126" t="str">
        <f t="shared" si="30"/>
        <v>-</v>
      </c>
      <c r="P394" s="164"/>
      <c r="Q394" s="164"/>
      <c r="R394" s="164"/>
      <c r="S394" s="164"/>
      <c r="T394" s="164"/>
      <c r="U394" s="164"/>
      <c r="V394" s="164"/>
    </row>
    <row r="395" spans="1:22" ht="27" customHeight="1">
      <c r="A395" s="192" t="str">
        <f>IF(ISBLANK(C395)," ",390-COUNTBLANK($C$6:C395))</f>
        <v xml:space="preserve"> </v>
      </c>
      <c r="B395" s="178"/>
      <c r="C395" s="178"/>
      <c r="D395" s="193"/>
      <c r="E395" s="193"/>
      <c r="F395" s="180"/>
      <c r="G395" s="180"/>
      <c r="H395" s="180"/>
      <c r="I395" s="180"/>
      <c r="J395" s="180"/>
      <c r="K395" s="180"/>
      <c r="L395" s="180"/>
      <c r="M395" s="181"/>
      <c r="N395" s="163" t="str">
        <f t="shared" si="29"/>
        <v/>
      </c>
      <c r="O395" s="126" t="str">
        <f t="shared" si="30"/>
        <v>-</v>
      </c>
      <c r="P395" s="164"/>
      <c r="Q395" s="164"/>
      <c r="R395" s="164"/>
      <c r="S395" s="164"/>
      <c r="T395" s="164"/>
      <c r="U395" s="164"/>
      <c r="V395" s="164"/>
    </row>
    <row r="396" spans="1:22" ht="27" customHeight="1">
      <c r="A396" s="192" t="str">
        <f>IF(ISBLANK(C396)," ",391-COUNTBLANK($C$6:C396))</f>
        <v xml:space="preserve"> </v>
      </c>
      <c r="B396" s="178"/>
      <c r="C396" s="178"/>
      <c r="D396" s="193"/>
      <c r="E396" s="193"/>
      <c r="F396" s="180"/>
      <c r="G396" s="180"/>
      <c r="H396" s="180"/>
      <c r="I396" s="180"/>
      <c r="J396" s="180"/>
      <c r="K396" s="180"/>
      <c r="L396" s="180"/>
      <c r="M396" s="181"/>
      <c r="N396" s="163" t="str">
        <f t="shared" si="29"/>
        <v/>
      </c>
      <c r="O396" s="126" t="str">
        <f t="shared" si="30"/>
        <v>-</v>
      </c>
      <c r="P396" s="164"/>
      <c r="Q396" s="164"/>
      <c r="R396" s="164"/>
      <c r="S396" s="164"/>
      <c r="T396" s="164"/>
      <c r="U396" s="164"/>
      <c r="V396" s="164"/>
    </row>
    <row r="397" spans="1:22" ht="27" customHeight="1">
      <c r="A397" s="192" t="str">
        <f>IF(ISBLANK(C397)," ",392-COUNTBLANK($C$6:C397))</f>
        <v xml:space="preserve"> </v>
      </c>
      <c r="B397" s="178"/>
      <c r="C397" s="178"/>
      <c r="D397" s="193"/>
      <c r="E397" s="193"/>
      <c r="F397" s="180"/>
      <c r="G397" s="180"/>
      <c r="H397" s="180"/>
      <c r="I397" s="180"/>
      <c r="J397" s="180"/>
      <c r="K397" s="180"/>
      <c r="L397" s="180"/>
      <c r="M397" s="181"/>
      <c r="N397" s="163" t="str">
        <f t="shared" si="29"/>
        <v/>
      </c>
      <c r="O397" s="126" t="str">
        <f t="shared" si="30"/>
        <v>-</v>
      </c>
      <c r="P397" s="164"/>
      <c r="Q397" s="164"/>
      <c r="R397" s="164"/>
      <c r="S397" s="164"/>
      <c r="T397" s="164"/>
      <c r="U397" s="164"/>
      <c r="V397" s="164"/>
    </row>
    <row r="398" spans="1:22" ht="27" customHeight="1">
      <c r="A398" s="192" t="str">
        <f>IF(ISBLANK(C398)," ",393-COUNTBLANK($C$6:C398))</f>
        <v xml:space="preserve"> </v>
      </c>
      <c r="B398" s="178"/>
      <c r="C398" s="178"/>
      <c r="D398" s="193"/>
      <c r="E398" s="193"/>
      <c r="F398" s="180"/>
      <c r="G398" s="180"/>
      <c r="H398" s="180"/>
      <c r="I398" s="180"/>
      <c r="J398" s="180"/>
      <c r="K398" s="180"/>
      <c r="L398" s="180"/>
      <c r="M398" s="181"/>
      <c r="N398" s="163" t="str">
        <f t="shared" si="29"/>
        <v/>
      </c>
      <c r="O398" s="126" t="str">
        <f t="shared" si="30"/>
        <v>-</v>
      </c>
      <c r="P398" s="164"/>
      <c r="Q398" s="164"/>
      <c r="R398" s="164"/>
      <c r="S398" s="164"/>
      <c r="T398" s="164"/>
      <c r="U398" s="164"/>
      <c r="V398" s="164"/>
    </row>
    <row r="399" spans="1:22" ht="27" customHeight="1">
      <c r="A399" s="192" t="str">
        <f>IF(ISBLANK(C399)," ",394-COUNTBLANK($C$6:C399))</f>
        <v xml:space="preserve"> </v>
      </c>
      <c r="B399" s="178"/>
      <c r="C399" s="178"/>
      <c r="D399" s="193"/>
      <c r="E399" s="193"/>
      <c r="F399" s="180"/>
      <c r="G399" s="180"/>
      <c r="H399" s="180"/>
      <c r="I399" s="180"/>
      <c r="J399" s="180"/>
      <c r="K399" s="180"/>
      <c r="L399" s="180"/>
      <c r="M399" s="181"/>
      <c r="N399" s="163" t="str">
        <f t="shared" si="29"/>
        <v/>
      </c>
      <c r="O399" s="126" t="str">
        <f t="shared" si="30"/>
        <v>-</v>
      </c>
      <c r="P399" s="164"/>
      <c r="Q399" s="164"/>
      <c r="R399" s="164"/>
      <c r="S399" s="164"/>
      <c r="T399" s="164"/>
      <c r="U399" s="164"/>
      <c r="V399" s="165"/>
    </row>
    <row r="400" spans="1:22" ht="27" customHeight="1">
      <c r="A400" s="192" t="str">
        <f>IF(ISBLANK(C400)," ",395-COUNTBLANK($C$6:C400))</f>
        <v xml:space="preserve"> </v>
      </c>
      <c r="B400" s="178"/>
      <c r="C400" s="178"/>
      <c r="D400" s="193"/>
      <c r="E400" s="193"/>
      <c r="F400" s="180"/>
      <c r="G400" s="180"/>
      <c r="H400" s="180"/>
      <c r="I400" s="180"/>
      <c r="J400" s="180"/>
      <c r="K400" s="180"/>
      <c r="L400" s="180"/>
      <c r="M400" s="181"/>
      <c r="N400" s="163" t="str">
        <f t="shared" si="29"/>
        <v/>
      </c>
      <c r="O400" s="126" t="str">
        <f t="shared" si="30"/>
        <v>-</v>
      </c>
      <c r="P400" s="164"/>
      <c r="Q400" s="164"/>
      <c r="R400" s="164"/>
      <c r="S400" s="164"/>
      <c r="T400" s="164"/>
      <c r="U400" s="164"/>
      <c r="V400" s="165"/>
    </row>
    <row r="401" spans="1:25" ht="27" customHeight="1">
      <c r="A401" s="192" t="str">
        <f>IF(ISBLANK(C401)," ",396-COUNTBLANK($C$6:C401))</f>
        <v xml:space="preserve"> </v>
      </c>
      <c r="B401" s="178"/>
      <c r="C401" s="178"/>
      <c r="D401" s="193"/>
      <c r="E401" s="193"/>
      <c r="F401" s="180"/>
      <c r="G401" s="180"/>
      <c r="H401" s="180"/>
      <c r="I401" s="180"/>
      <c r="J401" s="180"/>
      <c r="K401" s="180"/>
      <c r="L401" s="180"/>
      <c r="M401" s="181"/>
      <c r="N401" s="163" t="str">
        <f t="shared" si="29"/>
        <v/>
      </c>
      <c r="O401" s="126" t="str">
        <f t="shared" si="30"/>
        <v>-</v>
      </c>
      <c r="P401" s="164"/>
      <c r="Q401" s="164"/>
      <c r="R401" s="164"/>
      <c r="S401" s="164"/>
      <c r="T401" s="164"/>
      <c r="U401" s="164"/>
      <c r="V401" s="165"/>
    </row>
    <row r="402" spans="1:25" ht="27" customHeight="1">
      <c r="A402" s="192" t="str">
        <f>IF(ISBLANK(C402)," ",397-COUNTBLANK($C$6:C402))</f>
        <v xml:space="preserve"> </v>
      </c>
      <c r="B402" s="178"/>
      <c r="C402" s="178"/>
      <c r="D402" s="193"/>
      <c r="E402" s="193"/>
      <c r="F402" s="180"/>
      <c r="G402" s="180"/>
      <c r="H402" s="180"/>
      <c r="I402" s="180"/>
      <c r="J402" s="180"/>
      <c r="K402" s="180"/>
      <c r="L402" s="180"/>
      <c r="M402" s="181"/>
      <c r="N402" s="163" t="str">
        <f t="shared" si="29"/>
        <v/>
      </c>
      <c r="O402" s="126" t="str">
        <f t="shared" si="30"/>
        <v>-</v>
      </c>
      <c r="P402" s="164"/>
      <c r="Q402" s="164"/>
      <c r="R402" s="164"/>
      <c r="S402" s="164"/>
      <c r="T402" s="164"/>
      <c r="U402" s="164"/>
      <c r="V402" s="165"/>
    </row>
    <row r="403" spans="1:25" ht="27" customHeight="1">
      <c r="A403" s="192" t="str">
        <f>IF(ISBLANK(C403)," ",398-COUNTBLANK($C$6:C403))</f>
        <v xml:space="preserve"> </v>
      </c>
      <c r="B403" s="178"/>
      <c r="C403" s="178"/>
      <c r="D403" s="193"/>
      <c r="E403" s="193"/>
      <c r="F403" s="180"/>
      <c r="G403" s="180"/>
      <c r="H403" s="180"/>
      <c r="I403" s="180"/>
      <c r="J403" s="180"/>
      <c r="K403" s="180"/>
      <c r="L403" s="180"/>
      <c r="M403" s="181"/>
      <c r="N403" s="163" t="str">
        <f t="shared" si="29"/>
        <v/>
      </c>
      <c r="O403" s="126" t="str">
        <f t="shared" si="30"/>
        <v>-</v>
      </c>
      <c r="P403" s="164"/>
      <c r="Q403" s="164"/>
      <c r="R403" s="164"/>
      <c r="S403" s="164"/>
      <c r="T403" s="164"/>
      <c r="U403" s="164"/>
      <c r="V403" s="166"/>
      <c r="W403" s="164"/>
      <c r="X403" s="164"/>
      <c r="Y403" s="164"/>
    </row>
    <row r="404" spans="1:25" ht="27" customHeight="1">
      <c r="A404" s="172" t="s">
        <v>44</v>
      </c>
      <c r="B404" s="173"/>
      <c r="C404" s="174"/>
      <c r="D404" s="194"/>
      <c r="E404" s="194">
        <f>SUM(E384:E403)</f>
        <v>0</v>
      </c>
      <c r="F404" s="176"/>
      <c r="G404" s="176"/>
      <c r="H404" s="176"/>
      <c r="I404" s="176"/>
      <c r="J404" s="176"/>
      <c r="K404" s="176"/>
      <c r="L404" s="176"/>
      <c r="M404" s="177"/>
      <c r="N404" s="163" t="str">
        <f t="shared" si="29"/>
        <v/>
      </c>
      <c r="O404" s="126"/>
      <c r="P404" s="164"/>
      <c r="Q404" s="164"/>
      <c r="R404" s="164"/>
      <c r="S404" s="164"/>
      <c r="T404" s="164"/>
      <c r="U404" s="164"/>
      <c r="V404" s="166"/>
      <c r="W404" s="164"/>
      <c r="X404" s="164"/>
      <c r="Y404" s="164"/>
    </row>
    <row r="405" spans="1:25" ht="27" customHeight="1">
      <c r="A405" s="187" t="str">
        <f>IF(ISBLANK(C405)," ",400-COUNTBLANK($C$6:C405))</f>
        <v xml:space="preserve"> </v>
      </c>
      <c r="B405" s="188"/>
      <c r="C405" s="188"/>
      <c r="D405" s="189"/>
      <c r="E405" s="189"/>
      <c r="F405" s="190"/>
      <c r="G405" s="190"/>
      <c r="H405" s="190"/>
      <c r="I405" s="190"/>
      <c r="J405" s="190"/>
      <c r="K405" s="190"/>
      <c r="L405" s="190"/>
      <c r="M405" s="191"/>
      <c r="N405" s="163" t="str">
        <f>CONCATENATE(C405,H405)</f>
        <v/>
      </c>
      <c r="O405" s="126" t="str">
        <f>IF(D405&gt;=E405,"-","ERR")</f>
        <v>-</v>
      </c>
      <c r="P405" s="164"/>
      <c r="Q405" s="164"/>
      <c r="R405" s="164"/>
      <c r="S405" s="164"/>
      <c r="T405" s="164"/>
      <c r="U405" s="164"/>
      <c r="V405" s="164"/>
    </row>
    <row r="406" spans="1:25" ht="27" customHeight="1">
      <c r="A406" s="192" t="str">
        <f>IF(ISBLANK(C406)," ",401-COUNTBLANK($C$6:C406))</f>
        <v xml:space="preserve"> </v>
      </c>
      <c r="B406" s="178"/>
      <c r="C406" s="178"/>
      <c r="D406" s="193"/>
      <c r="E406" s="193"/>
      <c r="F406" s="180"/>
      <c r="G406" s="180"/>
      <c r="H406" s="180"/>
      <c r="I406" s="180"/>
      <c r="J406" s="180"/>
      <c r="K406" s="180"/>
      <c r="L406" s="180"/>
      <c r="M406" s="181"/>
      <c r="N406" s="163" t="str">
        <f t="shared" ref="N406:N425" si="31">CONCATENATE(C406,H406)</f>
        <v/>
      </c>
      <c r="O406" s="126" t="str">
        <f t="shared" ref="O406:O424" si="32">IF(D406&gt;=E406,"-","ERR")</f>
        <v>-</v>
      </c>
      <c r="P406" s="164"/>
      <c r="Q406" s="164"/>
      <c r="R406" s="164"/>
      <c r="S406" s="164"/>
      <c r="T406" s="164"/>
      <c r="U406" s="164"/>
      <c r="V406" s="164"/>
    </row>
    <row r="407" spans="1:25" ht="27" customHeight="1">
      <c r="A407" s="192" t="str">
        <f>IF(ISBLANK(C407)," ",402-COUNTBLANK($C$6:C407))</f>
        <v xml:space="preserve"> </v>
      </c>
      <c r="B407" s="178"/>
      <c r="C407" s="178"/>
      <c r="D407" s="193"/>
      <c r="E407" s="193"/>
      <c r="F407" s="180"/>
      <c r="G407" s="180"/>
      <c r="H407" s="180"/>
      <c r="I407" s="180"/>
      <c r="J407" s="180"/>
      <c r="K407" s="180"/>
      <c r="L407" s="180"/>
      <c r="M407" s="181"/>
      <c r="N407" s="163" t="str">
        <f t="shared" si="31"/>
        <v/>
      </c>
      <c r="O407" s="126" t="str">
        <f t="shared" si="32"/>
        <v>-</v>
      </c>
      <c r="P407" s="164"/>
      <c r="Q407" s="164"/>
      <c r="R407" s="164"/>
      <c r="S407" s="164"/>
      <c r="T407" s="164"/>
      <c r="U407" s="164"/>
      <c r="V407" s="164"/>
    </row>
    <row r="408" spans="1:25" ht="27" customHeight="1">
      <c r="A408" s="192" t="str">
        <f>IF(ISBLANK(C408)," ",403-COUNTBLANK($C$6:C408))</f>
        <v xml:space="preserve"> </v>
      </c>
      <c r="B408" s="178"/>
      <c r="C408" s="178"/>
      <c r="D408" s="193"/>
      <c r="E408" s="193"/>
      <c r="F408" s="180"/>
      <c r="G408" s="180"/>
      <c r="H408" s="180"/>
      <c r="I408" s="180"/>
      <c r="J408" s="180"/>
      <c r="K408" s="180"/>
      <c r="L408" s="180"/>
      <c r="M408" s="181"/>
      <c r="N408" s="163" t="str">
        <f t="shared" si="31"/>
        <v/>
      </c>
      <c r="O408" s="126" t="str">
        <f t="shared" si="32"/>
        <v>-</v>
      </c>
      <c r="P408" s="164"/>
      <c r="Q408" s="164"/>
      <c r="R408" s="164"/>
      <c r="S408" s="164"/>
      <c r="T408" s="164"/>
      <c r="U408" s="164"/>
      <c r="V408" s="164"/>
    </row>
    <row r="409" spans="1:25" ht="27" customHeight="1">
      <c r="A409" s="192" t="str">
        <f>IF(ISBLANK(C409)," ",404-COUNTBLANK($C$6:C409))</f>
        <v xml:space="preserve"> </v>
      </c>
      <c r="B409" s="178"/>
      <c r="C409" s="178"/>
      <c r="D409" s="193"/>
      <c r="E409" s="193"/>
      <c r="F409" s="180"/>
      <c r="G409" s="180"/>
      <c r="H409" s="180"/>
      <c r="I409" s="180"/>
      <c r="J409" s="180"/>
      <c r="K409" s="180"/>
      <c r="L409" s="180"/>
      <c r="M409" s="181"/>
      <c r="N409" s="163" t="str">
        <f t="shared" si="31"/>
        <v/>
      </c>
      <c r="O409" s="126" t="str">
        <f t="shared" si="32"/>
        <v>-</v>
      </c>
      <c r="P409" s="164"/>
      <c r="Q409" s="164"/>
      <c r="R409" s="164"/>
      <c r="S409" s="164"/>
      <c r="T409" s="164"/>
      <c r="U409" s="164"/>
      <c r="V409" s="164"/>
    </row>
    <row r="410" spans="1:25" ht="27" customHeight="1">
      <c r="A410" s="192" t="str">
        <f>IF(ISBLANK(C410)," ",405-COUNTBLANK($C$6:C410))</f>
        <v xml:space="preserve"> </v>
      </c>
      <c r="B410" s="178"/>
      <c r="C410" s="178"/>
      <c r="D410" s="193"/>
      <c r="E410" s="193"/>
      <c r="F410" s="180"/>
      <c r="G410" s="180"/>
      <c r="H410" s="180"/>
      <c r="I410" s="180"/>
      <c r="J410" s="180"/>
      <c r="K410" s="180"/>
      <c r="L410" s="180"/>
      <c r="M410" s="181"/>
      <c r="N410" s="163" t="str">
        <f t="shared" si="31"/>
        <v/>
      </c>
      <c r="O410" s="126" t="str">
        <f t="shared" si="32"/>
        <v>-</v>
      </c>
      <c r="P410" s="164"/>
      <c r="Q410" s="164"/>
      <c r="R410" s="164"/>
      <c r="S410" s="164"/>
      <c r="T410" s="164"/>
      <c r="U410" s="164"/>
      <c r="V410" s="164"/>
    </row>
    <row r="411" spans="1:25" ht="27" customHeight="1">
      <c r="A411" s="192" t="str">
        <f>IF(ISBLANK(C411)," ",406-COUNTBLANK($C$6:C411))</f>
        <v xml:space="preserve"> </v>
      </c>
      <c r="B411" s="178"/>
      <c r="C411" s="178"/>
      <c r="D411" s="193"/>
      <c r="E411" s="193"/>
      <c r="F411" s="180"/>
      <c r="G411" s="180"/>
      <c r="H411" s="180"/>
      <c r="I411" s="180"/>
      <c r="J411" s="180"/>
      <c r="K411" s="180"/>
      <c r="L411" s="180"/>
      <c r="M411" s="181"/>
      <c r="N411" s="163" t="str">
        <f t="shared" si="31"/>
        <v/>
      </c>
      <c r="O411" s="126" t="str">
        <f t="shared" si="32"/>
        <v>-</v>
      </c>
      <c r="P411" s="164"/>
      <c r="Q411" s="164"/>
      <c r="R411" s="164"/>
      <c r="S411" s="164"/>
      <c r="T411" s="164"/>
      <c r="U411" s="164"/>
      <c r="V411" s="164"/>
    </row>
    <row r="412" spans="1:25" ht="27" customHeight="1">
      <c r="A412" s="192" t="str">
        <f>IF(ISBLANK(C412)," ",407-COUNTBLANK($C$6:C412))</f>
        <v xml:space="preserve"> </v>
      </c>
      <c r="B412" s="178"/>
      <c r="C412" s="178"/>
      <c r="D412" s="193"/>
      <c r="E412" s="193"/>
      <c r="F412" s="180"/>
      <c r="G412" s="180"/>
      <c r="H412" s="180"/>
      <c r="I412" s="180"/>
      <c r="J412" s="180"/>
      <c r="K412" s="180"/>
      <c r="L412" s="180"/>
      <c r="M412" s="181"/>
      <c r="N412" s="163" t="str">
        <f t="shared" si="31"/>
        <v/>
      </c>
      <c r="O412" s="126" t="str">
        <f t="shared" si="32"/>
        <v>-</v>
      </c>
      <c r="P412" s="164"/>
      <c r="Q412" s="164"/>
      <c r="R412" s="164"/>
      <c r="S412" s="164"/>
      <c r="T412" s="164"/>
      <c r="U412" s="164"/>
      <c r="V412" s="164"/>
    </row>
    <row r="413" spans="1:25" ht="27" customHeight="1">
      <c r="A413" s="192" t="str">
        <f>IF(ISBLANK(C413)," ",408-COUNTBLANK($C$6:C413))</f>
        <v xml:space="preserve"> </v>
      </c>
      <c r="B413" s="178"/>
      <c r="C413" s="178"/>
      <c r="D413" s="193"/>
      <c r="E413" s="193"/>
      <c r="F413" s="180"/>
      <c r="G413" s="180"/>
      <c r="H413" s="180"/>
      <c r="I413" s="180"/>
      <c r="J413" s="180"/>
      <c r="K413" s="180"/>
      <c r="L413" s="180"/>
      <c r="M413" s="181"/>
      <c r="N413" s="163" t="str">
        <f t="shared" si="31"/>
        <v/>
      </c>
      <c r="O413" s="126" t="str">
        <f t="shared" si="32"/>
        <v>-</v>
      </c>
      <c r="P413" s="164"/>
      <c r="Q413" s="164"/>
      <c r="R413" s="164"/>
      <c r="S413" s="164"/>
      <c r="T413" s="164"/>
      <c r="U413" s="164"/>
      <c r="V413" s="164"/>
    </row>
    <row r="414" spans="1:25" ht="27" customHeight="1">
      <c r="A414" s="192" t="str">
        <f>IF(ISBLANK(C414)," ",409-COUNTBLANK($C$6:C414))</f>
        <v xml:space="preserve"> </v>
      </c>
      <c r="B414" s="178"/>
      <c r="C414" s="178"/>
      <c r="D414" s="193"/>
      <c r="E414" s="193"/>
      <c r="F414" s="180"/>
      <c r="G414" s="180"/>
      <c r="H414" s="180"/>
      <c r="I414" s="180"/>
      <c r="J414" s="180"/>
      <c r="K414" s="180"/>
      <c r="L414" s="180"/>
      <c r="M414" s="181"/>
      <c r="N414" s="163" t="str">
        <f t="shared" si="31"/>
        <v/>
      </c>
      <c r="O414" s="126" t="str">
        <f t="shared" si="32"/>
        <v>-</v>
      </c>
      <c r="P414" s="164"/>
      <c r="Q414" s="164"/>
      <c r="R414" s="164"/>
      <c r="S414" s="164"/>
      <c r="T414" s="164"/>
      <c r="U414" s="164"/>
      <c r="V414" s="164"/>
    </row>
    <row r="415" spans="1:25" ht="27" customHeight="1">
      <c r="A415" s="192" t="str">
        <f>IF(ISBLANK(C415)," ",410-COUNTBLANK($C$6:C415))</f>
        <v xml:space="preserve"> </v>
      </c>
      <c r="B415" s="178"/>
      <c r="C415" s="178"/>
      <c r="D415" s="193"/>
      <c r="E415" s="193"/>
      <c r="F415" s="180"/>
      <c r="G415" s="180"/>
      <c r="H415" s="180"/>
      <c r="I415" s="180"/>
      <c r="J415" s="180"/>
      <c r="K415" s="180"/>
      <c r="L415" s="180"/>
      <c r="M415" s="181"/>
      <c r="N415" s="163" t="str">
        <f t="shared" si="31"/>
        <v/>
      </c>
      <c r="O415" s="126" t="str">
        <f t="shared" si="32"/>
        <v>-</v>
      </c>
      <c r="P415" s="164"/>
      <c r="Q415" s="164"/>
      <c r="R415" s="164"/>
      <c r="S415" s="164"/>
      <c r="T415" s="164"/>
      <c r="U415" s="164"/>
      <c r="V415" s="164"/>
    </row>
    <row r="416" spans="1:25" ht="27" customHeight="1">
      <c r="A416" s="192" t="str">
        <f>IF(ISBLANK(C416)," ",411-COUNTBLANK($C$6:C416))</f>
        <v xml:space="preserve"> </v>
      </c>
      <c r="B416" s="178"/>
      <c r="C416" s="178"/>
      <c r="D416" s="193"/>
      <c r="E416" s="193"/>
      <c r="F416" s="180"/>
      <c r="G416" s="180"/>
      <c r="H416" s="180"/>
      <c r="I416" s="180"/>
      <c r="J416" s="180"/>
      <c r="K416" s="180"/>
      <c r="L416" s="180"/>
      <c r="M416" s="181"/>
      <c r="N416" s="163" t="str">
        <f t="shared" si="31"/>
        <v/>
      </c>
      <c r="O416" s="126" t="str">
        <f t="shared" si="32"/>
        <v>-</v>
      </c>
      <c r="P416" s="164"/>
      <c r="Q416" s="164"/>
      <c r="R416" s="164"/>
      <c r="S416" s="164"/>
      <c r="T416" s="164"/>
      <c r="U416" s="164"/>
      <c r="V416" s="164"/>
    </row>
    <row r="417" spans="1:25" ht="27" customHeight="1">
      <c r="A417" s="192" t="str">
        <f>IF(ISBLANK(C417)," ",412-COUNTBLANK($C$6:C417))</f>
        <v xml:space="preserve"> </v>
      </c>
      <c r="B417" s="178"/>
      <c r="C417" s="178"/>
      <c r="D417" s="193"/>
      <c r="E417" s="193"/>
      <c r="F417" s="180"/>
      <c r="G417" s="180"/>
      <c r="H417" s="180"/>
      <c r="I417" s="180"/>
      <c r="J417" s="180"/>
      <c r="K417" s="180"/>
      <c r="L417" s="180"/>
      <c r="M417" s="181"/>
      <c r="N417" s="163" t="str">
        <f t="shared" si="31"/>
        <v/>
      </c>
      <c r="O417" s="126" t="str">
        <f t="shared" si="32"/>
        <v>-</v>
      </c>
      <c r="P417" s="164"/>
      <c r="Q417" s="164"/>
      <c r="R417" s="164"/>
      <c r="S417" s="164"/>
      <c r="T417" s="164"/>
      <c r="U417" s="164"/>
      <c r="V417" s="164"/>
    </row>
    <row r="418" spans="1:25" ht="27" customHeight="1">
      <c r="A418" s="192" t="str">
        <f>IF(ISBLANK(C418)," ",413-COUNTBLANK($C$6:C418))</f>
        <v xml:space="preserve"> </v>
      </c>
      <c r="B418" s="178"/>
      <c r="C418" s="178"/>
      <c r="D418" s="193"/>
      <c r="E418" s="193"/>
      <c r="F418" s="180"/>
      <c r="G418" s="180"/>
      <c r="H418" s="180"/>
      <c r="I418" s="180"/>
      <c r="J418" s="180"/>
      <c r="K418" s="180"/>
      <c r="L418" s="180"/>
      <c r="M418" s="181"/>
      <c r="N418" s="163" t="str">
        <f t="shared" si="31"/>
        <v/>
      </c>
      <c r="O418" s="126" t="str">
        <f t="shared" si="32"/>
        <v>-</v>
      </c>
      <c r="P418" s="164"/>
      <c r="Q418" s="164"/>
      <c r="R418" s="164"/>
      <c r="S418" s="164"/>
      <c r="T418" s="164"/>
      <c r="U418" s="164"/>
      <c r="V418" s="164"/>
    </row>
    <row r="419" spans="1:25" ht="27" customHeight="1">
      <c r="A419" s="192" t="str">
        <f>IF(ISBLANK(C419)," ",414-COUNTBLANK($C$6:C419))</f>
        <v xml:space="preserve"> </v>
      </c>
      <c r="B419" s="178"/>
      <c r="C419" s="178"/>
      <c r="D419" s="193"/>
      <c r="E419" s="193"/>
      <c r="F419" s="180"/>
      <c r="G419" s="180"/>
      <c r="H419" s="180"/>
      <c r="I419" s="180"/>
      <c r="J419" s="180"/>
      <c r="K419" s="180"/>
      <c r="L419" s="180"/>
      <c r="M419" s="181"/>
      <c r="N419" s="163" t="str">
        <f t="shared" si="31"/>
        <v/>
      </c>
      <c r="O419" s="126" t="str">
        <f t="shared" si="32"/>
        <v>-</v>
      </c>
      <c r="P419" s="164"/>
      <c r="Q419" s="164"/>
      <c r="R419" s="164"/>
      <c r="S419" s="164"/>
      <c r="T419" s="164"/>
      <c r="U419" s="164"/>
      <c r="V419" s="164"/>
    </row>
    <row r="420" spans="1:25" ht="27" customHeight="1">
      <c r="A420" s="192" t="str">
        <f>IF(ISBLANK(C420)," ",415-COUNTBLANK($C$6:C420))</f>
        <v xml:space="preserve"> </v>
      </c>
      <c r="B420" s="178"/>
      <c r="C420" s="178"/>
      <c r="D420" s="193"/>
      <c r="E420" s="193"/>
      <c r="F420" s="180"/>
      <c r="G420" s="180"/>
      <c r="H420" s="180"/>
      <c r="I420" s="180"/>
      <c r="J420" s="180"/>
      <c r="K420" s="180"/>
      <c r="L420" s="180"/>
      <c r="M420" s="181"/>
      <c r="N420" s="163" t="str">
        <f t="shared" si="31"/>
        <v/>
      </c>
      <c r="O420" s="126" t="str">
        <f t="shared" si="32"/>
        <v>-</v>
      </c>
      <c r="P420" s="164"/>
      <c r="Q420" s="164"/>
      <c r="R420" s="164"/>
      <c r="S420" s="164"/>
      <c r="T420" s="164"/>
      <c r="U420" s="164"/>
      <c r="V420" s="165"/>
    </row>
    <row r="421" spans="1:25" ht="27" customHeight="1">
      <c r="A421" s="192" t="str">
        <f>IF(ISBLANK(C421)," ",416-COUNTBLANK($C$6:C421))</f>
        <v xml:space="preserve"> </v>
      </c>
      <c r="B421" s="178"/>
      <c r="C421" s="178"/>
      <c r="D421" s="193"/>
      <c r="E421" s="193"/>
      <c r="F421" s="180"/>
      <c r="G421" s="180"/>
      <c r="H421" s="180"/>
      <c r="I421" s="180"/>
      <c r="J421" s="180"/>
      <c r="K421" s="180"/>
      <c r="L421" s="180"/>
      <c r="M421" s="181"/>
      <c r="N421" s="163" t="str">
        <f t="shared" si="31"/>
        <v/>
      </c>
      <c r="O421" s="126" t="str">
        <f t="shared" si="32"/>
        <v>-</v>
      </c>
      <c r="P421" s="164"/>
      <c r="Q421" s="164"/>
      <c r="R421" s="164"/>
      <c r="S421" s="164"/>
      <c r="T421" s="164"/>
      <c r="U421" s="164"/>
      <c r="V421" s="165"/>
    </row>
    <row r="422" spans="1:25" ht="27" customHeight="1">
      <c r="A422" s="192" t="str">
        <f>IF(ISBLANK(C422)," ",417-COUNTBLANK($C$6:C422))</f>
        <v xml:space="preserve"> </v>
      </c>
      <c r="B422" s="178"/>
      <c r="C422" s="178"/>
      <c r="D422" s="193"/>
      <c r="E422" s="193"/>
      <c r="F422" s="180"/>
      <c r="G422" s="180"/>
      <c r="H422" s="180"/>
      <c r="I422" s="180"/>
      <c r="J422" s="180"/>
      <c r="K422" s="180"/>
      <c r="L422" s="180"/>
      <c r="M422" s="181"/>
      <c r="N422" s="163" t="str">
        <f t="shared" si="31"/>
        <v/>
      </c>
      <c r="O422" s="126" t="str">
        <f t="shared" si="32"/>
        <v>-</v>
      </c>
      <c r="P422" s="164"/>
      <c r="Q422" s="164"/>
      <c r="R422" s="164"/>
      <c r="S422" s="164"/>
      <c r="T422" s="164"/>
      <c r="U422" s="164"/>
      <c r="V422" s="165"/>
    </row>
    <row r="423" spans="1:25" ht="27" customHeight="1">
      <c r="A423" s="192" t="str">
        <f>IF(ISBLANK(C423)," ",418-COUNTBLANK($C$6:C423))</f>
        <v xml:space="preserve"> </v>
      </c>
      <c r="B423" s="178"/>
      <c r="C423" s="178"/>
      <c r="D423" s="193"/>
      <c r="E423" s="193"/>
      <c r="F423" s="180"/>
      <c r="G423" s="180"/>
      <c r="H423" s="180"/>
      <c r="I423" s="180"/>
      <c r="J423" s="180"/>
      <c r="K423" s="180"/>
      <c r="L423" s="180"/>
      <c r="M423" s="181"/>
      <c r="N423" s="163" t="str">
        <f t="shared" si="31"/>
        <v/>
      </c>
      <c r="O423" s="126" t="str">
        <f t="shared" si="32"/>
        <v>-</v>
      </c>
      <c r="P423" s="164"/>
      <c r="Q423" s="164"/>
      <c r="R423" s="164"/>
      <c r="S423" s="164"/>
      <c r="T423" s="164"/>
      <c r="U423" s="164"/>
      <c r="V423" s="165"/>
    </row>
    <row r="424" spans="1:25" ht="27" customHeight="1">
      <c r="A424" s="192" t="str">
        <f>IF(ISBLANK(C424)," ",419-COUNTBLANK($C$6:C424))</f>
        <v xml:space="preserve"> </v>
      </c>
      <c r="B424" s="178"/>
      <c r="C424" s="178"/>
      <c r="D424" s="193"/>
      <c r="E424" s="193"/>
      <c r="F424" s="180"/>
      <c r="G424" s="180"/>
      <c r="H424" s="180"/>
      <c r="I424" s="180"/>
      <c r="J424" s="180"/>
      <c r="K424" s="180"/>
      <c r="L424" s="180"/>
      <c r="M424" s="181"/>
      <c r="N424" s="163" t="str">
        <f t="shared" si="31"/>
        <v/>
      </c>
      <c r="O424" s="126" t="str">
        <f t="shared" si="32"/>
        <v>-</v>
      </c>
      <c r="P424" s="164"/>
      <c r="Q424" s="164"/>
      <c r="R424" s="164"/>
      <c r="S424" s="164"/>
      <c r="T424" s="164"/>
      <c r="U424" s="164"/>
      <c r="V424" s="166"/>
      <c r="W424" s="164"/>
      <c r="X424" s="164"/>
      <c r="Y424" s="164"/>
    </row>
    <row r="425" spans="1:25" ht="27" customHeight="1">
      <c r="A425" s="172" t="s">
        <v>44</v>
      </c>
      <c r="B425" s="173"/>
      <c r="C425" s="174"/>
      <c r="D425" s="194"/>
      <c r="E425" s="194">
        <f>SUM(E405:E424)</f>
        <v>0</v>
      </c>
      <c r="F425" s="176"/>
      <c r="G425" s="176"/>
      <c r="H425" s="176"/>
      <c r="I425" s="176"/>
      <c r="J425" s="176"/>
      <c r="K425" s="176"/>
      <c r="L425" s="176"/>
      <c r="M425" s="177"/>
      <c r="N425" s="163" t="str">
        <f t="shared" si="31"/>
        <v/>
      </c>
      <c r="O425" s="126"/>
      <c r="P425" s="164"/>
      <c r="Q425" s="164"/>
      <c r="R425" s="164"/>
      <c r="S425" s="164"/>
      <c r="T425" s="164"/>
      <c r="U425" s="164"/>
      <c r="V425" s="166"/>
      <c r="W425" s="164"/>
      <c r="X425" s="164"/>
      <c r="Y425" s="164"/>
    </row>
    <row r="426" spans="1:25" ht="27" customHeight="1">
      <c r="A426" s="187" t="str">
        <f>IF(ISBLANK(C426)," ",421-COUNTBLANK($C$6:C426))</f>
        <v xml:space="preserve"> </v>
      </c>
      <c r="B426" s="188"/>
      <c r="C426" s="188"/>
      <c r="D426" s="189"/>
      <c r="E426" s="189"/>
      <c r="F426" s="190"/>
      <c r="G426" s="190"/>
      <c r="H426" s="190"/>
      <c r="I426" s="190"/>
      <c r="J426" s="190"/>
      <c r="K426" s="190"/>
      <c r="L426" s="190"/>
      <c r="M426" s="191"/>
      <c r="N426" s="163" t="str">
        <f>CONCATENATE(C426,H426)</f>
        <v/>
      </c>
      <c r="O426" s="126" t="str">
        <f>IF(D426&gt;=E426,"-","ERR")</f>
        <v>-</v>
      </c>
      <c r="P426" s="164"/>
      <c r="Q426" s="164"/>
      <c r="R426" s="164"/>
      <c r="S426" s="164"/>
      <c r="T426" s="164"/>
      <c r="U426" s="164"/>
      <c r="V426" s="164"/>
    </row>
    <row r="427" spans="1:25" ht="27" customHeight="1">
      <c r="A427" s="192" t="str">
        <f>IF(ISBLANK(C427)," ",422-COUNTBLANK($C$6:C427))</f>
        <v xml:space="preserve"> </v>
      </c>
      <c r="B427" s="178"/>
      <c r="C427" s="178"/>
      <c r="D427" s="193"/>
      <c r="E427" s="193"/>
      <c r="F427" s="180"/>
      <c r="G427" s="180"/>
      <c r="H427" s="180"/>
      <c r="I427" s="180"/>
      <c r="J427" s="180"/>
      <c r="K427" s="180"/>
      <c r="L427" s="180"/>
      <c r="M427" s="181"/>
      <c r="N427" s="163" t="str">
        <f t="shared" ref="N427:N446" si="33">CONCATENATE(C427,H427)</f>
        <v/>
      </c>
      <c r="O427" s="126" t="str">
        <f t="shared" ref="O427:O445" si="34">IF(D427&gt;=E427,"-","ERR")</f>
        <v>-</v>
      </c>
      <c r="P427" s="164"/>
      <c r="Q427" s="164"/>
      <c r="R427" s="164"/>
      <c r="S427" s="164"/>
      <c r="T427" s="164"/>
      <c r="U427" s="164"/>
      <c r="V427" s="164"/>
    </row>
    <row r="428" spans="1:25" ht="27" customHeight="1">
      <c r="A428" s="192" t="str">
        <f>IF(ISBLANK(C428)," ",423-COUNTBLANK($C$6:C428))</f>
        <v xml:space="preserve"> </v>
      </c>
      <c r="B428" s="178"/>
      <c r="C428" s="178"/>
      <c r="D428" s="193"/>
      <c r="E428" s="193"/>
      <c r="F428" s="180"/>
      <c r="G428" s="180"/>
      <c r="H428" s="180"/>
      <c r="I428" s="180"/>
      <c r="J428" s="180"/>
      <c r="K428" s="180"/>
      <c r="L428" s="180"/>
      <c r="M428" s="181"/>
      <c r="N428" s="163" t="str">
        <f t="shared" si="33"/>
        <v/>
      </c>
      <c r="O428" s="126" t="str">
        <f t="shared" si="34"/>
        <v>-</v>
      </c>
      <c r="P428" s="164"/>
      <c r="Q428" s="164"/>
      <c r="R428" s="164"/>
      <c r="S428" s="164"/>
      <c r="T428" s="164"/>
      <c r="U428" s="164"/>
      <c r="V428" s="164"/>
    </row>
    <row r="429" spans="1:25" ht="27" customHeight="1">
      <c r="A429" s="192" t="str">
        <f>IF(ISBLANK(C429)," ",424-COUNTBLANK($C$6:C429))</f>
        <v xml:space="preserve"> </v>
      </c>
      <c r="B429" s="178"/>
      <c r="C429" s="178"/>
      <c r="D429" s="193"/>
      <c r="E429" s="193"/>
      <c r="F429" s="180"/>
      <c r="G429" s="180"/>
      <c r="H429" s="180"/>
      <c r="I429" s="180"/>
      <c r="J429" s="180"/>
      <c r="K429" s="180"/>
      <c r="L429" s="180"/>
      <c r="M429" s="181"/>
      <c r="N429" s="163" t="str">
        <f t="shared" si="33"/>
        <v/>
      </c>
      <c r="O429" s="126" t="str">
        <f t="shared" si="34"/>
        <v>-</v>
      </c>
      <c r="P429" s="164"/>
      <c r="Q429" s="164"/>
      <c r="R429" s="164"/>
      <c r="S429" s="164"/>
      <c r="T429" s="164"/>
      <c r="U429" s="164"/>
      <c r="V429" s="164"/>
    </row>
    <row r="430" spans="1:25" ht="27" customHeight="1">
      <c r="A430" s="192" t="str">
        <f>IF(ISBLANK(C430)," ",425-COUNTBLANK($C$6:C430))</f>
        <v xml:space="preserve"> </v>
      </c>
      <c r="B430" s="178"/>
      <c r="C430" s="178"/>
      <c r="D430" s="193"/>
      <c r="E430" s="193"/>
      <c r="F430" s="180"/>
      <c r="G430" s="180"/>
      <c r="H430" s="180"/>
      <c r="I430" s="180"/>
      <c r="J430" s="180"/>
      <c r="K430" s="180"/>
      <c r="L430" s="180"/>
      <c r="M430" s="181"/>
      <c r="N430" s="163" t="str">
        <f t="shared" si="33"/>
        <v/>
      </c>
      <c r="O430" s="126" t="str">
        <f t="shared" si="34"/>
        <v>-</v>
      </c>
      <c r="P430" s="164"/>
      <c r="Q430" s="164"/>
      <c r="R430" s="164"/>
      <c r="S430" s="164"/>
      <c r="T430" s="164"/>
      <c r="U430" s="164"/>
      <c r="V430" s="164"/>
    </row>
    <row r="431" spans="1:25" ht="27" customHeight="1">
      <c r="A431" s="192" t="str">
        <f>IF(ISBLANK(C431)," ",426-COUNTBLANK($C$6:C431))</f>
        <v xml:space="preserve"> </v>
      </c>
      <c r="B431" s="178"/>
      <c r="C431" s="178"/>
      <c r="D431" s="193"/>
      <c r="E431" s="193"/>
      <c r="F431" s="180"/>
      <c r="G431" s="180"/>
      <c r="H431" s="180"/>
      <c r="I431" s="180"/>
      <c r="J431" s="180"/>
      <c r="K431" s="180"/>
      <c r="L431" s="180"/>
      <c r="M431" s="181"/>
      <c r="N431" s="163" t="str">
        <f t="shared" si="33"/>
        <v/>
      </c>
      <c r="O431" s="126" t="str">
        <f t="shared" si="34"/>
        <v>-</v>
      </c>
      <c r="P431" s="164"/>
      <c r="Q431" s="164"/>
      <c r="R431" s="164"/>
      <c r="S431" s="164"/>
      <c r="T431" s="164"/>
      <c r="U431" s="164"/>
      <c r="V431" s="164"/>
    </row>
    <row r="432" spans="1:25" ht="27" customHeight="1">
      <c r="A432" s="192" t="str">
        <f>IF(ISBLANK(C432)," ",427-COUNTBLANK($C$6:C432))</f>
        <v xml:space="preserve"> </v>
      </c>
      <c r="B432" s="178"/>
      <c r="C432" s="178"/>
      <c r="D432" s="193"/>
      <c r="E432" s="193"/>
      <c r="F432" s="180"/>
      <c r="G432" s="180"/>
      <c r="H432" s="180"/>
      <c r="I432" s="180"/>
      <c r="J432" s="180"/>
      <c r="K432" s="180"/>
      <c r="L432" s="180"/>
      <c r="M432" s="181"/>
      <c r="N432" s="163" t="str">
        <f t="shared" si="33"/>
        <v/>
      </c>
      <c r="O432" s="126" t="str">
        <f t="shared" si="34"/>
        <v>-</v>
      </c>
      <c r="P432" s="164"/>
      <c r="Q432" s="164"/>
      <c r="R432" s="164"/>
      <c r="S432" s="164"/>
      <c r="T432" s="164"/>
      <c r="U432" s="164"/>
      <c r="V432" s="164"/>
    </row>
    <row r="433" spans="1:25" ht="27" customHeight="1">
      <c r="A433" s="192" t="str">
        <f>IF(ISBLANK(C433)," ",428-COUNTBLANK($C$6:C433))</f>
        <v xml:space="preserve"> </v>
      </c>
      <c r="B433" s="178"/>
      <c r="C433" s="178"/>
      <c r="D433" s="193"/>
      <c r="E433" s="193"/>
      <c r="F433" s="180"/>
      <c r="G433" s="180"/>
      <c r="H433" s="180"/>
      <c r="I433" s="180"/>
      <c r="J433" s="180"/>
      <c r="K433" s="180"/>
      <c r="L433" s="180"/>
      <c r="M433" s="181"/>
      <c r="N433" s="163" t="str">
        <f t="shared" si="33"/>
        <v/>
      </c>
      <c r="O433" s="126" t="str">
        <f t="shared" si="34"/>
        <v>-</v>
      </c>
      <c r="P433" s="164"/>
      <c r="Q433" s="164"/>
      <c r="R433" s="164"/>
      <c r="S433" s="164"/>
      <c r="T433" s="164"/>
      <c r="U433" s="164"/>
      <c r="V433" s="164"/>
    </row>
    <row r="434" spans="1:25" ht="27" customHeight="1">
      <c r="A434" s="192" t="str">
        <f>IF(ISBLANK(C434)," ",429-COUNTBLANK($C$6:C434))</f>
        <v xml:space="preserve"> </v>
      </c>
      <c r="B434" s="178"/>
      <c r="C434" s="178"/>
      <c r="D434" s="193"/>
      <c r="E434" s="193"/>
      <c r="F434" s="180"/>
      <c r="G434" s="180"/>
      <c r="H434" s="180"/>
      <c r="I434" s="180"/>
      <c r="J434" s="180"/>
      <c r="K434" s="180"/>
      <c r="L434" s="180"/>
      <c r="M434" s="181"/>
      <c r="N434" s="163" t="str">
        <f t="shared" si="33"/>
        <v/>
      </c>
      <c r="O434" s="126" t="str">
        <f t="shared" si="34"/>
        <v>-</v>
      </c>
      <c r="P434" s="164"/>
      <c r="Q434" s="164"/>
      <c r="R434" s="164"/>
      <c r="S434" s="164"/>
      <c r="T434" s="164"/>
      <c r="U434" s="164"/>
      <c r="V434" s="164"/>
    </row>
    <row r="435" spans="1:25" ht="27" customHeight="1">
      <c r="A435" s="192" t="str">
        <f>IF(ISBLANK(C435)," ",430-COUNTBLANK($C$6:C435))</f>
        <v xml:space="preserve"> </v>
      </c>
      <c r="B435" s="178"/>
      <c r="C435" s="178"/>
      <c r="D435" s="193"/>
      <c r="E435" s="193"/>
      <c r="F435" s="180"/>
      <c r="G435" s="180"/>
      <c r="H435" s="180"/>
      <c r="I435" s="180"/>
      <c r="J435" s="180"/>
      <c r="K435" s="180"/>
      <c r="L435" s="180"/>
      <c r="M435" s="181"/>
      <c r="N435" s="163" t="str">
        <f t="shared" si="33"/>
        <v/>
      </c>
      <c r="O435" s="126" t="str">
        <f t="shared" si="34"/>
        <v>-</v>
      </c>
      <c r="P435" s="164"/>
      <c r="Q435" s="164"/>
      <c r="R435" s="164"/>
      <c r="S435" s="164"/>
      <c r="T435" s="164"/>
      <c r="U435" s="164"/>
      <c r="V435" s="164"/>
    </row>
    <row r="436" spans="1:25" ht="27" customHeight="1">
      <c r="A436" s="192" t="str">
        <f>IF(ISBLANK(C436)," ",431-COUNTBLANK($C$6:C436))</f>
        <v xml:space="preserve"> </v>
      </c>
      <c r="B436" s="178"/>
      <c r="C436" s="178"/>
      <c r="D436" s="193"/>
      <c r="E436" s="193"/>
      <c r="F436" s="180"/>
      <c r="G436" s="180"/>
      <c r="H436" s="180"/>
      <c r="I436" s="180"/>
      <c r="J436" s="180"/>
      <c r="K436" s="180"/>
      <c r="L436" s="180"/>
      <c r="M436" s="181"/>
      <c r="N436" s="163" t="str">
        <f t="shared" si="33"/>
        <v/>
      </c>
      <c r="O436" s="126" t="str">
        <f t="shared" si="34"/>
        <v>-</v>
      </c>
      <c r="P436" s="164"/>
      <c r="Q436" s="164"/>
      <c r="R436" s="164"/>
      <c r="S436" s="164"/>
      <c r="T436" s="164"/>
      <c r="U436" s="164"/>
      <c r="V436" s="164"/>
    </row>
    <row r="437" spans="1:25" ht="27" customHeight="1">
      <c r="A437" s="192" t="str">
        <f>IF(ISBLANK(C437)," ",432-COUNTBLANK($C$6:C437))</f>
        <v xml:space="preserve"> </v>
      </c>
      <c r="B437" s="178"/>
      <c r="C437" s="178"/>
      <c r="D437" s="193"/>
      <c r="E437" s="193"/>
      <c r="F437" s="180"/>
      <c r="G437" s="180"/>
      <c r="H437" s="180"/>
      <c r="I437" s="180"/>
      <c r="J437" s="180"/>
      <c r="K437" s="180"/>
      <c r="L437" s="180"/>
      <c r="M437" s="181"/>
      <c r="N437" s="163" t="str">
        <f t="shared" si="33"/>
        <v/>
      </c>
      <c r="O437" s="126" t="str">
        <f t="shared" si="34"/>
        <v>-</v>
      </c>
      <c r="P437" s="164"/>
      <c r="Q437" s="164"/>
      <c r="R437" s="164"/>
      <c r="S437" s="164"/>
      <c r="T437" s="164"/>
      <c r="U437" s="164"/>
      <c r="V437" s="164"/>
    </row>
    <row r="438" spans="1:25" ht="27" customHeight="1">
      <c r="A438" s="192" t="str">
        <f>IF(ISBLANK(C438)," ",433-COUNTBLANK($C$6:C438))</f>
        <v xml:space="preserve"> </v>
      </c>
      <c r="B438" s="178"/>
      <c r="C438" s="178"/>
      <c r="D438" s="193"/>
      <c r="E438" s="193"/>
      <c r="F438" s="180"/>
      <c r="G438" s="180"/>
      <c r="H438" s="180"/>
      <c r="I438" s="180"/>
      <c r="J438" s="180"/>
      <c r="K438" s="180"/>
      <c r="L438" s="180"/>
      <c r="M438" s="181"/>
      <c r="N438" s="163" t="str">
        <f t="shared" si="33"/>
        <v/>
      </c>
      <c r="O438" s="126" t="str">
        <f t="shared" si="34"/>
        <v>-</v>
      </c>
      <c r="P438" s="164"/>
      <c r="Q438" s="164"/>
      <c r="R438" s="164"/>
      <c r="S438" s="164"/>
      <c r="T438" s="164"/>
      <c r="U438" s="164"/>
      <c r="V438" s="164"/>
    </row>
    <row r="439" spans="1:25" ht="27" customHeight="1">
      <c r="A439" s="192" t="str">
        <f>IF(ISBLANK(C439)," ",434-COUNTBLANK($C$6:C439))</f>
        <v xml:space="preserve"> </v>
      </c>
      <c r="B439" s="178"/>
      <c r="C439" s="178"/>
      <c r="D439" s="193"/>
      <c r="E439" s="193"/>
      <c r="F439" s="180"/>
      <c r="G439" s="180"/>
      <c r="H439" s="180"/>
      <c r="I439" s="180"/>
      <c r="J439" s="180"/>
      <c r="K439" s="180"/>
      <c r="L439" s="180"/>
      <c r="M439" s="181"/>
      <c r="N439" s="163" t="str">
        <f t="shared" si="33"/>
        <v/>
      </c>
      <c r="O439" s="126" t="str">
        <f t="shared" si="34"/>
        <v>-</v>
      </c>
      <c r="P439" s="164"/>
      <c r="Q439" s="164"/>
      <c r="R439" s="164"/>
      <c r="S439" s="164"/>
      <c r="T439" s="164"/>
      <c r="U439" s="164"/>
      <c r="V439" s="164"/>
    </row>
    <row r="440" spans="1:25" ht="27" customHeight="1">
      <c r="A440" s="192" t="str">
        <f>IF(ISBLANK(C440)," ",435-COUNTBLANK($C$6:C440))</f>
        <v xml:space="preserve"> </v>
      </c>
      <c r="B440" s="178"/>
      <c r="C440" s="178"/>
      <c r="D440" s="193"/>
      <c r="E440" s="193"/>
      <c r="F440" s="180"/>
      <c r="G440" s="180"/>
      <c r="H440" s="180"/>
      <c r="I440" s="180"/>
      <c r="J440" s="180"/>
      <c r="K440" s="180"/>
      <c r="L440" s="180"/>
      <c r="M440" s="181"/>
      <c r="N440" s="163" t="str">
        <f t="shared" si="33"/>
        <v/>
      </c>
      <c r="O440" s="126" t="str">
        <f t="shared" si="34"/>
        <v>-</v>
      </c>
      <c r="P440" s="164"/>
      <c r="Q440" s="164"/>
      <c r="R440" s="164"/>
      <c r="S440" s="164"/>
      <c r="T440" s="164"/>
      <c r="U440" s="164"/>
      <c r="V440" s="164"/>
    </row>
    <row r="441" spans="1:25" ht="27" customHeight="1">
      <c r="A441" s="192" t="str">
        <f>IF(ISBLANK(C441)," ",436-COUNTBLANK($C$6:C441))</f>
        <v xml:space="preserve"> </v>
      </c>
      <c r="B441" s="178"/>
      <c r="C441" s="178"/>
      <c r="D441" s="193"/>
      <c r="E441" s="193"/>
      <c r="F441" s="180"/>
      <c r="G441" s="180"/>
      <c r="H441" s="180"/>
      <c r="I441" s="180"/>
      <c r="J441" s="180"/>
      <c r="K441" s="180"/>
      <c r="L441" s="180"/>
      <c r="M441" s="181"/>
      <c r="N441" s="163" t="str">
        <f t="shared" si="33"/>
        <v/>
      </c>
      <c r="O441" s="126" t="str">
        <f t="shared" si="34"/>
        <v>-</v>
      </c>
      <c r="P441" s="164"/>
      <c r="Q441" s="164"/>
      <c r="R441" s="164"/>
      <c r="S441" s="164"/>
      <c r="T441" s="164"/>
      <c r="U441" s="164"/>
      <c r="V441" s="165"/>
    </row>
    <row r="442" spans="1:25" ht="27" customHeight="1">
      <c r="A442" s="192" t="str">
        <f>IF(ISBLANK(C442)," ",437-COUNTBLANK($C$6:C442))</f>
        <v xml:space="preserve"> </v>
      </c>
      <c r="B442" s="178"/>
      <c r="C442" s="178"/>
      <c r="D442" s="193"/>
      <c r="E442" s="193"/>
      <c r="F442" s="180"/>
      <c r="G442" s="180"/>
      <c r="H442" s="180"/>
      <c r="I442" s="180"/>
      <c r="J442" s="180"/>
      <c r="K442" s="180"/>
      <c r="L442" s="180"/>
      <c r="M442" s="181"/>
      <c r="N442" s="163" t="str">
        <f t="shared" si="33"/>
        <v/>
      </c>
      <c r="O442" s="126" t="str">
        <f t="shared" si="34"/>
        <v>-</v>
      </c>
      <c r="P442" s="164"/>
      <c r="Q442" s="164"/>
      <c r="R442" s="164"/>
      <c r="S442" s="164"/>
      <c r="T442" s="164"/>
      <c r="U442" s="164"/>
      <c r="V442" s="165"/>
    </row>
    <row r="443" spans="1:25" ht="27" customHeight="1">
      <c r="A443" s="192" t="str">
        <f>IF(ISBLANK(C443)," ",438-COUNTBLANK($C$6:C443))</f>
        <v xml:space="preserve"> </v>
      </c>
      <c r="B443" s="178"/>
      <c r="C443" s="178"/>
      <c r="D443" s="193"/>
      <c r="E443" s="193"/>
      <c r="F443" s="180"/>
      <c r="G443" s="180"/>
      <c r="H443" s="180"/>
      <c r="I443" s="180"/>
      <c r="J443" s="180"/>
      <c r="K443" s="180"/>
      <c r="L443" s="180"/>
      <c r="M443" s="181"/>
      <c r="N443" s="163" t="str">
        <f t="shared" si="33"/>
        <v/>
      </c>
      <c r="O443" s="126" t="str">
        <f t="shared" si="34"/>
        <v>-</v>
      </c>
      <c r="P443" s="164"/>
      <c r="Q443" s="164"/>
      <c r="R443" s="164"/>
      <c r="S443" s="164"/>
      <c r="T443" s="164"/>
      <c r="U443" s="164"/>
      <c r="V443" s="165"/>
    </row>
    <row r="444" spans="1:25" ht="27" customHeight="1">
      <c r="A444" s="192" t="str">
        <f>IF(ISBLANK(C444)," ",439-COUNTBLANK($C$6:C444))</f>
        <v xml:space="preserve"> </v>
      </c>
      <c r="B444" s="178"/>
      <c r="C444" s="178"/>
      <c r="D444" s="193"/>
      <c r="E444" s="193"/>
      <c r="F444" s="180"/>
      <c r="G444" s="180"/>
      <c r="H444" s="180"/>
      <c r="I444" s="180"/>
      <c r="J444" s="180"/>
      <c r="K444" s="180"/>
      <c r="L444" s="180"/>
      <c r="M444" s="181"/>
      <c r="N444" s="163" t="str">
        <f t="shared" si="33"/>
        <v/>
      </c>
      <c r="O444" s="126" t="str">
        <f t="shared" si="34"/>
        <v>-</v>
      </c>
      <c r="P444" s="164"/>
      <c r="Q444" s="164"/>
      <c r="R444" s="164"/>
      <c r="S444" s="164"/>
      <c r="T444" s="164"/>
      <c r="U444" s="164"/>
      <c r="V444" s="165"/>
    </row>
    <row r="445" spans="1:25" ht="27" customHeight="1">
      <c r="A445" s="192" t="str">
        <f>IF(ISBLANK(C445)," ",440-COUNTBLANK($C$6:C445))</f>
        <v xml:space="preserve"> </v>
      </c>
      <c r="B445" s="178"/>
      <c r="C445" s="178"/>
      <c r="D445" s="193"/>
      <c r="E445" s="193"/>
      <c r="F445" s="180"/>
      <c r="G445" s="180"/>
      <c r="H445" s="180"/>
      <c r="I445" s="180"/>
      <c r="J445" s="180"/>
      <c r="K445" s="180"/>
      <c r="L445" s="180"/>
      <c r="M445" s="181"/>
      <c r="N445" s="163" t="str">
        <f t="shared" si="33"/>
        <v/>
      </c>
      <c r="O445" s="126" t="str">
        <f t="shared" si="34"/>
        <v>-</v>
      </c>
      <c r="P445" s="164"/>
      <c r="Q445" s="164"/>
      <c r="R445" s="164"/>
      <c r="S445" s="164"/>
      <c r="T445" s="164"/>
      <c r="U445" s="164"/>
      <c r="V445" s="166"/>
      <c r="W445" s="164"/>
      <c r="X445" s="164"/>
      <c r="Y445" s="164"/>
    </row>
    <row r="446" spans="1:25" ht="27" customHeight="1">
      <c r="A446" s="172" t="s">
        <v>44</v>
      </c>
      <c r="B446" s="173"/>
      <c r="C446" s="174"/>
      <c r="D446" s="194"/>
      <c r="E446" s="194">
        <f>SUM(E426:E445)</f>
        <v>0</v>
      </c>
      <c r="F446" s="176"/>
      <c r="G446" s="176"/>
      <c r="H446" s="176"/>
      <c r="I446" s="176"/>
      <c r="J446" s="176"/>
      <c r="K446" s="176"/>
      <c r="L446" s="176"/>
      <c r="M446" s="177"/>
      <c r="N446" s="163" t="str">
        <f t="shared" si="33"/>
        <v/>
      </c>
      <c r="O446" s="126"/>
      <c r="P446" s="164"/>
      <c r="Q446" s="164"/>
      <c r="R446" s="164"/>
      <c r="S446" s="164"/>
      <c r="T446" s="164"/>
      <c r="U446" s="164"/>
      <c r="V446" s="166"/>
      <c r="W446" s="164"/>
      <c r="X446" s="164"/>
      <c r="Y446" s="164"/>
    </row>
    <row r="447" spans="1:25" ht="27" customHeight="1">
      <c r="A447" s="187" t="str">
        <f>IF(ISBLANK(C447)," ",442-COUNTBLANK($C$6:C447))</f>
        <v xml:space="preserve"> </v>
      </c>
      <c r="B447" s="188"/>
      <c r="C447" s="188"/>
      <c r="D447" s="189"/>
      <c r="E447" s="189"/>
      <c r="F447" s="190"/>
      <c r="G447" s="190"/>
      <c r="H447" s="190"/>
      <c r="I447" s="190"/>
      <c r="J447" s="190"/>
      <c r="K447" s="190"/>
      <c r="L447" s="190"/>
      <c r="M447" s="191"/>
      <c r="N447" s="163" t="str">
        <f>CONCATENATE(C447,H447)</f>
        <v/>
      </c>
      <c r="O447" s="126" t="str">
        <f>IF(D447&gt;=E447,"-","ERR")</f>
        <v>-</v>
      </c>
      <c r="P447" s="164"/>
      <c r="Q447" s="164"/>
      <c r="R447" s="164"/>
      <c r="S447" s="164"/>
      <c r="T447" s="164"/>
      <c r="U447" s="164"/>
      <c r="V447" s="164"/>
    </row>
    <row r="448" spans="1:25" ht="27" customHeight="1">
      <c r="A448" s="192" t="str">
        <f>IF(ISBLANK(C448)," ",443-COUNTBLANK($C$6:C448))</f>
        <v xml:space="preserve"> </v>
      </c>
      <c r="B448" s="178"/>
      <c r="C448" s="178"/>
      <c r="D448" s="193"/>
      <c r="E448" s="193"/>
      <c r="F448" s="180"/>
      <c r="G448" s="180"/>
      <c r="H448" s="180"/>
      <c r="I448" s="180"/>
      <c r="J448" s="180"/>
      <c r="K448" s="180"/>
      <c r="L448" s="180"/>
      <c r="M448" s="181"/>
      <c r="N448" s="163" t="str">
        <f t="shared" ref="N448:N467" si="35">CONCATENATE(C448,H448)</f>
        <v/>
      </c>
      <c r="O448" s="126" t="str">
        <f t="shared" ref="O448:O466" si="36">IF(D448&gt;=E448,"-","ERR")</f>
        <v>-</v>
      </c>
      <c r="P448" s="164"/>
      <c r="Q448" s="164"/>
      <c r="R448" s="164"/>
      <c r="S448" s="164"/>
      <c r="T448" s="164"/>
      <c r="U448" s="164"/>
      <c r="V448" s="164"/>
    </row>
    <row r="449" spans="1:22" ht="27" customHeight="1">
      <c r="A449" s="192" t="str">
        <f>IF(ISBLANK(C449)," ",444-COUNTBLANK($C$6:C449))</f>
        <v xml:space="preserve"> </v>
      </c>
      <c r="B449" s="178"/>
      <c r="C449" s="178"/>
      <c r="D449" s="193"/>
      <c r="E449" s="193"/>
      <c r="F449" s="180"/>
      <c r="G449" s="180"/>
      <c r="H449" s="180"/>
      <c r="I449" s="180"/>
      <c r="J449" s="180"/>
      <c r="K449" s="180"/>
      <c r="L449" s="180"/>
      <c r="M449" s="181"/>
      <c r="N449" s="163" t="str">
        <f t="shared" si="35"/>
        <v/>
      </c>
      <c r="O449" s="126" t="str">
        <f t="shared" si="36"/>
        <v>-</v>
      </c>
      <c r="P449" s="164"/>
      <c r="Q449" s="164"/>
      <c r="R449" s="164"/>
      <c r="S449" s="164"/>
      <c r="T449" s="164"/>
      <c r="U449" s="164"/>
      <c r="V449" s="164"/>
    </row>
    <row r="450" spans="1:22" ht="27" customHeight="1">
      <c r="A450" s="192" t="str">
        <f>IF(ISBLANK(C450)," ",445-COUNTBLANK($C$6:C450))</f>
        <v xml:space="preserve"> </v>
      </c>
      <c r="B450" s="178"/>
      <c r="C450" s="178"/>
      <c r="D450" s="193"/>
      <c r="E450" s="193"/>
      <c r="F450" s="180"/>
      <c r="G450" s="180"/>
      <c r="H450" s="180"/>
      <c r="I450" s="180"/>
      <c r="J450" s="180"/>
      <c r="K450" s="180"/>
      <c r="L450" s="180"/>
      <c r="M450" s="181"/>
      <c r="N450" s="163" t="str">
        <f t="shared" si="35"/>
        <v/>
      </c>
      <c r="O450" s="126" t="str">
        <f t="shared" si="36"/>
        <v>-</v>
      </c>
      <c r="P450" s="164"/>
      <c r="Q450" s="164"/>
      <c r="R450" s="164"/>
      <c r="S450" s="164"/>
      <c r="T450" s="164"/>
      <c r="U450" s="164"/>
      <c r="V450" s="164"/>
    </row>
    <row r="451" spans="1:22" ht="27" customHeight="1">
      <c r="A451" s="192" t="str">
        <f>IF(ISBLANK(C451)," ",446-COUNTBLANK($C$6:C451))</f>
        <v xml:space="preserve"> </v>
      </c>
      <c r="B451" s="178"/>
      <c r="C451" s="178"/>
      <c r="D451" s="193"/>
      <c r="E451" s="193"/>
      <c r="F451" s="180"/>
      <c r="G451" s="180"/>
      <c r="H451" s="180"/>
      <c r="I451" s="180"/>
      <c r="J451" s="180"/>
      <c r="K451" s="180"/>
      <c r="L451" s="180"/>
      <c r="M451" s="181"/>
      <c r="N451" s="163" t="str">
        <f t="shared" si="35"/>
        <v/>
      </c>
      <c r="O451" s="126" t="str">
        <f t="shared" si="36"/>
        <v>-</v>
      </c>
      <c r="P451" s="164"/>
      <c r="Q451" s="164"/>
      <c r="R451" s="164"/>
      <c r="S451" s="164"/>
      <c r="T451" s="164"/>
      <c r="U451" s="164"/>
      <c r="V451" s="164"/>
    </row>
    <row r="452" spans="1:22" ht="27" customHeight="1">
      <c r="A452" s="192" t="str">
        <f>IF(ISBLANK(C452)," ",447-COUNTBLANK($C$6:C452))</f>
        <v xml:space="preserve"> </v>
      </c>
      <c r="B452" s="178"/>
      <c r="C452" s="178"/>
      <c r="D452" s="193"/>
      <c r="E452" s="193"/>
      <c r="F452" s="180"/>
      <c r="G452" s="180"/>
      <c r="H452" s="180"/>
      <c r="I452" s="180"/>
      <c r="J452" s="180"/>
      <c r="K452" s="180"/>
      <c r="L452" s="180"/>
      <c r="M452" s="181"/>
      <c r="N452" s="163" t="str">
        <f t="shared" si="35"/>
        <v/>
      </c>
      <c r="O452" s="126" t="str">
        <f t="shared" si="36"/>
        <v>-</v>
      </c>
      <c r="P452" s="164"/>
      <c r="Q452" s="164"/>
      <c r="R452" s="164"/>
      <c r="S452" s="164"/>
      <c r="T452" s="164"/>
      <c r="U452" s="164"/>
      <c r="V452" s="164"/>
    </row>
    <row r="453" spans="1:22" ht="27" customHeight="1">
      <c r="A453" s="192" t="str">
        <f>IF(ISBLANK(C453)," ",448-COUNTBLANK($C$6:C453))</f>
        <v xml:space="preserve"> </v>
      </c>
      <c r="B453" s="178"/>
      <c r="C453" s="178"/>
      <c r="D453" s="193"/>
      <c r="E453" s="193"/>
      <c r="F453" s="180"/>
      <c r="G453" s="180"/>
      <c r="H453" s="180"/>
      <c r="I453" s="180"/>
      <c r="J453" s="180"/>
      <c r="K453" s="180"/>
      <c r="L453" s="180"/>
      <c r="M453" s="181"/>
      <c r="N453" s="163" t="str">
        <f t="shared" si="35"/>
        <v/>
      </c>
      <c r="O453" s="126" t="str">
        <f t="shared" si="36"/>
        <v>-</v>
      </c>
      <c r="P453" s="164"/>
      <c r="Q453" s="164"/>
      <c r="R453" s="164"/>
      <c r="S453" s="164"/>
      <c r="T453" s="164"/>
      <c r="U453" s="164"/>
      <c r="V453" s="164"/>
    </row>
    <row r="454" spans="1:22" ht="27" customHeight="1">
      <c r="A454" s="192" t="str">
        <f>IF(ISBLANK(C454)," ",449-COUNTBLANK($C$6:C454))</f>
        <v xml:space="preserve"> </v>
      </c>
      <c r="B454" s="178"/>
      <c r="C454" s="178"/>
      <c r="D454" s="193"/>
      <c r="E454" s="193"/>
      <c r="F454" s="180"/>
      <c r="G454" s="180"/>
      <c r="H454" s="180"/>
      <c r="I454" s="180"/>
      <c r="J454" s="180"/>
      <c r="K454" s="180"/>
      <c r="L454" s="180"/>
      <c r="M454" s="181"/>
      <c r="N454" s="163" t="str">
        <f t="shared" si="35"/>
        <v/>
      </c>
      <c r="O454" s="126" t="str">
        <f t="shared" si="36"/>
        <v>-</v>
      </c>
      <c r="P454" s="164"/>
      <c r="Q454" s="164"/>
      <c r="R454" s="164"/>
      <c r="S454" s="164"/>
      <c r="T454" s="164"/>
      <c r="U454" s="164"/>
      <c r="V454" s="164"/>
    </row>
    <row r="455" spans="1:22" ht="27" customHeight="1">
      <c r="A455" s="192" t="str">
        <f>IF(ISBLANK(C455)," ",450-COUNTBLANK($C$6:C455))</f>
        <v xml:space="preserve"> </v>
      </c>
      <c r="B455" s="178"/>
      <c r="C455" s="178"/>
      <c r="D455" s="193"/>
      <c r="E455" s="193"/>
      <c r="F455" s="180"/>
      <c r="G455" s="180"/>
      <c r="H455" s="180"/>
      <c r="I455" s="180"/>
      <c r="J455" s="180"/>
      <c r="K455" s="180"/>
      <c r="L455" s="180"/>
      <c r="M455" s="181"/>
      <c r="N455" s="163" t="str">
        <f t="shared" si="35"/>
        <v/>
      </c>
      <c r="O455" s="126" t="str">
        <f t="shared" si="36"/>
        <v>-</v>
      </c>
      <c r="P455" s="164"/>
      <c r="Q455" s="164"/>
      <c r="R455" s="164"/>
      <c r="S455" s="164"/>
      <c r="T455" s="164"/>
      <c r="U455" s="164"/>
      <c r="V455" s="164"/>
    </row>
    <row r="456" spans="1:22" ht="27" customHeight="1">
      <c r="A456" s="192" t="str">
        <f>IF(ISBLANK(C456)," ",451-COUNTBLANK($C$6:C456))</f>
        <v xml:space="preserve"> </v>
      </c>
      <c r="B456" s="178"/>
      <c r="C456" s="178"/>
      <c r="D456" s="193"/>
      <c r="E456" s="193"/>
      <c r="F456" s="180"/>
      <c r="G456" s="180"/>
      <c r="H456" s="180"/>
      <c r="I456" s="180"/>
      <c r="J456" s="180"/>
      <c r="K456" s="180"/>
      <c r="L456" s="180"/>
      <c r="M456" s="181"/>
      <c r="N456" s="163" t="str">
        <f t="shared" si="35"/>
        <v/>
      </c>
      <c r="O456" s="126" t="str">
        <f t="shared" si="36"/>
        <v>-</v>
      </c>
      <c r="P456" s="164"/>
      <c r="Q456" s="164"/>
      <c r="R456" s="164"/>
      <c r="S456" s="164"/>
      <c r="T456" s="164"/>
      <c r="U456" s="164"/>
      <c r="V456" s="164"/>
    </row>
    <row r="457" spans="1:22" ht="27" customHeight="1">
      <c r="A457" s="192" t="str">
        <f>IF(ISBLANK(C457)," ",452-COUNTBLANK($C$6:C457))</f>
        <v xml:space="preserve"> </v>
      </c>
      <c r="B457" s="178"/>
      <c r="C457" s="178"/>
      <c r="D457" s="193"/>
      <c r="E457" s="193"/>
      <c r="F457" s="180"/>
      <c r="G457" s="180"/>
      <c r="H457" s="180"/>
      <c r="I457" s="180"/>
      <c r="J457" s="180"/>
      <c r="K457" s="180"/>
      <c r="L457" s="180"/>
      <c r="M457" s="181"/>
      <c r="N457" s="163" t="str">
        <f t="shared" si="35"/>
        <v/>
      </c>
      <c r="O457" s="126" t="str">
        <f t="shared" si="36"/>
        <v>-</v>
      </c>
      <c r="P457" s="164"/>
      <c r="Q457" s="164"/>
      <c r="R457" s="164"/>
      <c r="S457" s="164"/>
      <c r="T457" s="164"/>
      <c r="U457" s="164"/>
      <c r="V457" s="164"/>
    </row>
    <row r="458" spans="1:22" ht="27" customHeight="1">
      <c r="A458" s="192" t="str">
        <f>IF(ISBLANK(C458)," ",453-COUNTBLANK($C$6:C458))</f>
        <v xml:space="preserve"> </v>
      </c>
      <c r="B458" s="178"/>
      <c r="C458" s="178"/>
      <c r="D458" s="193"/>
      <c r="E458" s="193"/>
      <c r="F458" s="180"/>
      <c r="G458" s="180"/>
      <c r="H458" s="180"/>
      <c r="I458" s="180"/>
      <c r="J458" s="180"/>
      <c r="K458" s="180"/>
      <c r="L458" s="180"/>
      <c r="M458" s="181"/>
      <c r="N458" s="163" t="str">
        <f t="shared" si="35"/>
        <v/>
      </c>
      <c r="O458" s="126" t="str">
        <f t="shared" si="36"/>
        <v>-</v>
      </c>
      <c r="P458" s="164"/>
      <c r="Q458" s="164"/>
      <c r="R458" s="164"/>
      <c r="S458" s="164"/>
      <c r="T458" s="164"/>
      <c r="U458" s="164"/>
      <c r="V458" s="164"/>
    </row>
    <row r="459" spans="1:22" ht="27" customHeight="1">
      <c r="A459" s="192" t="str">
        <f>IF(ISBLANK(C459)," ",454-COUNTBLANK($C$6:C459))</f>
        <v xml:space="preserve"> </v>
      </c>
      <c r="B459" s="178"/>
      <c r="C459" s="178"/>
      <c r="D459" s="193"/>
      <c r="E459" s="193"/>
      <c r="F459" s="180"/>
      <c r="G459" s="180"/>
      <c r="H459" s="180"/>
      <c r="I459" s="180"/>
      <c r="J459" s="180"/>
      <c r="K459" s="180"/>
      <c r="L459" s="180"/>
      <c r="M459" s="181"/>
      <c r="N459" s="163" t="str">
        <f t="shared" si="35"/>
        <v/>
      </c>
      <c r="O459" s="126" t="str">
        <f t="shared" si="36"/>
        <v>-</v>
      </c>
      <c r="P459" s="164"/>
      <c r="Q459" s="164"/>
      <c r="R459" s="164"/>
      <c r="S459" s="164"/>
      <c r="T459" s="164"/>
      <c r="U459" s="164"/>
      <c r="V459" s="164"/>
    </row>
    <row r="460" spans="1:22" ht="27" customHeight="1">
      <c r="A460" s="192" t="str">
        <f>IF(ISBLANK(C460)," ",455-COUNTBLANK($C$6:C460))</f>
        <v xml:space="preserve"> </v>
      </c>
      <c r="B460" s="178"/>
      <c r="C460" s="178"/>
      <c r="D460" s="193"/>
      <c r="E460" s="193"/>
      <c r="F460" s="180"/>
      <c r="G460" s="180"/>
      <c r="H460" s="180"/>
      <c r="I460" s="180"/>
      <c r="J460" s="180"/>
      <c r="K460" s="180"/>
      <c r="L460" s="180"/>
      <c r="M460" s="181"/>
      <c r="N460" s="163" t="str">
        <f t="shared" si="35"/>
        <v/>
      </c>
      <c r="O460" s="126" t="str">
        <f t="shared" si="36"/>
        <v>-</v>
      </c>
      <c r="P460" s="164"/>
      <c r="Q460" s="164"/>
      <c r="R460" s="164"/>
      <c r="S460" s="164"/>
      <c r="T460" s="164"/>
      <c r="U460" s="164"/>
      <c r="V460" s="164"/>
    </row>
    <row r="461" spans="1:22" ht="27" customHeight="1">
      <c r="A461" s="192" t="str">
        <f>IF(ISBLANK(C461)," ",456-COUNTBLANK($C$6:C461))</f>
        <v xml:space="preserve"> </v>
      </c>
      <c r="B461" s="178"/>
      <c r="C461" s="178"/>
      <c r="D461" s="193"/>
      <c r="E461" s="193"/>
      <c r="F461" s="180"/>
      <c r="G461" s="180"/>
      <c r="H461" s="180"/>
      <c r="I461" s="180"/>
      <c r="J461" s="180"/>
      <c r="K461" s="180"/>
      <c r="L461" s="180"/>
      <c r="M461" s="181"/>
      <c r="N461" s="163" t="str">
        <f t="shared" si="35"/>
        <v/>
      </c>
      <c r="O461" s="126" t="str">
        <f t="shared" si="36"/>
        <v>-</v>
      </c>
      <c r="P461" s="164"/>
      <c r="Q461" s="164"/>
      <c r="R461" s="164"/>
      <c r="S461" s="164"/>
      <c r="T461" s="164"/>
      <c r="U461" s="164"/>
      <c r="V461" s="164"/>
    </row>
    <row r="462" spans="1:22" ht="27" customHeight="1">
      <c r="A462" s="192" t="str">
        <f>IF(ISBLANK(C462)," ",457-COUNTBLANK($C$6:C462))</f>
        <v xml:space="preserve"> </v>
      </c>
      <c r="B462" s="178"/>
      <c r="C462" s="178"/>
      <c r="D462" s="193"/>
      <c r="E462" s="193"/>
      <c r="F462" s="180"/>
      <c r="G462" s="180"/>
      <c r="H462" s="180"/>
      <c r="I462" s="180"/>
      <c r="J462" s="180"/>
      <c r="K462" s="180"/>
      <c r="L462" s="180"/>
      <c r="M462" s="181"/>
      <c r="N462" s="163" t="str">
        <f t="shared" si="35"/>
        <v/>
      </c>
      <c r="O462" s="126" t="str">
        <f t="shared" si="36"/>
        <v>-</v>
      </c>
      <c r="P462" s="164"/>
      <c r="Q462" s="164"/>
      <c r="R462" s="164"/>
      <c r="S462" s="164"/>
      <c r="T462" s="164"/>
      <c r="U462" s="164"/>
      <c r="V462" s="165"/>
    </row>
    <row r="463" spans="1:22" ht="27" customHeight="1">
      <c r="A463" s="192" t="str">
        <f>IF(ISBLANK(C463)," ",458-COUNTBLANK($C$6:C463))</f>
        <v xml:space="preserve"> </v>
      </c>
      <c r="B463" s="178"/>
      <c r="C463" s="178"/>
      <c r="D463" s="193"/>
      <c r="E463" s="193"/>
      <c r="F463" s="180"/>
      <c r="G463" s="180"/>
      <c r="H463" s="180"/>
      <c r="I463" s="180"/>
      <c r="J463" s="180"/>
      <c r="K463" s="180"/>
      <c r="L463" s="180"/>
      <c r="M463" s="181"/>
      <c r="N463" s="163" t="str">
        <f t="shared" si="35"/>
        <v/>
      </c>
      <c r="O463" s="126" t="str">
        <f t="shared" si="36"/>
        <v>-</v>
      </c>
      <c r="P463" s="164"/>
      <c r="Q463" s="164"/>
      <c r="R463" s="164"/>
      <c r="S463" s="164"/>
      <c r="T463" s="164"/>
      <c r="U463" s="164"/>
      <c r="V463" s="165"/>
    </row>
    <row r="464" spans="1:22" ht="27" customHeight="1">
      <c r="A464" s="192" t="str">
        <f>IF(ISBLANK(C464)," ",459-COUNTBLANK($C$6:C464))</f>
        <v xml:space="preserve"> </v>
      </c>
      <c r="B464" s="178"/>
      <c r="C464" s="178"/>
      <c r="D464" s="193"/>
      <c r="E464" s="193"/>
      <c r="F464" s="180"/>
      <c r="G464" s="180"/>
      <c r="H464" s="180"/>
      <c r="I464" s="180"/>
      <c r="J464" s="180"/>
      <c r="K464" s="180"/>
      <c r="L464" s="180"/>
      <c r="M464" s="181"/>
      <c r="N464" s="163" t="str">
        <f t="shared" si="35"/>
        <v/>
      </c>
      <c r="O464" s="126" t="str">
        <f t="shared" si="36"/>
        <v>-</v>
      </c>
      <c r="P464" s="164"/>
      <c r="Q464" s="164"/>
      <c r="R464" s="164"/>
      <c r="S464" s="164"/>
      <c r="T464" s="164"/>
      <c r="U464" s="164"/>
      <c r="V464" s="165"/>
    </row>
    <row r="465" spans="1:25" ht="27" customHeight="1">
      <c r="A465" s="192" t="str">
        <f>IF(ISBLANK(C465)," ",460-COUNTBLANK($C$6:C465))</f>
        <v xml:space="preserve"> </v>
      </c>
      <c r="B465" s="178"/>
      <c r="C465" s="178"/>
      <c r="D465" s="193"/>
      <c r="E465" s="193"/>
      <c r="F465" s="180"/>
      <c r="G465" s="180"/>
      <c r="H465" s="180"/>
      <c r="I465" s="180"/>
      <c r="J465" s="180"/>
      <c r="K465" s="180"/>
      <c r="L465" s="180"/>
      <c r="M465" s="181"/>
      <c r="N465" s="163" t="str">
        <f t="shared" si="35"/>
        <v/>
      </c>
      <c r="O465" s="126" t="str">
        <f t="shared" si="36"/>
        <v>-</v>
      </c>
      <c r="P465" s="164"/>
      <c r="Q465" s="164"/>
      <c r="R465" s="164"/>
      <c r="S465" s="164"/>
      <c r="T465" s="164"/>
      <c r="U465" s="164"/>
      <c r="V465" s="165"/>
    </row>
    <row r="466" spans="1:25" ht="27" customHeight="1">
      <c r="A466" s="192" t="str">
        <f>IF(ISBLANK(C466)," ",461-COUNTBLANK($C$6:C466))</f>
        <v xml:space="preserve"> </v>
      </c>
      <c r="B466" s="178"/>
      <c r="C466" s="178"/>
      <c r="D466" s="193"/>
      <c r="E466" s="193"/>
      <c r="F466" s="180"/>
      <c r="G466" s="180"/>
      <c r="H466" s="180"/>
      <c r="I466" s="180"/>
      <c r="J466" s="180"/>
      <c r="K466" s="180"/>
      <c r="L466" s="180"/>
      <c r="M466" s="181"/>
      <c r="N466" s="163" t="str">
        <f t="shared" si="35"/>
        <v/>
      </c>
      <c r="O466" s="126" t="str">
        <f t="shared" si="36"/>
        <v>-</v>
      </c>
      <c r="P466" s="164"/>
      <c r="Q466" s="164"/>
      <c r="R466" s="164"/>
      <c r="S466" s="164"/>
      <c r="T466" s="164"/>
      <c r="U466" s="164"/>
      <c r="V466" s="166"/>
      <c r="W466" s="164"/>
      <c r="X466" s="164"/>
      <c r="Y466" s="164"/>
    </row>
    <row r="467" spans="1:25" ht="27" customHeight="1">
      <c r="A467" s="172" t="s">
        <v>44</v>
      </c>
      <c r="B467" s="173"/>
      <c r="C467" s="174"/>
      <c r="D467" s="194"/>
      <c r="E467" s="194">
        <f>SUM(E447:E466)</f>
        <v>0</v>
      </c>
      <c r="F467" s="176"/>
      <c r="G467" s="176"/>
      <c r="H467" s="176"/>
      <c r="I467" s="176"/>
      <c r="J467" s="176"/>
      <c r="K467" s="176"/>
      <c r="L467" s="176"/>
      <c r="M467" s="177"/>
      <c r="N467" s="163" t="str">
        <f t="shared" si="35"/>
        <v/>
      </c>
      <c r="O467" s="126"/>
      <c r="P467" s="164"/>
      <c r="Q467" s="164"/>
      <c r="R467" s="164"/>
      <c r="S467" s="164"/>
      <c r="T467" s="164"/>
      <c r="U467" s="164"/>
      <c r="V467" s="166"/>
      <c r="W467" s="164"/>
      <c r="X467" s="164"/>
      <c r="Y467" s="164"/>
    </row>
    <row r="468" spans="1:25" ht="27" customHeight="1">
      <c r="A468" s="187" t="str">
        <f>IF(ISBLANK(C468)," ",463-COUNTBLANK($C$6:C468))</f>
        <v xml:space="preserve"> </v>
      </c>
      <c r="B468" s="188"/>
      <c r="C468" s="188"/>
      <c r="D468" s="189"/>
      <c r="E468" s="189"/>
      <c r="F468" s="190"/>
      <c r="G468" s="190"/>
      <c r="H468" s="190"/>
      <c r="I468" s="190"/>
      <c r="J468" s="190"/>
      <c r="K468" s="190"/>
      <c r="L468" s="190"/>
      <c r="M468" s="191"/>
      <c r="N468" s="163" t="str">
        <f>CONCATENATE(C468,H468)</f>
        <v/>
      </c>
      <c r="O468" s="126" t="str">
        <f>IF(D468&gt;=E468,"-","ERR")</f>
        <v>-</v>
      </c>
      <c r="P468" s="164"/>
      <c r="Q468" s="164"/>
      <c r="R468" s="164"/>
      <c r="S468" s="164"/>
      <c r="T468" s="164"/>
      <c r="U468" s="164"/>
      <c r="V468" s="164"/>
    </row>
    <row r="469" spans="1:25" ht="27" customHeight="1">
      <c r="A469" s="192" t="str">
        <f>IF(ISBLANK(C469)," ",464-COUNTBLANK($C$6:C469))</f>
        <v xml:space="preserve"> </v>
      </c>
      <c r="B469" s="178"/>
      <c r="C469" s="178"/>
      <c r="D469" s="193"/>
      <c r="E469" s="193"/>
      <c r="F469" s="180"/>
      <c r="G469" s="180"/>
      <c r="H469" s="180"/>
      <c r="I469" s="180"/>
      <c r="J469" s="180"/>
      <c r="K469" s="180"/>
      <c r="L469" s="180"/>
      <c r="M469" s="181"/>
      <c r="N469" s="163" t="str">
        <f t="shared" ref="N469:N488" si="37">CONCATENATE(C469,H469)</f>
        <v/>
      </c>
      <c r="O469" s="126" t="str">
        <f t="shared" ref="O469:O487" si="38">IF(D469&gt;=E469,"-","ERR")</f>
        <v>-</v>
      </c>
      <c r="P469" s="164"/>
      <c r="Q469" s="164"/>
      <c r="R469" s="164"/>
      <c r="S469" s="164"/>
      <c r="T469" s="164"/>
      <c r="U469" s="164"/>
      <c r="V469" s="164"/>
    </row>
    <row r="470" spans="1:25" ht="27" customHeight="1">
      <c r="A470" s="192" t="str">
        <f>IF(ISBLANK(C470)," ",465-COUNTBLANK($C$6:C470))</f>
        <v xml:space="preserve"> </v>
      </c>
      <c r="B470" s="178"/>
      <c r="C470" s="178"/>
      <c r="D470" s="193"/>
      <c r="E470" s="193"/>
      <c r="F470" s="180"/>
      <c r="G470" s="180"/>
      <c r="H470" s="180"/>
      <c r="I470" s="180"/>
      <c r="J470" s="180"/>
      <c r="K470" s="180"/>
      <c r="L470" s="180"/>
      <c r="M470" s="181"/>
      <c r="N470" s="163" t="str">
        <f t="shared" si="37"/>
        <v/>
      </c>
      <c r="O470" s="126" t="str">
        <f t="shared" si="38"/>
        <v>-</v>
      </c>
      <c r="P470" s="164"/>
      <c r="Q470" s="164"/>
      <c r="R470" s="164"/>
      <c r="S470" s="164"/>
      <c r="T470" s="164"/>
      <c r="U470" s="164"/>
      <c r="V470" s="164"/>
    </row>
    <row r="471" spans="1:25" ht="27" customHeight="1">
      <c r="A471" s="192" t="str">
        <f>IF(ISBLANK(C471)," ",466-COUNTBLANK($C$6:C471))</f>
        <v xml:space="preserve"> </v>
      </c>
      <c r="B471" s="178"/>
      <c r="C471" s="178"/>
      <c r="D471" s="193"/>
      <c r="E471" s="193"/>
      <c r="F471" s="180"/>
      <c r="G471" s="180"/>
      <c r="H471" s="180"/>
      <c r="I471" s="180"/>
      <c r="J471" s="180"/>
      <c r="K471" s="180"/>
      <c r="L471" s="180"/>
      <c r="M471" s="181"/>
      <c r="N471" s="163" t="str">
        <f t="shared" si="37"/>
        <v/>
      </c>
      <c r="O471" s="126" t="str">
        <f t="shared" si="38"/>
        <v>-</v>
      </c>
      <c r="P471" s="164"/>
      <c r="Q471" s="164"/>
      <c r="R471" s="164"/>
      <c r="S471" s="164"/>
      <c r="T471" s="164"/>
      <c r="U471" s="164"/>
      <c r="V471" s="164"/>
    </row>
    <row r="472" spans="1:25" ht="27" customHeight="1">
      <c r="A472" s="192" t="str">
        <f>IF(ISBLANK(C472)," ",467-COUNTBLANK($C$6:C472))</f>
        <v xml:space="preserve"> </v>
      </c>
      <c r="B472" s="178"/>
      <c r="C472" s="178"/>
      <c r="D472" s="193"/>
      <c r="E472" s="193"/>
      <c r="F472" s="180"/>
      <c r="G472" s="180"/>
      <c r="H472" s="180"/>
      <c r="I472" s="180"/>
      <c r="J472" s="180"/>
      <c r="K472" s="180"/>
      <c r="L472" s="180"/>
      <c r="M472" s="181"/>
      <c r="N472" s="163" t="str">
        <f t="shared" si="37"/>
        <v/>
      </c>
      <c r="O472" s="126" t="str">
        <f t="shared" si="38"/>
        <v>-</v>
      </c>
      <c r="P472" s="164"/>
      <c r="Q472" s="164"/>
      <c r="R472" s="164"/>
      <c r="S472" s="164"/>
      <c r="T472" s="164"/>
      <c r="U472" s="164"/>
      <c r="V472" s="164"/>
    </row>
    <row r="473" spans="1:25" ht="27" customHeight="1">
      <c r="A473" s="192" t="str">
        <f>IF(ISBLANK(C473)," ",468-COUNTBLANK($C$6:C473))</f>
        <v xml:space="preserve"> </v>
      </c>
      <c r="B473" s="178"/>
      <c r="C473" s="178"/>
      <c r="D473" s="193"/>
      <c r="E473" s="193"/>
      <c r="F473" s="180"/>
      <c r="G473" s="180"/>
      <c r="H473" s="180"/>
      <c r="I473" s="180"/>
      <c r="J473" s="180"/>
      <c r="K473" s="180"/>
      <c r="L473" s="180"/>
      <c r="M473" s="181"/>
      <c r="N473" s="163" t="str">
        <f t="shared" si="37"/>
        <v/>
      </c>
      <c r="O473" s="126" t="str">
        <f t="shared" si="38"/>
        <v>-</v>
      </c>
      <c r="P473" s="164"/>
      <c r="Q473" s="164"/>
      <c r="R473" s="164"/>
      <c r="S473" s="164"/>
      <c r="T473" s="164"/>
      <c r="U473" s="164"/>
      <c r="V473" s="164"/>
    </row>
    <row r="474" spans="1:25" ht="27" customHeight="1">
      <c r="A474" s="192" t="str">
        <f>IF(ISBLANK(C474)," ",469-COUNTBLANK($C$6:C474))</f>
        <v xml:space="preserve"> </v>
      </c>
      <c r="B474" s="178"/>
      <c r="C474" s="178"/>
      <c r="D474" s="193"/>
      <c r="E474" s="193"/>
      <c r="F474" s="180"/>
      <c r="G474" s="180"/>
      <c r="H474" s="180"/>
      <c r="I474" s="180"/>
      <c r="J474" s="180"/>
      <c r="K474" s="180"/>
      <c r="L474" s="180"/>
      <c r="M474" s="181"/>
      <c r="N474" s="163" t="str">
        <f t="shared" si="37"/>
        <v/>
      </c>
      <c r="O474" s="126" t="str">
        <f t="shared" si="38"/>
        <v>-</v>
      </c>
      <c r="P474" s="164"/>
      <c r="Q474" s="164"/>
      <c r="R474" s="164"/>
      <c r="S474" s="164"/>
      <c r="T474" s="164"/>
      <c r="U474" s="164"/>
      <c r="V474" s="164"/>
    </row>
    <row r="475" spans="1:25" ht="27" customHeight="1">
      <c r="A475" s="192" t="str">
        <f>IF(ISBLANK(C475)," ",470-COUNTBLANK($C$6:C475))</f>
        <v xml:space="preserve"> </v>
      </c>
      <c r="B475" s="178"/>
      <c r="C475" s="178"/>
      <c r="D475" s="193"/>
      <c r="E475" s="193"/>
      <c r="F475" s="180"/>
      <c r="G475" s="180"/>
      <c r="H475" s="180"/>
      <c r="I475" s="180"/>
      <c r="J475" s="180"/>
      <c r="K475" s="180"/>
      <c r="L475" s="180"/>
      <c r="M475" s="181"/>
      <c r="N475" s="163" t="str">
        <f t="shared" si="37"/>
        <v/>
      </c>
      <c r="O475" s="126" t="str">
        <f t="shared" si="38"/>
        <v>-</v>
      </c>
      <c r="P475" s="164"/>
      <c r="Q475" s="164"/>
      <c r="R475" s="164"/>
      <c r="S475" s="164"/>
      <c r="T475" s="164"/>
      <c r="U475" s="164"/>
      <c r="V475" s="164"/>
    </row>
    <row r="476" spans="1:25" ht="27" customHeight="1">
      <c r="A476" s="192" t="str">
        <f>IF(ISBLANK(C476)," ",471-COUNTBLANK($C$6:C476))</f>
        <v xml:space="preserve"> </v>
      </c>
      <c r="B476" s="178"/>
      <c r="C476" s="178"/>
      <c r="D476" s="193"/>
      <c r="E476" s="193"/>
      <c r="F476" s="180"/>
      <c r="G476" s="180"/>
      <c r="H476" s="180"/>
      <c r="I476" s="180"/>
      <c r="J476" s="180"/>
      <c r="K476" s="180"/>
      <c r="L476" s="180"/>
      <c r="M476" s="181"/>
      <c r="N476" s="163" t="str">
        <f t="shared" si="37"/>
        <v/>
      </c>
      <c r="O476" s="126" t="str">
        <f t="shared" si="38"/>
        <v>-</v>
      </c>
      <c r="P476" s="164"/>
      <c r="Q476" s="164"/>
      <c r="R476" s="164"/>
      <c r="S476" s="164"/>
      <c r="T476" s="164"/>
      <c r="U476" s="164"/>
      <c r="V476" s="164"/>
    </row>
    <row r="477" spans="1:25" ht="27" customHeight="1">
      <c r="A477" s="192" t="str">
        <f>IF(ISBLANK(C477)," ",472-COUNTBLANK($C$6:C477))</f>
        <v xml:space="preserve"> </v>
      </c>
      <c r="B477" s="178"/>
      <c r="C477" s="178"/>
      <c r="D477" s="193"/>
      <c r="E477" s="193"/>
      <c r="F477" s="180"/>
      <c r="G477" s="180"/>
      <c r="H477" s="180"/>
      <c r="I477" s="180"/>
      <c r="J477" s="180"/>
      <c r="K477" s="180"/>
      <c r="L477" s="180"/>
      <c r="M477" s="181"/>
      <c r="N477" s="163" t="str">
        <f t="shared" si="37"/>
        <v/>
      </c>
      <c r="O477" s="126" t="str">
        <f t="shared" si="38"/>
        <v>-</v>
      </c>
      <c r="P477" s="164"/>
      <c r="Q477" s="164"/>
      <c r="R477" s="164"/>
      <c r="S477" s="164"/>
      <c r="T477" s="164"/>
      <c r="U477" s="164"/>
      <c r="V477" s="164"/>
    </row>
    <row r="478" spans="1:25" ht="27" customHeight="1">
      <c r="A478" s="192" t="str">
        <f>IF(ISBLANK(C478)," ",473-COUNTBLANK($C$6:C478))</f>
        <v xml:space="preserve"> </v>
      </c>
      <c r="B478" s="178"/>
      <c r="C478" s="178"/>
      <c r="D478" s="193"/>
      <c r="E478" s="193"/>
      <c r="F478" s="180"/>
      <c r="G478" s="180"/>
      <c r="H478" s="180"/>
      <c r="I478" s="180"/>
      <c r="J478" s="180"/>
      <c r="K478" s="180"/>
      <c r="L478" s="180"/>
      <c r="M478" s="181"/>
      <c r="N478" s="163" t="str">
        <f t="shared" si="37"/>
        <v/>
      </c>
      <c r="O478" s="126" t="str">
        <f t="shared" si="38"/>
        <v>-</v>
      </c>
      <c r="P478" s="164"/>
      <c r="Q478" s="164"/>
      <c r="R478" s="164"/>
      <c r="S478" s="164"/>
      <c r="T478" s="164"/>
      <c r="U478" s="164"/>
      <c r="V478" s="164"/>
    </row>
    <row r="479" spans="1:25" ht="27" customHeight="1">
      <c r="A479" s="192" t="str">
        <f>IF(ISBLANK(C479)," ",474-COUNTBLANK($C$6:C479))</f>
        <v xml:space="preserve"> </v>
      </c>
      <c r="B479" s="178"/>
      <c r="C479" s="178"/>
      <c r="D479" s="193"/>
      <c r="E479" s="193"/>
      <c r="F479" s="180"/>
      <c r="G479" s="180"/>
      <c r="H479" s="180"/>
      <c r="I479" s="180"/>
      <c r="J479" s="180"/>
      <c r="K479" s="180"/>
      <c r="L479" s="180"/>
      <c r="M479" s="181"/>
      <c r="N479" s="163" t="str">
        <f t="shared" si="37"/>
        <v/>
      </c>
      <c r="O479" s="126" t="str">
        <f t="shared" si="38"/>
        <v>-</v>
      </c>
      <c r="P479" s="164"/>
      <c r="Q479" s="164"/>
      <c r="R479" s="164"/>
      <c r="S479" s="164"/>
      <c r="T479" s="164"/>
      <c r="U479" s="164"/>
      <c r="V479" s="164"/>
    </row>
    <row r="480" spans="1:25" ht="27" customHeight="1">
      <c r="A480" s="192" t="str">
        <f>IF(ISBLANK(C480)," ",475-COUNTBLANK($C$6:C480))</f>
        <v xml:space="preserve"> </v>
      </c>
      <c r="B480" s="178"/>
      <c r="C480" s="178"/>
      <c r="D480" s="193"/>
      <c r="E480" s="193"/>
      <c r="F480" s="180"/>
      <c r="G480" s="180"/>
      <c r="H480" s="180"/>
      <c r="I480" s="180"/>
      <c r="J480" s="180"/>
      <c r="K480" s="180"/>
      <c r="L480" s="180"/>
      <c r="M480" s="181"/>
      <c r="N480" s="163" t="str">
        <f t="shared" si="37"/>
        <v/>
      </c>
      <c r="O480" s="126" t="str">
        <f t="shared" si="38"/>
        <v>-</v>
      </c>
      <c r="P480" s="164"/>
      <c r="Q480" s="164"/>
      <c r="R480" s="164"/>
      <c r="S480" s="164"/>
      <c r="T480" s="164"/>
      <c r="U480" s="164"/>
      <c r="V480" s="164"/>
    </row>
    <row r="481" spans="1:25" ht="27" customHeight="1">
      <c r="A481" s="192" t="str">
        <f>IF(ISBLANK(C481)," ",476-COUNTBLANK($C$6:C481))</f>
        <v xml:space="preserve"> </v>
      </c>
      <c r="B481" s="178"/>
      <c r="C481" s="178"/>
      <c r="D481" s="193"/>
      <c r="E481" s="193"/>
      <c r="F481" s="180"/>
      <c r="G481" s="180"/>
      <c r="H481" s="180"/>
      <c r="I481" s="180"/>
      <c r="J481" s="180"/>
      <c r="K481" s="180"/>
      <c r="L481" s="180"/>
      <c r="M481" s="181"/>
      <c r="N481" s="163" t="str">
        <f t="shared" si="37"/>
        <v/>
      </c>
      <c r="O481" s="126" t="str">
        <f t="shared" si="38"/>
        <v>-</v>
      </c>
      <c r="P481" s="164"/>
      <c r="Q481" s="164"/>
      <c r="R481" s="164"/>
      <c r="S481" s="164"/>
      <c r="T481" s="164"/>
      <c r="U481" s="164"/>
      <c r="V481" s="164"/>
    </row>
    <row r="482" spans="1:25" ht="27" customHeight="1">
      <c r="A482" s="192" t="str">
        <f>IF(ISBLANK(C482)," ",477-COUNTBLANK($C$6:C482))</f>
        <v xml:space="preserve"> </v>
      </c>
      <c r="B482" s="178"/>
      <c r="C482" s="178"/>
      <c r="D482" s="193"/>
      <c r="E482" s="193"/>
      <c r="F482" s="180"/>
      <c r="G482" s="180"/>
      <c r="H482" s="180"/>
      <c r="I482" s="180"/>
      <c r="J482" s="180"/>
      <c r="K482" s="180"/>
      <c r="L482" s="180"/>
      <c r="M482" s="181"/>
      <c r="N482" s="163" t="str">
        <f t="shared" si="37"/>
        <v/>
      </c>
      <c r="O482" s="126" t="str">
        <f t="shared" si="38"/>
        <v>-</v>
      </c>
      <c r="P482" s="164"/>
      <c r="Q482" s="164"/>
      <c r="R482" s="164"/>
      <c r="S482" s="164"/>
      <c r="T482" s="164"/>
      <c r="U482" s="164"/>
      <c r="V482" s="164"/>
    </row>
    <row r="483" spans="1:25" ht="27" customHeight="1">
      <c r="A483" s="192" t="str">
        <f>IF(ISBLANK(C483)," ",478-COUNTBLANK($C$6:C483))</f>
        <v xml:space="preserve"> </v>
      </c>
      <c r="B483" s="178"/>
      <c r="C483" s="178"/>
      <c r="D483" s="193"/>
      <c r="E483" s="193"/>
      <c r="F483" s="180"/>
      <c r="G483" s="180"/>
      <c r="H483" s="180"/>
      <c r="I483" s="180"/>
      <c r="J483" s="180"/>
      <c r="K483" s="180"/>
      <c r="L483" s="180"/>
      <c r="M483" s="181"/>
      <c r="N483" s="163" t="str">
        <f t="shared" si="37"/>
        <v/>
      </c>
      <c r="O483" s="126" t="str">
        <f t="shared" si="38"/>
        <v>-</v>
      </c>
      <c r="P483" s="164"/>
      <c r="Q483" s="164"/>
      <c r="R483" s="164"/>
      <c r="S483" s="164"/>
      <c r="T483" s="164"/>
      <c r="U483" s="164"/>
      <c r="V483" s="165"/>
    </row>
    <row r="484" spans="1:25" ht="27" customHeight="1">
      <c r="A484" s="192" t="str">
        <f>IF(ISBLANK(C484)," ",479-COUNTBLANK($C$6:C484))</f>
        <v xml:space="preserve"> </v>
      </c>
      <c r="B484" s="178"/>
      <c r="C484" s="178"/>
      <c r="D484" s="193"/>
      <c r="E484" s="193"/>
      <c r="F484" s="180"/>
      <c r="G484" s="180"/>
      <c r="H484" s="180"/>
      <c r="I484" s="180"/>
      <c r="J484" s="180"/>
      <c r="K484" s="180"/>
      <c r="L484" s="180"/>
      <c r="M484" s="181"/>
      <c r="N484" s="163" t="str">
        <f t="shared" si="37"/>
        <v/>
      </c>
      <c r="O484" s="126" t="str">
        <f t="shared" si="38"/>
        <v>-</v>
      </c>
      <c r="P484" s="164"/>
      <c r="Q484" s="164"/>
      <c r="R484" s="164"/>
      <c r="S484" s="164"/>
      <c r="T484" s="164"/>
      <c r="U484" s="164"/>
      <c r="V484" s="165"/>
    </row>
    <row r="485" spans="1:25" ht="27" customHeight="1">
      <c r="A485" s="192" t="str">
        <f>IF(ISBLANK(C485)," ",480-COUNTBLANK($C$6:C485))</f>
        <v xml:space="preserve"> </v>
      </c>
      <c r="B485" s="178"/>
      <c r="C485" s="178"/>
      <c r="D485" s="193"/>
      <c r="E485" s="193"/>
      <c r="F485" s="180"/>
      <c r="G485" s="180"/>
      <c r="H485" s="180"/>
      <c r="I485" s="180"/>
      <c r="J485" s="180"/>
      <c r="K485" s="180"/>
      <c r="L485" s="180"/>
      <c r="M485" s="181"/>
      <c r="N485" s="163" t="str">
        <f t="shared" si="37"/>
        <v/>
      </c>
      <c r="O485" s="126" t="str">
        <f t="shared" si="38"/>
        <v>-</v>
      </c>
      <c r="P485" s="164"/>
      <c r="Q485" s="164"/>
      <c r="R485" s="164"/>
      <c r="S485" s="164"/>
      <c r="T485" s="164"/>
      <c r="U485" s="164"/>
      <c r="V485" s="165"/>
    </row>
    <row r="486" spans="1:25" ht="27" customHeight="1">
      <c r="A486" s="192" t="str">
        <f>IF(ISBLANK(C486)," ",481-COUNTBLANK($C$6:C486))</f>
        <v xml:space="preserve"> </v>
      </c>
      <c r="B486" s="178"/>
      <c r="C486" s="178"/>
      <c r="D486" s="193"/>
      <c r="E486" s="193"/>
      <c r="F486" s="180"/>
      <c r="G486" s="180"/>
      <c r="H486" s="180"/>
      <c r="I486" s="180"/>
      <c r="J486" s="180"/>
      <c r="K486" s="180"/>
      <c r="L486" s="180"/>
      <c r="M486" s="181"/>
      <c r="N486" s="163" t="str">
        <f t="shared" si="37"/>
        <v/>
      </c>
      <c r="O486" s="126" t="str">
        <f t="shared" si="38"/>
        <v>-</v>
      </c>
      <c r="P486" s="164"/>
      <c r="Q486" s="164"/>
      <c r="R486" s="164"/>
      <c r="S486" s="164"/>
      <c r="T486" s="164"/>
      <c r="U486" s="164"/>
      <c r="V486" s="165"/>
    </row>
    <row r="487" spans="1:25" ht="27" customHeight="1">
      <c r="A487" s="192" t="str">
        <f>IF(ISBLANK(C487)," ",482-COUNTBLANK($C$6:C487))</f>
        <v xml:space="preserve"> </v>
      </c>
      <c r="B487" s="178"/>
      <c r="C487" s="178"/>
      <c r="D487" s="193"/>
      <c r="E487" s="193"/>
      <c r="F487" s="180"/>
      <c r="G487" s="180"/>
      <c r="H487" s="180"/>
      <c r="I487" s="180"/>
      <c r="J487" s="180"/>
      <c r="K487" s="180"/>
      <c r="L487" s="180"/>
      <c r="M487" s="181"/>
      <c r="N487" s="163" t="str">
        <f t="shared" si="37"/>
        <v/>
      </c>
      <c r="O487" s="126" t="str">
        <f t="shared" si="38"/>
        <v>-</v>
      </c>
      <c r="P487" s="164"/>
      <c r="Q487" s="164"/>
      <c r="R487" s="164"/>
      <c r="S487" s="164"/>
      <c r="T487" s="164"/>
      <c r="U487" s="164"/>
      <c r="V487" s="166"/>
      <c r="W487" s="164"/>
      <c r="X487" s="164"/>
      <c r="Y487" s="164"/>
    </row>
    <row r="488" spans="1:25" ht="27" customHeight="1">
      <c r="A488" s="172" t="s">
        <v>44</v>
      </c>
      <c r="B488" s="173"/>
      <c r="C488" s="174"/>
      <c r="D488" s="194"/>
      <c r="E488" s="194">
        <f>SUM(E468:E487)</f>
        <v>0</v>
      </c>
      <c r="F488" s="176"/>
      <c r="G488" s="176"/>
      <c r="H488" s="176"/>
      <c r="I488" s="176"/>
      <c r="J488" s="176"/>
      <c r="K488" s="176"/>
      <c r="L488" s="176"/>
      <c r="M488" s="177"/>
      <c r="N488" s="163" t="str">
        <f t="shared" si="37"/>
        <v/>
      </c>
      <c r="O488" s="126"/>
      <c r="P488" s="164"/>
      <c r="Q488" s="164"/>
      <c r="R488" s="164"/>
      <c r="S488" s="164"/>
      <c r="T488" s="164"/>
      <c r="U488" s="164"/>
      <c r="V488" s="166"/>
      <c r="W488" s="164"/>
      <c r="X488" s="164"/>
      <c r="Y488" s="164"/>
    </row>
    <row r="489" spans="1:25" ht="27" customHeight="1">
      <c r="A489" s="187" t="str">
        <f>IF(ISBLANK(C489)," ",484-COUNTBLANK($C$6:C489))</f>
        <v xml:space="preserve"> </v>
      </c>
      <c r="B489" s="188"/>
      <c r="C489" s="188"/>
      <c r="D489" s="189"/>
      <c r="E489" s="189"/>
      <c r="F489" s="190"/>
      <c r="G489" s="190"/>
      <c r="H489" s="190"/>
      <c r="I489" s="190"/>
      <c r="J489" s="190"/>
      <c r="K489" s="190"/>
      <c r="L489" s="190"/>
      <c r="M489" s="191"/>
      <c r="N489" s="163" t="str">
        <f>CONCATENATE(C489,H489)</f>
        <v/>
      </c>
      <c r="O489" s="126" t="str">
        <f>IF(D489&gt;=E489,"-","ERR")</f>
        <v>-</v>
      </c>
      <c r="P489" s="164"/>
      <c r="Q489" s="164"/>
      <c r="R489" s="164"/>
      <c r="S489" s="164"/>
      <c r="T489" s="164"/>
      <c r="U489" s="164"/>
      <c r="V489" s="164"/>
    </row>
    <row r="490" spans="1:25" ht="27" customHeight="1">
      <c r="A490" s="192" t="str">
        <f>IF(ISBLANK(C490)," ",485-COUNTBLANK($C$6:C490))</f>
        <v xml:space="preserve"> </v>
      </c>
      <c r="B490" s="178"/>
      <c r="C490" s="178"/>
      <c r="D490" s="193"/>
      <c r="E490" s="193"/>
      <c r="F490" s="180"/>
      <c r="G490" s="180"/>
      <c r="H490" s="180"/>
      <c r="I490" s="180"/>
      <c r="J490" s="180"/>
      <c r="K490" s="180"/>
      <c r="L490" s="180"/>
      <c r="M490" s="181"/>
      <c r="N490" s="163" t="str">
        <f t="shared" ref="N490:N509" si="39">CONCATENATE(C490,H490)</f>
        <v/>
      </c>
      <c r="O490" s="126" t="str">
        <f t="shared" ref="O490:O508" si="40">IF(D490&gt;=E490,"-","ERR")</f>
        <v>-</v>
      </c>
      <c r="P490" s="164"/>
      <c r="Q490" s="164"/>
      <c r="R490" s="164"/>
      <c r="S490" s="164"/>
      <c r="T490" s="164"/>
      <c r="U490" s="164"/>
      <c r="V490" s="164"/>
    </row>
    <row r="491" spans="1:25" ht="27" customHeight="1">
      <c r="A491" s="192" t="str">
        <f>IF(ISBLANK(C491)," ",486-COUNTBLANK($C$6:C491))</f>
        <v xml:space="preserve"> </v>
      </c>
      <c r="B491" s="178"/>
      <c r="C491" s="178"/>
      <c r="D491" s="193"/>
      <c r="E491" s="193"/>
      <c r="F491" s="180"/>
      <c r="G491" s="180"/>
      <c r="H491" s="180"/>
      <c r="I491" s="180"/>
      <c r="J491" s="180"/>
      <c r="K491" s="180"/>
      <c r="L491" s="180"/>
      <c r="M491" s="181"/>
      <c r="N491" s="163" t="str">
        <f t="shared" si="39"/>
        <v/>
      </c>
      <c r="O491" s="126" t="str">
        <f t="shared" si="40"/>
        <v>-</v>
      </c>
      <c r="P491" s="164"/>
      <c r="Q491" s="164"/>
      <c r="R491" s="164"/>
      <c r="S491" s="164"/>
      <c r="T491" s="164"/>
      <c r="U491" s="164"/>
      <c r="V491" s="164"/>
    </row>
    <row r="492" spans="1:25" ht="27" customHeight="1">
      <c r="A492" s="192" t="str">
        <f>IF(ISBLANK(C492)," ",487-COUNTBLANK($C$6:C492))</f>
        <v xml:space="preserve"> </v>
      </c>
      <c r="B492" s="178"/>
      <c r="C492" s="178"/>
      <c r="D492" s="193"/>
      <c r="E492" s="193"/>
      <c r="F492" s="180"/>
      <c r="G492" s="180"/>
      <c r="H492" s="180"/>
      <c r="I492" s="180"/>
      <c r="J492" s="180"/>
      <c r="K492" s="180"/>
      <c r="L492" s="180"/>
      <c r="M492" s="181"/>
      <c r="N492" s="163" t="str">
        <f t="shared" si="39"/>
        <v/>
      </c>
      <c r="O492" s="126" t="str">
        <f t="shared" si="40"/>
        <v>-</v>
      </c>
      <c r="P492" s="164"/>
      <c r="Q492" s="164"/>
      <c r="R492" s="164"/>
      <c r="S492" s="164"/>
      <c r="T492" s="164"/>
      <c r="U492" s="164"/>
      <c r="V492" s="164"/>
    </row>
    <row r="493" spans="1:25" ht="27" customHeight="1">
      <c r="A493" s="192" t="str">
        <f>IF(ISBLANK(C493)," ",488-COUNTBLANK($C$6:C493))</f>
        <v xml:space="preserve"> </v>
      </c>
      <c r="B493" s="178"/>
      <c r="C493" s="178"/>
      <c r="D493" s="193"/>
      <c r="E493" s="193"/>
      <c r="F493" s="180"/>
      <c r="G493" s="180"/>
      <c r="H493" s="180"/>
      <c r="I493" s="180"/>
      <c r="J493" s="180"/>
      <c r="K493" s="180"/>
      <c r="L493" s="180"/>
      <c r="M493" s="181"/>
      <c r="N493" s="163" t="str">
        <f t="shared" si="39"/>
        <v/>
      </c>
      <c r="O493" s="126" t="str">
        <f t="shared" si="40"/>
        <v>-</v>
      </c>
      <c r="P493" s="164"/>
      <c r="Q493" s="164"/>
      <c r="R493" s="164"/>
      <c r="S493" s="164"/>
      <c r="T493" s="164"/>
      <c r="U493" s="164"/>
      <c r="V493" s="164"/>
    </row>
    <row r="494" spans="1:25" ht="27" customHeight="1">
      <c r="A494" s="192" t="str">
        <f>IF(ISBLANK(C494)," ",489-COUNTBLANK($C$6:C494))</f>
        <v xml:space="preserve"> </v>
      </c>
      <c r="B494" s="178"/>
      <c r="C494" s="178"/>
      <c r="D494" s="193"/>
      <c r="E494" s="193"/>
      <c r="F494" s="180"/>
      <c r="G494" s="180"/>
      <c r="H494" s="180"/>
      <c r="I494" s="180"/>
      <c r="J494" s="180"/>
      <c r="K494" s="180"/>
      <c r="L494" s="180"/>
      <c r="M494" s="181"/>
      <c r="N494" s="163" t="str">
        <f t="shared" si="39"/>
        <v/>
      </c>
      <c r="O494" s="126" t="str">
        <f t="shared" si="40"/>
        <v>-</v>
      </c>
      <c r="P494" s="164"/>
      <c r="Q494" s="164"/>
      <c r="R494" s="164"/>
      <c r="S494" s="164"/>
      <c r="T494" s="164"/>
      <c r="U494" s="164"/>
      <c r="V494" s="164"/>
    </row>
    <row r="495" spans="1:25" ht="27" customHeight="1">
      <c r="A495" s="192" t="str">
        <f>IF(ISBLANK(C495)," ",490-COUNTBLANK($C$6:C495))</f>
        <v xml:space="preserve"> </v>
      </c>
      <c r="B495" s="178"/>
      <c r="C495" s="178"/>
      <c r="D495" s="193"/>
      <c r="E495" s="193"/>
      <c r="F495" s="180"/>
      <c r="G495" s="180"/>
      <c r="H495" s="180"/>
      <c r="I495" s="180"/>
      <c r="J495" s="180"/>
      <c r="K495" s="180"/>
      <c r="L495" s="180"/>
      <c r="M495" s="181"/>
      <c r="N495" s="163" t="str">
        <f t="shared" si="39"/>
        <v/>
      </c>
      <c r="O495" s="126" t="str">
        <f t="shared" si="40"/>
        <v>-</v>
      </c>
      <c r="P495" s="164"/>
      <c r="Q495" s="164"/>
      <c r="R495" s="164"/>
      <c r="S495" s="164"/>
      <c r="T495" s="164"/>
      <c r="U495" s="164"/>
      <c r="V495" s="164"/>
    </row>
    <row r="496" spans="1:25" ht="27" customHeight="1">
      <c r="A496" s="192" t="str">
        <f>IF(ISBLANK(C496)," ",491-COUNTBLANK($C$6:C496))</f>
        <v xml:space="preserve"> </v>
      </c>
      <c r="B496" s="178"/>
      <c r="C496" s="178"/>
      <c r="D496" s="193"/>
      <c r="E496" s="193"/>
      <c r="F496" s="180"/>
      <c r="G496" s="180"/>
      <c r="H496" s="180"/>
      <c r="I496" s="180"/>
      <c r="J496" s="180"/>
      <c r="K496" s="180"/>
      <c r="L496" s="180"/>
      <c r="M496" s="181"/>
      <c r="N496" s="163" t="str">
        <f t="shared" si="39"/>
        <v/>
      </c>
      <c r="O496" s="126" t="str">
        <f t="shared" si="40"/>
        <v>-</v>
      </c>
      <c r="P496" s="164"/>
      <c r="Q496" s="164"/>
      <c r="R496" s="164"/>
      <c r="S496" s="164"/>
      <c r="T496" s="164"/>
      <c r="U496" s="164"/>
      <c r="V496" s="164"/>
    </row>
    <row r="497" spans="1:25" ht="27" customHeight="1">
      <c r="A497" s="192" t="str">
        <f>IF(ISBLANK(C497)," ",492-COUNTBLANK($C$6:C497))</f>
        <v xml:space="preserve"> </v>
      </c>
      <c r="B497" s="178"/>
      <c r="C497" s="178"/>
      <c r="D497" s="193"/>
      <c r="E497" s="193"/>
      <c r="F497" s="180"/>
      <c r="G497" s="180"/>
      <c r="H497" s="180"/>
      <c r="I497" s="180"/>
      <c r="J497" s="180"/>
      <c r="K497" s="180"/>
      <c r="L497" s="180"/>
      <c r="M497" s="181"/>
      <c r="N497" s="163" t="str">
        <f t="shared" si="39"/>
        <v/>
      </c>
      <c r="O497" s="126" t="str">
        <f t="shared" si="40"/>
        <v>-</v>
      </c>
      <c r="P497" s="164"/>
      <c r="Q497" s="164"/>
      <c r="R497" s="164"/>
      <c r="S497" s="164"/>
      <c r="T497" s="164"/>
      <c r="U497" s="164"/>
      <c r="V497" s="164"/>
    </row>
    <row r="498" spans="1:25" ht="27" customHeight="1">
      <c r="A498" s="192" t="str">
        <f>IF(ISBLANK(C498)," ",493-COUNTBLANK($C$6:C498))</f>
        <v xml:space="preserve"> </v>
      </c>
      <c r="B498" s="178"/>
      <c r="C498" s="178"/>
      <c r="D498" s="193"/>
      <c r="E498" s="193"/>
      <c r="F498" s="180"/>
      <c r="G498" s="180"/>
      <c r="H498" s="180"/>
      <c r="I498" s="180"/>
      <c r="J498" s="180"/>
      <c r="K498" s="180"/>
      <c r="L498" s="180"/>
      <c r="M498" s="181"/>
      <c r="N498" s="163" t="str">
        <f t="shared" si="39"/>
        <v/>
      </c>
      <c r="O498" s="126" t="str">
        <f t="shared" si="40"/>
        <v>-</v>
      </c>
      <c r="P498" s="164"/>
      <c r="Q498" s="164"/>
      <c r="R498" s="164"/>
      <c r="S498" s="164"/>
      <c r="T498" s="164"/>
      <c r="U498" s="164"/>
      <c r="V498" s="164"/>
    </row>
    <row r="499" spans="1:25" ht="27" customHeight="1">
      <c r="A499" s="192" t="str">
        <f>IF(ISBLANK(C499)," ",494-COUNTBLANK($C$6:C499))</f>
        <v xml:space="preserve"> </v>
      </c>
      <c r="B499" s="178"/>
      <c r="C499" s="178"/>
      <c r="D499" s="193"/>
      <c r="E499" s="193"/>
      <c r="F499" s="180"/>
      <c r="G499" s="180"/>
      <c r="H499" s="180"/>
      <c r="I499" s="180"/>
      <c r="J499" s="180"/>
      <c r="K499" s="180"/>
      <c r="L499" s="180"/>
      <c r="M499" s="181"/>
      <c r="N499" s="163" t="str">
        <f t="shared" si="39"/>
        <v/>
      </c>
      <c r="O499" s="126" t="str">
        <f t="shared" si="40"/>
        <v>-</v>
      </c>
      <c r="P499" s="164"/>
      <c r="Q499" s="164"/>
      <c r="R499" s="164"/>
      <c r="S499" s="164"/>
      <c r="T499" s="164"/>
      <c r="U499" s="164"/>
      <c r="V499" s="164"/>
    </row>
    <row r="500" spans="1:25" ht="27" customHeight="1">
      <c r="A500" s="192" t="str">
        <f>IF(ISBLANK(C500)," ",495-COUNTBLANK($C$6:C500))</f>
        <v xml:space="preserve"> </v>
      </c>
      <c r="B500" s="178"/>
      <c r="C500" s="178"/>
      <c r="D500" s="193"/>
      <c r="E500" s="193"/>
      <c r="F500" s="180"/>
      <c r="G500" s="180"/>
      <c r="H500" s="180"/>
      <c r="I500" s="180"/>
      <c r="J500" s="180"/>
      <c r="K500" s="180"/>
      <c r="L500" s="180"/>
      <c r="M500" s="181"/>
      <c r="N500" s="163" t="str">
        <f t="shared" si="39"/>
        <v/>
      </c>
      <c r="O500" s="126" t="str">
        <f t="shared" si="40"/>
        <v>-</v>
      </c>
      <c r="P500" s="164"/>
      <c r="Q500" s="164"/>
      <c r="R500" s="164"/>
      <c r="S500" s="164"/>
      <c r="T500" s="164"/>
      <c r="U500" s="164"/>
      <c r="V500" s="164"/>
    </row>
    <row r="501" spans="1:25" ht="27" customHeight="1">
      <c r="A501" s="192" t="str">
        <f>IF(ISBLANK(C501)," ",496-COUNTBLANK($C$6:C501))</f>
        <v xml:space="preserve"> </v>
      </c>
      <c r="B501" s="178"/>
      <c r="C501" s="178"/>
      <c r="D501" s="193"/>
      <c r="E501" s="193"/>
      <c r="F501" s="180"/>
      <c r="G501" s="180"/>
      <c r="H501" s="180"/>
      <c r="I501" s="180"/>
      <c r="J501" s="180"/>
      <c r="K501" s="180"/>
      <c r="L501" s="180"/>
      <c r="M501" s="181"/>
      <c r="N501" s="163" t="str">
        <f t="shared" si="39"/>
        <v/>
      </c>
      <c r="O501" s="126" t="str">
        <f t="shared" si="40"/>
        <v>-</v>
      </c>
      <c r="P501" s="164"/>
      <c r="Q501" s="164"/>
      <c r="R501" s="164"/>
      <c r="S501" s="164"/>
      <c r="T501" s="164"/>
      <c r="U501" s="164"/>
      <c r="V501" s="164"/>
    </row>
    <row r="502" spans="1:25" ht="27" customHeight="1">
      <c r="A502" s="192" t="str">
        <f>IF(ISBLANK(C502)," ",497-COUNTBLANK($C$6:C502))</f>
        <v xml:space="preserve"> </v>
      </c>
      <c r="B502" s="178"/>
      <c r="C502" s="178"/>
      <c r="D502" s="193"/>
      <c r="E502" s="193"/>
      <c r="F502" s="180"/>
      <c r="G502" s="180"/>
      <c r="H502" s="180"/>
      <c r="I502" s="180"/>
      <c r="J502" s="180"/>
      <c r="K502" s="180"/>
      <c r="L502" s="180"/>
      <c r="M502" s="181"/>
      <c r="N502" s="163" t="str">
        <f t="shared" si="39"/>
        <v/>
      </c>
      <c r="O502" s="126" t="str">
        <f t="shared" si="40"/>
        <v>-</v>
      </c>
      <c r="P502" s="164"/>
      <c r="Q502" s="164"/>
      <c r="R502" s="164"/>
      <c r="S502" s="164"/>
      <c r="T502" s="164"/>
      <c r="U502" s="164"/>
      <c r="V502" s="164"/>
    </row>
    <row r="503" spans="1:25" ht="27" customHeight="1">
      <c r="A503" s="192" t="str">
        <f>IF(ISBLANK(C503)," ",498-COUNTBLANK($C$6:C503))</f>
        <v xml:space="preserve"> </v>
      </c>
      <c r="B503" s="178"/>
      <c r="C503" s="178"/>
      <c r="D503" s="193"/>
      <c r="E503" s="193"/>
      <c r="F503" s="180"/>
      <c r="G503" s="180"/>
      <c r="H503" s="180"/>
      <c r="I503" s="180"/>
      <c r="J503" s="180"/>
      <c r="K503" s="180"/>
      <c r="L503" s="180"/>
      <c r="M503" s="181"/>
      <c r="N503" s="163" t="str">
        <f t="shared" si="39"/>
        <v/>
      </c>
      <c r="O503" s="126" t="str">
        <f t="shared" si="40"/>
        <v>-</v>
      </c>
      <c r="P503" s="164"/>
      <c r="Q503" s="164"/>
      <c r="R503" s="164"/>
      <c r="S503" s="164"/>
      <c r="T503" s="164"/>
      <c r="U503" s="164"/>
      <c r="V503" s="164"/>
    </row>
    <row r="504" spans="1:25" ht="27" customHeight="1">
      <c r="A504" s="192" t="str">
        <f>IF(ISBLANK(C504)," ",499-COUNTBLANK($C$6:C504))</f>
        <v xml:space="preserve"> </v>
      </c>
      <c r="B504" s="178"/>
      <c r="C504" s="178"/>
      <c r="D504" s="193"/>
      <c r="E504" s="193"/>
      <c r="F504" s="180"/>
      <c r="G504" s="180"/>
      <c r="H504" s="180"/>
      <c r="I504" s="180"/>
      <c r="J504" s="180"/>
      <c r="K504" s="180"/>
      <c r="L504" s="180"/>
      <c r="M504" s="181"/>
      <c r="N504" s="163" t="str">
        <f t="shared" si="39"/>
        <v/>
      </c>
      <c r="O504" s="126" t="str">
        <f t="shared" si="40"/>
        <v>-</v>
      </c>
      <c r="P504" s="164"/>
      <c r="Q504" s="164"/>
      <c r="R504" s="164"/>
      <c r="S504" s="164"/>
      <c r="T504" s="164"/>
      <c r="U504" s="164"/>
      <c r="V504" s="165"/>
    </row>
    <row r="505" spans="1:25" ht="27" customHeight="1">
      <c r="A505" s="192" t="str">
        <f>IF(ISBLANK(C505)," ",500-COUNTBLANK($C$6:C505))</f>
        <v xml:space="preserve"> </v>
      </c>
      <c r="B505" s="178"/>
      <c r="C505" s="178"/>
      <c r="D505" s="193"/>
      <c r="E505" s="193"/>
      <c r="F505" s="180"/>
      <c r="G505" s="180"/>
      <c r="H505" s="180"/>
      <c r="I505" s="180"/>
      <c r="J505" s="180"/>
      <c r="K505" s="180"/>
      <c r="L505" s="180"/>
      <c r="M505" s="181"/>
      <c r="N505" s="163" t="str">
        <f t="shared" si="39"/>
        <v/>
      </c>
      <c r="O505" s="126" t="str">
        <f t="shared" si="40"/>
        <v>-</v>
      </c>
      <c r="P505" s="164"/>
      <c r="Q505" s="164"/>
      <c r="R505" s="164"/>
      <c r="S505" s="164"/>
      <c r="T505" s="164"/>
      <c r="U505" s="164"/>
      <c r="V505" s="165"/>
    </row>
    <row r="506" spans="1:25" ht="27" customHeight="1">
      <c r="A506" s="192" t="str">
        <f>IF(ISBLANK(C506)," ",501-COUNTBLANK($C$6:C506))</f>
        <v xml:space="preserve"> </v>
      </c>
      <c r="B506" s="178"/>
      <c r="C506" s="178"/>
      <c r="D506" s="193"/>
      <c r="E506" s="193"/>
      <c r="F506" s="180"/>
      <c r="G506" s="180"/>
      <c r="H506" s="180"/>
      <c r="I506" s="180"/>
      <c r="J506" s="180"/>
      <c r="K506" s="180"/>
      <c r="L506" s="180"/>
      <c r="M506" s="181"/>
      <c r="N506" s="163" t="str">
        <f t="shared" si="39"/>
        <v/>
      </c>
      <c r="O506" s="126" t="str">
        <f t="shared" si="40"/>
        <v>-</v>
      </c>
      <c r="P506" s="164"/>
      <c r="Q506" s="164"/>
      <c r="R506" s="164"/>
      <c r="S506" s="164"/>
      <c r="T506" s="164"/>
      <c r="U506" s="164"/>
      <c r="V506" s="165"/>
    </row>
    <row r="507" spans="1:25" ht="27" customHeight="1">
      <c r="A507" s="192" t="str">
        <f>IF(ISBLANK(C507)," ",502-COUNTBLANK($C$6:C507))</f>
        <v xml:space="preserve"> </v>
      </c>
      <c r="B507" s="178"/>
      <c r="C507" s="178"/>
      <c r="D507" s="193"/>
      <c r="E507" s="193"/>
      <c r="F507" s="180"/>
      <c r="G507" s="180"/>
      <c r="H507" s="180"/>
      <c r="I507" s="180"/>
      <c r="J507" s="180"/>
      <c r="K507" s="180"/>
      <c r="L507" s="180"/>
      <c r="M507" s="181"/>
      <c r="N507" s="163" t="str">
        <f t="shared" si="39"/>
        <v/>
      </c>
      <c r="O507" s="126" t="str">
        <f t="shared" si="40"/>
        <v>-</v>
      </c>
      <c r="P507" s="164"/>
      <c r="Q507" s="164"/>
      <c r="R507" s="164"/>
      <c r="S507" s="164"/>
      <c r="T507" s="164"/>
      <c r="U507" s="164"/>
      <c r="V507" s="165"/>
    </row>
    <row r="508" spans="1:25" ht="27" customHeight="1">
      <c r="A508" s="192" t="str">
        <f>IF(ISBLANK(C508)," ",503-COUNTBLANK($C$6:C508))</f>
        <v xml:space="preserve"> </v>
      </c>
      <c r="B508" s="178"/>
      <c r="C508" s="178"/>
      <c r="D508" s="193"/>
      <c r="E508" s="193"/>
      <c r="F508" s="180"/>
      <c r="G508" s="180"/>
      <c r="H508" s="180"/>
      <c r="I508" s="180"/>
      <c r="J508" s="180"/>
      <c r="K508" s="180"/>
      <c r="L508" s="180"/>
      <c r="M508" s="181"/>
      <c r="N508" s="163" t="str">
        <f t="shared" si="39"/>
        <v/>
      </c>
      <c r="O508" s="126" t="str">
        <f t="shared" si="40"/>
        <v>-</v>
      </c>
      <c r="P508" s="164"/>
      <c r="Q508" s="164"/>
      <c r="R508" s="164"/>
      <c r="S508" s="164"/>
      <c r="T508" s="164"/>
      <c r="U508" s="164"/>
      <c r="V508" s="166"/>
      <c r="W508" s="164"/>
      <c r="X508" s="164"/>
      <c r="Y508" s="164"/>
    </row>
    <row r="509" spans="1:25" ht="27" customHeight="1">
      <c r="A509" s="172" t="s">
        <v>44</v>
      </c>
      <c r="B509" s="173"/>
      <c r="C509" s="174"/>
      <c r="D509" s="194"/>
      <c r="E509" s="194">
        <f>SUM(E489:E508)</f>
        <v>0</v>
      </c>
      <c r="F509" s="176"/>
      <c r="G509" s="176"/>
      <c r="H509" s="176"/>
      <c r="I509" s="176"/>
      <c r="J509" s="176"/>
      <c r="K509" s="176"/>
      <c r="L509" s="176"/>
      <c r="M509" s="177"/>
      <c r="N509" s="163" t="str">
        <f t="shared" si="39"/>
        <v/>
      </c>
      <c r="O509" s="126"/>
      <c r="P509" s="164"/>
      <c r="Q509" s="164"/>
      <c r="R509" s="164"/>
      <c r="S509" s="164"/>
      <c r="T509" s="164"/>
      <c r="U509" s="164"/>
      <c r="V509" s="166"/>
      <c r="W509" s="164"/>
      <c r="X509" s="164"/>
      <c r="Y509" s="164"/>
    </row>
    <row r="510" spans="1:25" ht="27" customHeight="1">
      <c r="A510" s="187" t="str">
        <f>IF(ISBLANK(C510)," ",505-COUNTBLANK($C$6:C510))</f>
        <v xml:space="preserve"> </v>
      </c>
      <c r="B510" s="188"/>
      <c r="C510" s="188"/>
      <c r="D510" s="189"/>
      <c r="E510" s="189"/>
      <c r="F510" s="190"/>
      <c r="G510" s="190"/>
      <c r="H510" s="190"/>
      <c r="I510" s="190"/>
      <c r="J510" s="190"/>
      <c r="K510" s="190"/>
      <c r="L510" s="190"/>
      <c r="M510" s="191"/>
      <c r="N510" s="163" t="str">
        <f>CONCATENATE(C510,H510)</f>
        <v/>
      </c>
      <c r="O510" s="126" t="str">
        <f>IF(D510&gt;=E510,"-","ERR")</f>
        <v>-</v>
      </c>
      <c r="P510" s="164"/>
      <c r="Q510" s="164"/>
      <c r="R510" s="164"/>
      <c r="S510" s="164"/>
      <c r="T510" s="164"/>
      <c r="U510" s="164"/>
      <c r="V510" s="164"/>
    </row>
    <row r="511" spans="1:25" ht="27" customHeight="1">
      <c r="A511" s="192" t="str">
        <f>IF(ISBLANK(C511)," ",506-COUNTBLANK($C$6:C511))</f>
        <v xml:space="preserve"> </v>
      </c>
      <c r="B511" s="178"/>
      <c r="C511" s="178"/>
      <c r="D511" s="193"/>
      <c r="E511" s="193"/>
      <c r="F511" s="180"/>
      <c r="G511" s="180"/>
      <c r="H511" s="180"/>
      <c r="I511" s="180"/>
      <c r="J511" s="180"/>
      <c r="K511" s="180"/>
      <c r="L511" s="180"/>
      <c r="M511" s="181"/>
      <c r="N511" s="163" t="str">
        <f t="shared" ref="N511:N530" si="41">CONCATENATE(C511,H511)</f>
        <v/>
      </c>
      <c r="O511" s="126" t="str">
        <f t="shared" ref="O511:O529" si="42">IF(D511&gt;=E511,"-","ERR")</f>
        <v>-</v>
      </c>
      <c r="P511" s="164"/>
      <c r="Q511" s="164"/>
      <c r="R511" s="164"/>
      <c r="S511" s="164"/>
      <c r="T511" s="164"/>
      <c r="U511" s="164"/>
      <c r="V511" s="164"/>
    </row>
    <row r="512" spans="1:25" ht="27" customHeight="1">
      <c r="A512" s="192" t="str">
        <f>IF(ISBLANK(C512)," ",507-COUNTBLANK($C$6:C512))</f>
        <v xml:space="preserve"> </v>
      </c>
      <c r="B512" s="178"/>
      <c r="C512" s="178"/>
      <c r="D512" s="193"/>
      <c r="E512" s="193"/>
      <c r="F512" s="180"/>
      <c r="G512" s="180"/>
      <c r="H512" s="180"/>
      <c r="I512" s="180"/>
      <c r="J512" s="180"/>
      <c r="K512" s="180"/>
      <c r="L512" s="180"/>
      <c r="M512" s="181"/>
      <c r="N512" s="163" t="str">
        <f t="shared" si="41"/>
        <v/>
      </c>
      <c r="O512" s="126" t="str">
        <f t="shared" si="42"/>
        <v>-</v>
      </c>
      <c r="P512" s="164"/>
      <c r="Q512" s="164"/>
      <c r="R512" s="164"/>
      <c r="S512" s="164"/>
      <c r="T512" s="164"/>
      <c r="U512" s="164"/>
      <c r="V512" s="164"/>
    </row>
    <row r="513" spans="1:22" ht="27" customHeight="1">
      <c r="A513" s="192" t="str">
        <f>IF(ISBLANK(C513)," ",508-COUNTBLANK($C$6:C513))</f>
        <v xml:space="preserve"> </v>
      </c>
      <c r="B513" s="178"/>
      <c r="C513" s="178"/>
      <c r="D513" s="193"/>
      <c r="E513" s="193"/>
      <c r="F513" s="180"/>
      <c r="G513" s="180"/>
      <c r="H513" s="180"/>
      <c r="I513" s="180"/>
      <c r="J513" s="180"/>
      <c r="K513" s="180"/>
      <c r="L513" s="180"/>
      <c r="M513" s="181"/>
      <c r="N513" s="163" t="str">
        <f t="shared" si="41"/>
        <v/>
      </c>
      <c r="O513" s="126" t="str">
        <f t="shared" si="42"/>
        <v>-</v>
      </c>
      <c r="P513" s="164"/>
      <c r="Q513" s="164"/>
      <c r="R513" s="164"/>
      <c r="S513" s="164"/>
      <c r="T513" s="164"/>
      <c r="U513" s="164"/>
      <c r="V513" s="164"/>
    </row>
    <row r="514" spans="1:22" ht="27" customHeight="1">
      <c r="A514" s="192" t="str">
        <f>IF(ISBLANK(C514)," ",509-COUNTBLANK($C$6:C514))</f>
        <v xml:space="preserve"> </v>
      </c>
      <c r="B514" s="178"/>
      <c r="C514" s="178"/>
      <c r="D514" s="193"/>
      <c r="E514" s="193"/>
      <c r="F514" s="180"/>
      <c r="G514" s="180"/>
      <c r="H514" s="180"/>
      <c r="I514" s="180"/>
      <c r="J514" s="180"/>
      <c r="K514" s="180"/>
      <c r="L514" s="180"/>
      <c r="M514" s="181"/>
      <c r="N514" s="163" t="str">
        <f t="shared" si="41"/>
        <v/>
      </c>
      <c r="O514" s="126" t="str">
        <f t="shared" si="42"/>
        <v>-</v>
      </c>
      <c r="P514" s="164"/>
      <c r="Q514" s="164"/>
      <c r="R514" s="164"/>
      <c r="S514" s="164"/>
      <c r="T514" s="164"/>
      <c r="U514" s="164"/>
      <c r="V514" s="164"/>
    </row>
    <row r="515" spans="1:22" ht="27" customHeight="1">
      <c r="A515" s="192" t="str">
        <f>IF(ISBLANK(C515)," ",510-COUNTBLANK($C$6:C515))</f>
        <v xml:space="preserve"> </v>
      </c>
      <c r="B515" s="178"/>
      <c r="C515" s="178"/>
      <c r="D515" s="193"/>
      <c r="E515" s="193"/>
      <c r="F515" s="180"/>
      <c r="G515" s="180"/>
      <c r="H515" s="180"/>
      <c r="I515" s="180"/>
      <c r="J515" s="180"/>
      <c r="K515" s="180"/>
      <c r="L515" s="180"/>
      <c r="M515" s="181"/>
      <c r="N515" s="163" t="str">
        <f t="shared" si="41"/>
        <v/>
      </c>
      <c r="O515" s="126" t="str">
        <f t="shared" si="42"/>
        <v>-</v>
      </c>
      <c r="P515" s="164"/>
      <c r="Q515" s="164"/>
      <c r="R515" s="164"/>
      <c r="S515" s="164"/>
      <c r="T515" s="164"/>
      <c r="U515" s="164"/>
      <c r="V515" s="164"/>
    </row>
    <row r="516" spans="1:22" ht="27" customHeight="1">
      <c r="A516" s="192" t="str">
        <f>IF(ISBLANK(C516)," ",511-COUNTBLANK($C$6:C516))</f>
        <v xml:space="preserve"> </v>
      </c>
      <c r="B516" s="178"/>
      <c r="C516" s="178"/>
      <c r="D516" s="193"/>
      <c r="E516" s="193"/>
      <c r="F516" s="180"/>
      <c r="G516" s="180"/>
      <c r="H516" s="180"/>
      <c r="I516" s="180"/>
      <c r="J516" s="180"/>
      <c r="K516" s="180"/>
      <c r="L516" s="180"/>
      <c r="M516" s="181"/>
      <c r="N516" s="163" t="str">
        <f t="shared" si="41"/>
        <v/>
      </c>
      <c r="O516" s="126" t="str">
        <f t="shared" si="42"/>
        <v>-</v>
      </c>
      <c r="P516" s="164"/>
      <c r="Q516" s="164"/>
      <c r="R516" s="164"/>
      <c r="S516" s="164"/>
      <c r="T516" s="164"/>
      <c r="U516" s="164"/>
      <c r="V516" s="164"/>
    </row>
    <row r="517" spans="1:22" ht="27" customHeight="1">
      <c r="A517" s="192" t="str">
        <f>IF(ISBLANK(C517)," ",512-COUNTBLANK($C$6:C517))</f>
        <v xml:space="preserve"> </v>
      </c>
      <c r="B517" s="178"/>
      <c r="C517" s="178"/>
      <c r="D517" s="193"/>
      <c r="E517" s="193"/>
      <c r="F517" s="180"/>
      <c r="G517" s="180"/>
      <c r="H517" s="180"/>
      <c r="I517" s="180"/>
      <c r="J517" s="180"/>
      <c r="K517" s="180"/>
      <c r="L517" s="180"/>
      <c r="M517" s="181"/>
      <c r="N517" s="163" t="str">
        <f t="shared" si="41"/>
        <v/>
      </c>
      <c r="O517" s="126" t="str">
        <f t="shared" si="42"/>
        <v>-</v>
      </c>
      <c r="P517" s="164"/>
      <c r="Q517" s="164"/>
      <c r="R517" s="164"/>
      <c r="S517" s="164"/>
      <c r="T517" s="164"/>
      <c r="U517" s="164"/>
      <c r="V517" s="164"/>
    </row>
    <row r="518" spans="1:22" ht="27" customHeight="1">
      <c r="A518" s="192" t="str">
        <f>IF(ISBLANK(C518)," ",513-COUNTBLANK($C$6:C518))</f>
        <v xml:space="preserve"> </v>
      </c>
      <c r="B518" s="178"/>
      <c r="C518" s="178"/>
      <c r="D518" s="193"/>
      <c r="E518" s="193"/>
      <c r="F518" s="180"/>
      <c r="G518" s="180"/>
      <c r="H518" s="180"/>
      <c r="I518" s="180"/>
      <c r="J518" s="180"/>
      <c r="K518" s="180"/>
      <c r="L518" s="180"/>
      <c r="M518" s="181"/>
      <c r="N518" s="163" t="str">
        <f t="shared" si="41"/>
        <v/>
      </c>
      <c r="O518" s="126" t="str">
        <f t="shared" si="42"/>
        <v>-</v>
      </c>
      <c r="P518" s="164"/>
      <c r="Q518" s="164"/>
      <c r="R518" s="164"/>
      <c r="S518" s="164"/>
      <c r="T518" s="164"/>
      <c r="U518" s="164"/>
      <c r="V518" s="164"/>
    </row>
    <row r="519" spans="1:22" ht="27" customHeight="1">
      <c r="A519" s="192" t="str">
        <f>IF(ISBLANK(C519)," ",514-COUNTBLANK($C$6:C519))</f>
        <v xml:space="preserve"> </v>
      </c>
      <c r="B519" s="178"/>
      <c r="C519" s="178"/>
      <c r="D519" s="193"/>
      <c r="E519" s="193"/>
      <c r="F519" s="180"/>
      <c r="G519" s="180"/>
      <c r="H519" s="180"/>
      <c r="I519" s="180"/>
      <c r="J519" s="180"/>
      <c r="K519" s="180"/>
      <c r="L519" s="180"/>
      <c r="M519" s="181"/>
      <c r="N519" s="163" t="str">
        <f t="shared" si="41"/>
        <v/>
      </c>
      <c r="O519" s="126" t="str">
        <f t="shared" si="42"/>
        <v>-</v>
      </c>
      <c r="P519" s="164"/>
      <c r="Q519" s="164"/>
      <c r="R519" s="164"/>
      <c r="S519" s="164"/>
      <c r="T519" s="164"/>
      <c r="U519" s="164"/>
      <c r="V519" s="164"/>
    </row>
    <row r="520" spans="1:22" ht="27" customHeight="1">
      <c r="A520" s="192" t="str">
        <f>IF(ISBLANK(C520)," ",515-COUNTBLANK($C$6:C520))</f>
        <v xml:space="preserve"> </v>
      </c>
      <c r="B520" s="178"/>
      <c r="C520" s="178"/>
      <c r="D520" s="193"/>
      <c r="E520" s="193"/>
      <c r="F520" s="180"/>
      <c r="G520" s="180"/>
      <c r="H520" s="180"/>
      <c r="I520" s="180"/>
      <c r="J520" s="180"/>
      <c r="K520" s="180"/>
      <c r="L520" s="180"/>
      <c r="M520" s="181"/>
      <c r="N520" s="163" t="str">
        <f t="shared" si="41"/>
        <v/>
      </c>
      <c r="O520" s="126" t="str">
        <f t="shared" si="42"/>
        <v>-</v>
      </c>
      <c r="P520" s="164"/>
      <c r="Q520" s="164"/>
      <c r="R520" s="164"/>
      <c r="S520" s="164"/>
      <c r="T520" s="164"/>
      <c r="U520" s="164"/>
      <c r="V520" s="164"/>
    </row>
    <row r="521" spans="1:22" ht="27" customHeight="1">
      <c r="A521" s="192" t="str">
        <f>IF(ISBLANK(C521)," ",516-COUNTBLANK($C$6:C521))</f>
        <v xml:space="preserve"> </v>
      </c>
      <c r="B521" s="178"/>
      <c r="C521" s="178"/>
      <c r="D521" s="193"/>
      <c r="E521" s="193"/>
      <c r="F521" s="180"/>
      <c r="G521" s="180"/>
      <c r="H521" s="180"/>
      <c r="I521" s="180"/>
      <c r="J521" s="180"/>
      <c r="K521" s="180"/>
      <c r="L521" s="180"/>
      <c r="M521" s="181"/>
      <c r="N521" s="163" t="str">
        <f t="shared" si="41"/>
        <v/>
      </c>
      <c r="O521" s="126" t="str">
        <f t="shared" si="42"/>
        <v>-</v>
      </c>
      <c r="P521" s="164"/>
      <c r="Q521" s="164"/>
      <c r="R521" s="164"/>
      <c r="S521" s="164"/>
      <c r="T521" s="164"/>
      <c r="U521" s="164"/>
      <c r="V521" s="164"/>
    </row>
    <row r="522" spans="1:22" ht="27" customHeight="1">
      <c r="A522" s="192" t="str">
        <f>IF(ISBLANK(C522)," ",517-COUNTBLANK($C$6:C522))</f>
        <v xml:space="preserve"> </v>
      </c>
      <c r="B522" s="178"/>
      <c r="C522" s="178"/>
      <c r="D522" s="193"/>
      <c r="E522" s="193"/>
      <c r="F522" s="180"/>
      <c r="G522" s="180"/>
      <c r="H522" s="180"/>
      <c r="I522" s="180"/>
      <c r="J522" s="180"/>
      <c r="K522" s="180"/>
      <c r="L522" s="180"/>
      <c r="M522" s="181"/>
      <c r="N522" s="163" t="str">
        <f t="shared" si="41"/>
        <v/>
      </c>
      <c r="O522" s="126" t="str">
        <f t="shared" si="42"/>
        <v>-</v>
      </c>
      <c r="P522" s="164"/>
      <c r="Q522" s="164"/>
      <c r="R522" s="164"/>
      <c r="S522" s="164"/>
      <c r="T522" s="164"/>
      <c r="U522" s="164"/>
      <c r="V522" s="164"/>
    </row>
    <row r="523" spans="1:22" ht="27" customHeight="1">
      <c r="A523" s="192" t="str">
        <f>IF(ISBLANK(C523)," ",518-COUNTBLANK($C$6:C523))</f>
        <v xml:space="preserve"> </v>
      </c>
      <c r="B523" s="178"/>
      <c r="C523" s="178"/>
      <c r="D523" s="193"/>
      <c r="E523" s="193"/>
      <c r="F523" s="180"/>
      <c r="G523" s="180"/>
      <c r="H523" s="180"/>
      <c r="I523" s="180"/>
      <c r="J523" s="180"/>
      <c r="K523" s="180"/>
      <c r="L523" s="180"/>
      <c r="M523" s="181"/>
      <c r="N523" s="163" t="str">
        <f t="shared" si="41"/>
        <v/>
      </c>
      <c r="O523" s="126" t="str">
        <f t="shared" si="42"/>
        <v>-</v>
      </c>
      <c r="P523" s="164"/>
      <c r="Q523" s="164"/>
      <c r="R523" s="164"/>
      <c r="S523" s="164"/>
      <c r="T523" s="164"/>
      <c r="U523" s="164"/>
      <c r="V523" s="164"/>
    </row>
    <row r="524" spans="1:22" ht="27" customHeight="1">
      <c r="A524" s="192" t="str">
        <f>IF(ISBLANK(C524)," ",519-COUNTBLANK($C$6:C524))</f>
        <v xml:space="preserve"> </v>
      </c>
      <c r="B524" s="178"/>
      <c r="C524" s="178"/>
      <c r="D524" s="193"/>
      <c r="E524" s="193"/>
      <c r="F524" s="180"/>
      <c r="G524" s="180"/>
      <c r="H524" s="180"/>
      <c r="I524" s="180"/>
      <c r="J524" s="180"/>
      <c r="K524" s="180"/>
      <c r="L524" s="180"/>
      <c r="M524" s="181"/>
      <c r="N524" s="163" t="str">
        <f t="shared" si="41"/>
        <v/>
      </c>
      <c r="O524" s="126" t="str">
        <f t="shared" si="42"/>
        <v>-</v>
      </c>
      <c r="P524" s="164"/>
      <c r="Q524" s="164"/>
      <c r="R524" s="164"/>
      <c r="S524" s="164"/>
      <c r="T524" s="164"/>
      <c r="U524" s="164"/>
      <c r="V524" s="164"/>
    </row>
    <row r="525" spans="1:22" ht="27" customHeight="1">
      <c r="A525" s="192" t="str">
        <f>IF(ISBLANK(C525)," ",520-COUNTBLANK($C$6:C525))</f>
        <v xml:space="preserve"> </v>
      </c>
      <c r="B525" s="178"/>
      <c r="C525" s="178"/>
      <c r="D525" s="193"/>
      <c r="E525" s="193"/>
      <c r="F525" s="180"/>
      <c r="G525" s="180"/>
      <c r="H525" s="180"/>
      <c r="I525" s="180"/>
      <c r="J525" s="180"/>
      <c r="K525" s="180"/>
      <c r="L525" s="180"/>
      <c r="M525" s="181"/>
      <c r="N525" s="163" t="str">
        <f t="shared" si="41"/>
        <v/>
      </c>
      <c r="O525" s="126" t="str">
        <f t="shared" si="42"/>
        <v>-</v>
      </c>
      <c r="P525" s="164"/>
      <c r="Q525" s="164"/>
      <c r="R525" s="164"/>
      <c r="S525" s="164"/>
      <c r="T525" s="164"/>
      <c r="U525" s="164"/>
      <c r="V525" s="165"/>
    </row>
    <row r="526" spans="1:22" ht="27" customHeight="1">
      <c r="A526" s="192" t="str">
        <f>IF(ISBLANK(C526)," ",521-COUNTBLANK($C$6:C526))</f>
        <v xml:space="preserve"> </v>
      </c>
      <c r="B526" s="178"/>
      <c r="C526" s="178"/>
      <c r="D526" s="193"/>
      <c r="E526" s="193"/>
      <c r="F526" s="180"/>
      <c r="G526" s="180"/>
      <c r="H526" s="180"/>
      <c r="I526" s="180"/>
      <c r="J526" s="180"/>
      <c r="K526" s="180"/>
      <c r="L526" s="180"/>
      <c r="M526" s="181"/>
      <c r="N526" s="163" t="str">
        <f t="shared" si="41"/>
        <v/>
      </c>
      <c r="O526" s="126" t="str">
        <f t="shared" si="42"/>
        <v>-</v>
      </c>
      <c r="P526" s="164"/>
      <c r="Q526" s="164"/>
      <c r="R526" s="164"/>
      <c r="S526" s="164"/>
      <c r="T526" s="164"/>
      <c r="U526" s="164"/>
      <c r="V526" s="165"/>
    </row>
    <row r="527" spans="1:22" ht="27" customHeight="1">
      <c r="A527" s="192" t="str">
        <f>IF(ISBLANK(C527)," ",522-COUNTBLANK($C$6:C527))</f>
        <v xml:space="preserve"> </v>
      </c>
      <c r="B527" s="178"/>
      <c r="C527" s="178"/>
      <c r="D527" s="193"/>
      <c r="E527" s="193"/>
      <c r="F527" s="180"/>
      <c r="G527" s="180"/>
      <c r="H527" s="180"/>
      <c r="I527" s="180"/>
      <c r="J527" s="180"/>
      <c r="K527" s="180"/>
      <c r="L527" s="180"/>
      <c r="M527" s="181"/>
      <c r="N527" s="163" t="str">
        <f t="shared" si="41"/>
        <v/>
      </c>
      <c r="O527" s="126" t="str">
        <f t="shared" si="42"/>
        <v>-</v>
      </c>
      <c r="P527" s="164"/>
      <c r="Q527" s="164"/>
      <c r="R527" s="164"/>
      <c r="S527" s="164"/>
      <c r="T527" s="164"/>
      <c r="U527" s="164"/>
      <c r="V527" s="165"/>
    </row>
    <row r="528" spans="1:22" ht="27" customHeight="1">
      <c r="A528" s="192" t="str">
        <f>IF(ISBLANK(C528)," ",523-COUNTBLANK($C$6:C528))</f>
        <v xml:space="preserve"> </v>
      </c>
      <c r="B528" s="178"/>
      <c r="C528" s="178"/>
      <c r="D528" s="193"/>
      <c r="E528" s="193"/>
      <c r="F528" s="180"/>
      <c r="G528" s="180"/>
      <c r="H528" s="180"/>
      <c r="I528" s="180"/>
      <c r="J528" s="180"/>
      <c r="K528" s="180"/>
      <c r="L528" s="180"/>
      <c r="M528" s="181"/>
      <c r="N528" s="163" t="str">
        <f t="shared" si="41"/>
        <v/>
      </c>
      <c r="O528" s="126" t="str">
        <f t="shared" si="42"/>
        <v>-</v>
      </c>
      <c r="P528" s="164"/>
      <c r="Q528" s="164"/>
      <c r="R528" s="164"/>
      <c r="S528" s="164"/>
      <c r="T528" s="164"/>
      <c r="U528" s="164"/>
      <c r="V528" s="165"/>
    </row>
    <row r="529" spans="1:25" ht="27" customHeight="1">
      <c r="A529" s="192" t="str">
        <f>IF(ISBLANK(C529)," ",524-COUNTBLANK($C$6:C529))</f>
        <v xml:space="preserve"> </v>
      </c>
      <c r="B529" s="178"/>
      <c r="C529" s="178"/>
      <c r="D529" s="193"/>
      <c r="E529" s="193"/>
      <c r="F529" s="180"/>
      <c r="G529" s="180"/>
      <c r="H529" s="180"/>
      <c r="I529" s="180"/>
      <c r="J529" s="180"/>
      <c r="K529" s="180"/>
      <c r="L529" s="180"/>
      <c r="M529" s="181"/>
      <c r="N529" s="163" t="str">
        <f t="shared" si="41"/>
        <v/>
      </c>
      <c r="O529" s="126" t="str">
        <f t="shared" si="42"/>
        <v>-</v>
      </c>
      <c r="P529" s="164"/>
      <c r="Q529" s="164"/>
      <c r="R529" s="164"/>
      <c r="S529" s="164"/>
      <c r="T529" s="164"/>
      <c r="U529" s="164"/>
      <c r="V529" s="166"/>
      <c r="W529" s="164"/>
      <c r="X529" s="164"/>
      <c r="Y529" s="164"/>
    </row>
    <row r="530" spans="1:25" ht="27" customHeight="1">
      <c r="A530" s="172" t="s">
        <v>44</v>
      </c>
      <c r="B530" s="173"/>
      <c r="C530" s="174"/>
      <c r="D530" s="194"/>
      <c r="E530" s="194">
        <f>SUM(E510:E529)</f>
        <v>0</v>
      </c>
      <c r="F530" s="176"/>
      <c r="G530" s="176"/>
      <c r="H530" s="176"/>
      <c r="I530" s="176"/>
      <c r="J530" s="176"/>
      <c r="K530" s="176"/>
      <c r="L530" s="176"/>
      <c r="M530" s="177"/>
      <c r="N530" s="163" t="str">
        <f t="shared" si="41"/>
        <v/>
      </c>
      <c r="O530" s="126"/>
      <c r="P530" s="164"/>
      <c r="Q530" s="164"/>
      <c r="R530" s="164"/>
      <c r="S530" s="164"/>
      <c r="T530" s="164"/>
      <c r="U530" s="164"/>
      <c r="V530" s="166"/>
      <c r="W530" s="164"/>
      <c r="X530" s="164"/>
      <c r="Y530" s="164"/>
    </row>
    <row r="531" spans="1:25">
      <c r="O531" s="142"/>
      <c r="P531" s="197"/>
      <c r="Q531" s="197"/>
      <c r="R531" s="197"/>
      <c r="S531" s="197"/>
      <c r="T531" s="197"/>
      <c r="U531" s="197"/>
      <c r="V531" s="197"/>
    </row>
    <row r="532" spans="1:25">
      <c r="O532" s="142"/>
      <c r="P532" s="197"/>
      <c r="Q532" s="197"/>
      <c r="R532" s="197"/>
      <c r="S532" s="197"/>
      <c r="T532" s="197"/>
      <c r="U532" s="197"/>
      <c r="V532" s="197"/>
    </row>
  </sheetData>
  <autoFilter ref="A5:N5"/>
  <mergeCells count="4">
    <mergeCell ref="B4:B5"/>
    <mergeCell ref="C4:C5"/>
    <mergeCell ref="H4:I4"/>
    <mergeCell ref="M4:M5"/>
  </mergeCells>
  <phoneticPr fontId="7" type="noConversion"/>
  <printOptions horizontalCentered="1" verticalCentered="1"/>
  <pageMargins left="0.19685039370078741" right="0.19685039370078741" top="1.1811023622047245" bottom="0.59055118110236227" header="0.59055118110236227" footer="0.19685039370078741"/>
  <pageSetup paperSize="9" orientation="portrait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showZeros="0" view="pageBreakPreview" zoomScaleNormal="100" workbookViewId="0">
      <selection activeCell="G139" sqref="G139"/>
    </sheetView>
  </sheetViews>
  <sheetFormatPr defaultRowHeight="11.25"/>
  <cols>
    <col min="1" max="1" width="3.88671875" style="149" customWidth="1"/>
    <col min="2" max="2" width="5.77734375" style="195" customWidth="1"/>
    <col min="3" max="3" width="3.77734375" style="149" customWidth="1"/>
    <col min="4" max="4" width="8.44140625" style="149" customWidth="1"/>
    <col min="5" max="5" width="6.77734375" style="196" customWidth="1"/>
    <col min="6" max="6" width="4.21875" style="149" customWidth="1"/>
    <col min="7" max="7" width="6.77734375" style="149" customWidth="1"/>
    <col min="8" max="8" width="5.77734375" style="149" customWidth="1"/>
    <col min="9" max="9" width="11.6640625" style="149" customWidth="1"/>
    <col min="10" max="10" width="5.77734375" style="149" customWidth="1"/>
    <col min="11" max="11" width="11.77734375" style="149" customWidth="1"/>
    <col min="12" max="12" width="6.77734375" style="149" customWidth="1"/>
    <col min="13" max="13" width="4.77734375" style="149" customWidth="1"/>
    <col min="14" max="14" width="20.77734375" style="197" customWidth="1"/>
    <col min="15" max="15" width="9.77734375" style="56" customWidth="1"/>
    <col min="16" max="21" width="9.77734375" style="149" customWidth="1"/>
    <col min="22" max="22" width="10.77734375" style="149" customWidth="1"/>
    <col min="23" max="16384" width="8.88671875" style="149"/>
  </cols>
  <sheetData>
    <row r="1" spans="1:22" ht="30" customHeight="1">
      <c r="A1" s="143" t="s">
        <v>45</v>
      </c>
      <c r="B1" s="144"/>
      <c r="C1" s="145"/>
      <c r="D1" s="145"/>
      <c r="E1" s="146"/>
      <c r="F1" s="145"/>
      <c r="G1" s="145"/>
      <c r="H1" s="145"/>
      <c r="I1" s="145"/>
      <c r="J1" s="145"/>
      <c r="K1" s="145"/>
      <c r="L1" s="145"/>
      <c r="M1" s="145"/>
      <c r="N1" s="147"/>
      <c r="O1" s="80"/>
      <c r="P1" s="148"/>
      <c r="Q1" s="148"/>
      <c r="R1" s="148"/>
      <c r="S1" s="148"/>
      <c r="T1" s="148"/>
      <c r="U1" s="148"/>
      <c r="V1" s="148"/>
    </row>
    <row r="2" spans="1:22" ht="19.899999999999999" customHeight="1">
      <c r="A2" s="150"/>
      <c r="B2" s="151"/>
      <c r="C2" s="150"/>
      <c r="D2" s="150"/>
      <c r="E2" s="152"/>
      <c r="F2" s="150"/>
      <c r="G2" s="150"/>
      <c r="H2" s="150"/>
      <c r="I2" s="150"/>
      <c r="J2" s="153"/>
      <c r="K2" s="154"/>
      <c r="L2" s="155"/>
      <c r="M2" s="155"/>
      <c r="N2" s="156"/>
      <c r="O2" s="80"/>
      <c r="P2" s="148"/>
      <c r="Q2" s="148"/>
      <c r="R2" s="148"/>
      <c r="S2" s="148"/>
      <c r="T2" s="148"/>
      <c r="U2" s="148"/>
      <c r="V2" s="148"/>
    </row>
    <row r="3" spans="1:22" ht="10.15" customHeight="1">
      <c r="A3" s="150"/>
      <c r="B3" s="151"/>
      <c r="C3" s="150"/>
      <c r="D3" s="150"/>
      <c r="E3" s="152"/>
      <c r="F3" s="150"/>
      <c r="G3" s="150"/>
      <c r="H3" s="150"/>
      <c r="I3" s="150"/>
      <c r="J3" s="150"/>
      <c r="K3" s="150"/>
      <c r="L3" s="150"/>
      <c r="M3" s="150"/>
      <c r="N3" s="150"/>
      <c r="O3" s="80"/>
      <c r="P3" s="148"/>
      <c r="Q3" s="148"/>
      <c r="R3" s="148"/>
      <c r="S3" s="148"/>
      <c r="T3" s="148"/>
      <c r="U3" s="148"/>
      <c r="V3" s="148"/>
    </row>
    <row r="4" spans="1:22" s="159" customFormat="1" ht="27" customHeight="1">
      <c r="A4" s="19" t="s">
        <v>31</v>
      </c>
      <c r="B4" s="225" t="s">
        <v>32</v>
      </c>
      <c r="C4" s="227" t="s">
        <v>33</v>
      </c>
      <c r="D4" s="20" t="s">
        <v>34</v>
      </c>
      <c r="E4" s="21" t="s">
        <v>35</v>
      </c>
      <c r="F4" s="22" t="s">
        <v>36</v>
      </c>
      <c r="G4" s="22"/>
      <c r="H4" s="229" t="s">
        <v>37</v>
      </c>
      <c r="I4" s="230"/>
      <c r="J4" s="23" t="s">
        <v>38</v>
      </c>
      <c r="K4" s="22"/>
      <c r="L4" s="24"/>
      <c r="M4" s="231" t="s">
        <v>30</v>
      </c>
      <c r="N4" s="157"/>
      <c r="O4" s="134"/>
      <c r="P4" s="158"/>
      <c r="Q4" s="158"/>
      <c r="R4" s="158"/>
      <c r="S4" s="158"/>
      <c r="T4" s="158"/>
      <c r="U4" s="158"/>
      <c r="V4" s="158"/>
    </row>
    <row r="5" spans="1:22" s="159" customFormat="1" ht="27" customHeight="1">
      <c r="A5" s="25" t="s">
        <v>39</v>
      </c>
      <c r="B5" s="226"/>
      <c r="C5" s="228"/>
      <c r="D5" s="26" t="s">
        <v>46</v>
      </c>
      <c r="E5" s="26" t="s">
        <v>46</v>
      </c>
      <c r="F5" s="1" t="s">
        <v>33</v>
      </c>
      <c r="G5" s="27" t="s">
        <v>40</v>
      </c>
      <c r="H5" s="27" t="s">
        <v>41</v>
      </c>
      <c r="I5" s="1" t="s">
        <v>42</v>
      </c>
      <c r="J5" s="27" t="s">
        <v>41</v>
      </c>
      <c r="K5" s="27" t="s">
        <v>42</v>
      </c>
      <c r="L5" s="1" t="s">
        <v>43</v>
      </c>
      <c r="M5" s="232"/>
      <c r="N5" s="160"/>
      <c r="O5" s="137"/>
      <c r="P5" s="161"/>
      <c r="Q5" s="161"/>
      <c r="R5" s="161"/>
      <c r="S5" s="161"/>
      <c r="T5" s="161"/>
      <c r="U5" s="161"/>
      <c r="V5" s="162"/>
    </row>
    <row r="6" spans="1:22" ht="27" customHeight="1">
      <c r="A6" s="37" t="str">
        <f>IF(ISBLANK(C6)," ",1-COUNTBLANK($C$6:C6))</f>
        <v xml:space="preserve"> </v>
      </c>
      <c r="B6" s="9"/>
      <c r="C6" s="10"/>
      <c r="D6" s="33"/>
      <c r="E6" s="33"/>
      <c r="F6" s="11"/>
      <c r="G6" s="11"/>
      <c r="H6" s="12"/>
      <c r="I6" s="12"/>
      <c r="J6" s="32"/>
      <c r="K6" s="32"/>
      <c r="L6" s="32"/>
      <c r="M6" s="13"/>
      <c r="N6" s="163" t="str">
        <f>CONCATENATE(C6,H6)</f>
        <v/>
      </c>
      <c r="O6" s="126" t="str">
        <f>IF(D6&gt;=E6,"-","ERR")</f>
        <v>-</v>
      </c>
      <c r="P6" s="164"/>
      <c r="Q6" s="164"/>
      <c r="R6" s="164"/>
      <c r="S6" s="164"/>
      <c r="T6" s="164"/>
      <c r="U6" s="164"/>
      <c r="V6" s="164"/>
    </row>
    <row r="7" spans="1:22" ht="27" customHeight="1">
      <c r="A7" s="38" t="str">
        <f>IF(ISBLANK(C7)," ",2-COUNTBLANK($C$6:C7))</f>
        <v xml:space="preserve"> </v>
      </c>
      <c r="B7" s="4"/>
      <c r="C7" s="5"/>
      <c r="D7" s="34"/>
      <c r="E7" s="34"/>
      <c r="F7" s="6"/>
      <c r="G7" s="6"/>
      <c r="H7" s="7"/>
      <c r="I7" s="7"/>
      <c r="J7" s="2"/>
      <c r="K7" s="2"/>
      <c r="L7" s="2"/>
      <c r="M7" s="8"/>
      <c r="N7" s="163" t="str">
        <f t="shared" ref="N7:N70" si="0">CONCATENATE(C7,H7)</f>
        <v/>
      </c>
      <c r="O7" s="126" t="str">
        <f t="shared" ref="O7:O25" si="1">IF(D7&gt;=E7,"-","ERR")</f>
        <v>-</v>
      </c>
      <c r="P7" s="164"/>
      <c r="Q7" s="164"/>
      <c r="R7" s="164"/>
      <c r="S7" s="164"/>
      <c r="T7" s="164"/>
      <c r="U7" s="164"/>
      <c r="V7" s="164"/>
    </row>
    <row r="8" spans="1:22" ht="27" customHeight="1">
      <c r="A8" s="38" t="str">
        <f>IF(ISBLANK(C8)," ",3-COUNTBLANK($C$6:C8))</f>
        <v xml:space="preserve"> </v>
      </c>
      <c r="B8" s="4"/>
      <c r="C8" s="5"/>
      <c r="D8" s="34"/>
      <c r="E8" s="34"/>
      <c r="F8" s="6"/>
      <c r="G8" s="6"/>
      <c r="H8" s="7"/>
      <c r="I8" s="7"/>
      <c r="J8" s="2"/>
      <c r="K8" s="2"/>
      <c r="L8" s="2"/>
      <c r="M8" s="8"/>
      <c r="N8" s="163" t="str">
        <f t="shared" si="0"/>
        <v/>
      </c>
      <c r="O8" s="126" t="str">
        <f t="shared" si="1"/>
        <v>-</v>
      </c>
      <c r="P8" s="164"/>
      <c r="Q8" s="164"/>
      <c r="R8" s="164"/>
      <c r="S8" s="164"/>
      <c r="T8" s="164"/>
      <c r="U8" s="164"/>
      <c r="V8" s="164"/>
    </row>
    <row r="9" spans="1:22" ht="27" customHeight="1">
      <c r="A9" s="38" t="str">
        <f>IF(ISBLANK(C9)," ",4-COUNTBLANK($C$6:C9))</f>
        <v xml:space="preserve"> </v>
      </c>
      <c r="B9" s="4"/>
      <c r="C9" s="5"/>
      <c r="D9" s="34"/>
      <c r="E9" s="34"/>
      <c r="F9" s="6"/>
      <c r="G9" s="6"/>
      <c r="H9" s="7"/>
      <c r="I9" s="7"/>
      <c r="J9" s="2"/>
      <c r="K9" s="2"/>
      <c r="L9" s="2"/>
      <c r="M9" s="8"/>
      <c r="N9" s="163" t="str">
        <f t="shared" si="0"/>
        <v/>
      </c>
      <c r="O9" s="126" t="str">
        <f t="shared" si="1"/>
        <v>-</v>
      </c>
      <c r="P9" s="164"/>
      <c r="Q9" s="164"/>
      <c r="R9" s="164"/>
      <c r="S9" s="164"/>
      <c r="T9" s="164"/>
      <c r="U9" s="164"/>
      <c r="V9" s="164"/>
    </row>
    <row r="10" spans="1:22" ht="27" customHeight="1">
      <c r="A10" s="38" t="str">
        <f>IF(ISBLANK(C10)," ",5-COUNTBLANK($C$6:C10))</f>
        <v xml:space="preserve"> </v>
      </c>
      <c r="B10" s="4"/>
      <c r="C10" s="5"/>
      <c r="D10" s="34"/>
      <c r="E10" s="34"/>
      <c r="F10" s="6"/>
      <c r="G10" s="6"/>
      <c r="H10" s="7"/>
      <c r="I10" s="7"/>
      <c r="J10" s="2"/>
      <c r="K10" s="2"/>
      <c r="L10" s="2"/>
      <c r="M10" s="8"/>
      <c r="N10" s="163" t="str">
        <f t="shared" si="0"/>
        <v/>
      </c>
      <c r="O10" s="126" t="str">
        <f t="shared" si="1"/>
        <v>-</v>
      </c>
      <c r="P10" s="164"/>
      <c r="Q10" s="164"/>
      <c r="R10" s="164"/>
      <c r="S10" s="164"/>
      <c r="T10" s="164"/>
      <c r="U10" s="164"/>
      <c r="V10" s="164"/>
    </row>
    <row r="11" spans="1:22" ht="27" customHeight="1">
      <c r="A11" s="38" t="str">
        <f>IF(ISBLANK(C11)," ",6-COUNTBLANK($C$6:C11))</f>
        <v xml:space="preserve"> </v>
      </c>
      <c r="B11" s="4"/>
      <c r="C11" s="5"/>
      <c r="D11" s="34"/>
      <c r="E11" s="34"/>
      <c r="F11" s="6"/>
      <c r="G11" s="6"/>
      <c r="H11" s="7"/>
      <c r="I11" s="7"/>
      <c r="J11" s="2"/>
      <c r="K11" s="2"/>
      <c r="L11" s="2"/>
      <c r="M11" s="8"/>
      <c r="N11" s="163" t="str">
        <f t="shared" si="0"/>
        <v/>
      </c>
      <c r="O11" s="126" t="str">
        <f t="shared" si="1"/>
        <v>-</v>
      </c>
      <c r="P11" s="164"/>
      <c r="Q11" s="164"/>
      <c r="R11" s="164"/>
      <c r="S11" s="164"/>
      <c r="T11" s="164"/>
      <c r="U11" s="164"/>
      <c r="V11" s="164"/>
    </row>
    <row r="12" spans="1:22" ht="27" customHeight="1">
      <c r="A12" s="38" t="str">
        <f>IF(ISBLANK(C12)," ",7-COUNTBLANK($C$6:C12))</f>
        <v xml:space="preserve"> </v>
      </c>
      <c r="B12" s="4"/>
      <c r="C12" s="5"/>
      <c r="D12" s="34"/>
      <c r="E12" s="34"/>
      <c r="F12" s="6"/>
      <c r="G12" s="6"/>
      <c r="H12" s="7"/>
      <c r="I12" s="7"/>
      <c r="J12" s="2"/>
      <c r="K12" s="2"/>
      <c r="L12" s="2"/>
      <c r="M12" s="8"/>
      <c r="N12" s="163" t="str">
        <f t="shared" si="0"/>
        <v/>
      </c>
      <c r="O12" s="126" t="str">
        <f t="shared" si="1"/>
        <v>-</v>
      </c>
      <c r="P12" s="164"/>
      <c r="Q12" s="164"/>
      <c r="R12" s="164"/>
      <c r="S12" s="164"/>
      <c r="T12" s="164"/>
      <c r="U12" s="164"/>
      <c r="V12" s="164"/>
    </row>
    <row r="13" spans="1:22" ht="27" customHeight="1">
      <c r="A13" s="38" t="str">
        <f>IF(ISBLANK(C13)," ",8-COUNTBLANK($C$6:C13))</f>
        <v xml:space="preserve"> </v>
      </c>
      <c r="B13" s="4"/>
      <c r="C13" s="5"/>
      <c r="D13" s="34"/>
      <c r="E13" s="34"/>
      <c r="F13" s="6"/>
      <c r="G13" s="6"/>
      <c r="H13" s="7"/>
      <c r="I13" s="7"/>
      <c r="J13" s="2"/>
      <c r="K13" s="2"/>
      <c r="L13" s="2"/>
      <c r="M13" s="8"/>
      <c r="N13" s="163" t="str">
        <f t="shared" si="0"/>
        <v/>
      </c>
      <c r="O13" s="126" t="str">
        <f t="shared" si="1"/>
        <v>-</v>
      </c>
      <c r="P13" s="164"/>
      <c r="Q13" s="164"/>
      <c r="R13" s="164"/>
      <c r="S13" s="164"/>
      <c r="T13" s="164"/>
      <c r="U13" s="164"/>
      <c r="V13" s="164"/>
    </row>
    <row r="14" spans="1:22" ht="27" customHeight="1">
      <c r="A14" s="38" t="str">
        <f>IF(ISBLANK(C14)," ",9-COUNTBLANK($C$6:C14))</f>
        <v xml:space="preserve"> </v>
      </c>
      <c r="B14" s="4"/>
      <c r="C14" s="5"/>
      <c r="D14" s="34"/>
      <c r="E14" s="34"/>
      <c r="F14" s="6"/>
      <c r="G14" s="6"/>
      <c r="H14" s="7"/>
      <c r="I14" s="7"/>
      <c r="J14" s="2"/>
      <c r="K14" s="2"/>
      <c r="L14" s="2"/>
      <c r="M14" s="8"/>
      <c r="N14" s="163" t="str">
        <f t="shared" si="0"/>
        <v/>
      </c>
      <c r="O14" s="126" t="str">
        <f t="shared" si="1"/>
        <v>-</v>
      </c>
      <c r="P14" s="164"/>
      <c r="Q14" s="164"/>
      <c r="R14" s="164"/>
      <c r="S14" s="164"/>
      <c r="T14" s="164"/>
      <c r="U14" s="164"/>
      <c r="V14" s="164"/>
    </row>
    <row r="15" spans="1:22" ht="27" customHeight="1">
      <c r="A15" s="38" t="str">
        <f>IF(ISBLANK(C15)," ",10-COUNTBLANK($C$6:C15))</f>
        <v xml:space="preserve"> </v>
      </c>
      <c r="B15" s="4"/>
      <c r="C15" s="5"/>
      <c r="D15" s="34"/>
      <c r="E15" s="34"/>
      <c r="F15" s="6"/>
      <c r="G15" s="6"/>
      <c r="H15" s="7"/>
      <c r="I15" s="7"/>
      <c r="J15" s="2"/>
      <c r="K15" s="2"/>
      <c r="L15" s="2"/>
      <c r="M15" s="8"/>
      <c r="N15" s="163" t="str">
        <f t="shared" si="0"/>
        <v/>
      </c>
      <c r="O15" s="126" t="str">
        <f t="shared" si="1"/>
        <v>-</v>
      </c>
      <c r="P15" s="164"/>
      <c r="Q15" s="164"/>
      <c r="R15" s="164"/>
      <c r="S15" s="164"/>
      <c r="T15" s="164"/>
      <c r="U15" s="164"/>
      <c r="V15" s="164"/>
    </row>
    <row r="16" spans="1:22" ht="27" customHeight="1">
      <c r="A16" s="38" t="str">
        <f>IF(ISBLANK(C16)," ",11-COUNTBLANK($C$6:C16))</f>
        <v xml:space="preserve"> </v>
      </c>
      <c r="B16" s="4"/>
      <c r="C16" s="5"/>
      <c r="D16" s="34"/>
      <c r="E16" s="34"/>
      <c r="F16" s="6"/>
      <c r="G16" s="6"/>
      <c r="H16" s="7"/>
      <c r="I16" s="7"/>
      <c r="J16" s="2"/>
      <c r="K16" s="2"/>
      <c r="L16" s="2"/>
      <c r="M16" s="8"/>
      <c r="N16" s="163" t="str">
        <f t="shared" si="0"/>
        <v/>
      </c>
      <c r="O16" s="126" t="str">
        <f t="shared" si="1"/>
        <v>-</v>
      </c>
      <c r="P16" s="164"/>
      <c r="Q16" s="164"/>
      <c r="R16" s="164"/>
      <c r="S16" s="164"/>
      <c r="T16" s="164"/>
      <c r="U16" s="164"/>
      <c r="V16" s="164"/>
    </row>
    <row r="17" spans="1:25" ht="27" customHeight="1">
      <c r="A17" s="38" t="str">
        <f>IF(ISBLANK(C17)," ",12-COUNTBLANK($C$6:C17))</f>
        <v xml:space="preserve"> </v>
      </c>
      <c r="B17" s="4"/>
      <c r="C17" s="5"/>
      <c r="D17" s="34"/>
      <c r="E17" s="34"/>
      <c r="F17" s="6"/>
      <c r="G17" s="6"/>
      <c r="H17" s="7"/>
      <c r="I17" s="7"/>
      <c r="J17" s="2"/>
      <c r="K17" s="2"/>
      <c r="L17" s="2"/>
      <c r="M17" s="8"/>
      <c r="N17" s="163" t="str">
        <f t="shared" si="0"/>
        <v/>
      </c>
      <c r="O17" s="126" t="str">
        <f t="shared" si="1"/>
        <v>-</v>
      </c>
      <c r="P17" s="164"/>
      <c r="Q17" s="164"/>
      <c r="R17" s="164"/>
      <c r="S17" s="164"/>
      <c r="T17" s="164"/>
      <c r="U17" s="164"/>
      <c r="V17" s="164"/>
    </row>
    <row r="18" spans="1:25" ht="27" customHeight="1">
      <c r="A18" s="38" t="str">
        <f>IF(ISBLANK(C18)," ",13-COUNTBLANK($C$6:C18))</f>
        <v xml:space="preserve"> </v>
      </c>
      <c r="B18" s="4"/>
      <c r="C18" s="5"/>
      <c r="D18" s="34"/>
      <c r="E18" s="34"/>
      <c r="F18" s="6"/>
      <c r="G18" s="6"/>
      <c r="H18" s="7"/>
      <c r="I18" s="7"/>
      <c r="J18" s="2"/>
      <c r="K18" s="2"/>
      <c r="L18" s="2"/>
      <c r="M18" s="8"/>
      <c r="N18" s="163" t="str">
        <f t="shared" si="0"/>
        <v/>
      </c>
      <c r="O18" s="126" t="str">
        <f t="shared" si="1"/>
        <v>-</v>
      </c>
      <c r="P18" s="164"/>
      <c r="Q18" s="164"/>
      <c r="R18" s="164"/>
      <c r="S18" s="164"/>
      <c r="T18" s="164"/>
      <c r="U18" s="164"/>
      <c r="V18" s="164"/>
    </row>
    <row r="19" spans="1:25" ht="27" customHeight="1">
      <c r="A19" s="38" t="str">
        <f>IF(ISBLANK(C19)," ",14-COUNTBLANK($C$6:C19))</f>
        <v xml:space="preserve"> </v>
      </c>
      <c r="B19" s="4"/>
      <c r="C19" s="5"/>
      <c r="D19" s="34"/>
      <c r="E19" s="34"/>
      <c r="F19" s="6"/>
      <c r="G19" s="6"/>
      <c r="H19" s="7"/>
      <c r="I19" s="7"/>
      <c r="J19" s="2"/>
      <c r="K19" s="2"/>
      <c r="L19" s="2"/>
      <c r="M19" s="8"/>
      <c r="N19" s="163" t="str">
        <f t="shared" si="0"/>
        <v/>
      </c>
      <c r="O19" s="126" t="str">
        <f t="shared" si="1"/>
        <v>-</v>
      </c>
      <c r="P19" s="164"/>
      <c r="Q19" s="164"/>
      <c r="R19" s="164"/>
      <c r="S19" s="164"/>
      <c r="T19" s="164"/>
      <c r="U19" s="164"/>
      <c r="V19" s="164"/>
    </row>
    <row r="20" spans="1:25" ht="27" customHeight="1">
      <c r="A20" s="38" t="str">
        <f>IF(ISBLANK(C20)," ",15-COUNTBLANK($C$6:C20))</f>
        <v xml:space="preserve"> </v>
      </c>
      <c r="B20" s="4"/>
      <c r="C20" s="5"/>
      <c r="D20" s="34"/>
      <c r="E20" s="34"/>
      <c r="F20" s="6"/>
      <c r="G20" s="6"/>
      <c r="H20" s="7"/>
      <c r="I20" s="7"/>
      <c r="J20" s="2"/>
      <c r="K20" s="2"/>
      <c r="L20" s="2"/>
      <c r="M20" s="8"/>
      <c r="N20" s="163" t="str">
        <f t="shared" si="0"/>
        <v/>
      </c>
      <c r="O20" s="126" t="str">
        <f t="shared" si="1"/>
        <v>-</v>
      </c>
      <c r="P20" s="164"/>
      <c r="Q20" s="164"/>
      <c r="R20" s="164"/>
      <c r="S20" s="164"/>
      <c r="T20" s="164"/>
      <c r="U20" s="164"/>
      <c r="V20" s="164"/>
    </row>
    <row r="21" spans="1:25" ht="27" customHeight="1">
      <c r="A21" s="38" t="str">
        <f>IF(ISBLANK(C21)," ",16-COUNTBLANK($C$6:C21))</f>
        <v xml:space="preserve"> </v>
      </c>
      <c r="B21" s="4"/>
      <c r="C21" s="5"/>
      <c r="D21" s="34"/>
      <c r="E21" s="34"/>
      <c r="F21" s="6"/>
      <c r="G21" s="6"/>
      <c r="H21" s="7"/>
      <c r="I21" s="7"/>
      <c r="J21" s="2"/>
      <c r="K21" s="2"/>
      <c r="L21" s="2"/>
      <c r="M21" s="8"/>
      <c r="N21" s="163" t="str">
        <f t="shared" si="0"/>
        <v/>
      </c>
      <c r="O21" s="126" t="str">
        <f t="shared" si="1"/>
        <v>-</v>
      </c>
      <c r="P21" s="164"/>
      <c r="Q21" s="164"/>
      <c r="R21" s="164"/>
      <c r="S21" s="164"/>
      <c r="T21" s="164"/>
      <c r="U21" s="164"/>
      <c r="V21" s="165"/>
    </row>
    <row r="22" spans="1:25" ht="27" customHeight="1">
      <c r="A22" s="38" t="str">
        <f>IF(ISBLANK(C22)," ",17-COUNTBLANK($C$6:C22))</f>
        <v xml:space="preserve"> </v>
      </c>
      <c r="B22" s="4"/>
      <c r="C22" s="5"/>
      <c r="D22" s="34"/>
      <c r="E22" s="34"/>
      <c r="F22" s="6"/>
      <c r="G22" s="6"/>
      <c r="H22" s="7"/>
      <c r="I22" s="7"/>
      <c r="J22" s="2"/>
      <c r="K22" s="2"/>
      <c r="L22" s="2"/>
      <c r="M22" s="8"/>
      <c r="N22" s="163" t="str">
        <f t="shared" si="0"/>
        <v/>
      </c>
      <c r="O22" s="126" t="str">
        <f t="shared" si="1"/>
        <v>-</v>
      </c>
      <c r="P22" s="164"/>
      <c r="Q22" s="164"/>
      <c r="R22" s="164"/>
      <c r="S22" s="164"/>
      <c r="T22" s="164"/>
      <c r="U22" s="164"/>
      <c r="V22" s="165"/>
    </row>
    <row r="23" spans="1:25" ht="27" customHeight="1">
      <c r="A23" s="38" t="str">
        <f>IF(ISBLANK(C23)," ",18-COUNTBLANK($C$6:C23))</f>
        <v xml:space="preserve"> </v>
      </c>
      <c r="B23" s="4"/>
      <c r="C23" s="5"/>
      <c r="D23" s="34"/>
      <c r="E23" s="34"/>
      <c r="F23" s="6"/>
      <c r="G23" s="6"/>
      <c r="H23" s="7"/>
      <c r="I23" s="7"/>
      <c r="J23" s="2"/>
      <c r="K23" s="2"/>
      <c r="L23" s="2"/>
      <c r="M23" s="8"/>
      <c r="N23" s="163" t="str">
        <f t="shared" si="0"/>
        <v/>
      </c>
      <c r="O23" s="126" t="str">
        <f t="shared" si="1"/>
        <v>-</v>
      </c>
      <c r="P23" s="164"/>
      <c r="Q23" s="164"/>
      <c r="R23" s="164"/>
      <c r="S23" s="164"/>
      <c r="T23" s="164"/>
      <c r="U23" s="164"/>
      <c r="V23" s="165"/>
    </row>
    <row r="24" spans="1:25" ht="27" customHeight="1">
      <c r="A24" s="38" t="str">
        <f>IF(ISBLANK(C24)," ",19-COUNTBLANK($C$6:C24))</f>
        <v xml:space="preserve"> </v>
      </c>
      <c r="B24" s="4"/>
      <c r="C24" s="5"/>
      <c r="D24" s="34"/>
      <c r="E24" s="34"/>
      <c r="F24" s="6"/>
      <c r="G24" s="6"/>
      <c r="H24" s="7"/>
      <c r="I24" s="7"/>
      <c r="J24" s="2"/>
      <c r="K24" s="2"/>
      <c r="L24" s="2"/>
      <c r="M24" s="8"/>
      <c r="N24" s="163" t="str">
        <f t="shared" si="0"/>
        <v/>
      </c>
      <c r="O24" s="126" t="str">
        <f t="shared" si="1"/>
        <v>-</v>
      </c>
      <c r="P24" s="164"/>
      <c r="Q24" s="164"/>
      <c r="R24" s="164"/>
      <c r="S24" s="164"/>
      <c r="T24" s="164"/>
      <c r="U24" s="164"/>
      <c r="V24" s="165"/>
    </row>
    <row r="25" spans="1:25" ht="27" customHeight="1">
      <c r="A25" s="39" t="str">
        <f>IF(ISBLANK(C25)," ",20-COUNTBLANK($C$6:C25))</f>
        <v xml:space="preserve"> </v>
      </c>
      <c r="B25" s="14"/>
      <c r="C25" s="15"/>
      <c r="D25" s="35"/>
      <c r="E25" s="35"/>
      <c r="F25" s="16"/>
      <c r="G25" s="16"/>
      <c r="H25" s="17"/>
      <c r="I25" s="17"/>
      <c r="J25" s="3"/>
      <c r="K25" s="3"/>
      <c r="L25" s="3"/>
      <c r="M25" s="18"/>
      <c r="N25" s="163" t="str">
        <f t="shared" si="0"/>
        <v/>
      </c>
      <c r="O25" s="126" t="str">
        <f t="shared" si="1"/>
        <v>-</v>
      </c>
      <c r="P25" s="164"/>
      <c r="Q25" s="164"/>
      <c r="R25" s="164"/>
      <c r="S25" s="164"/>
      <c r="T25" s="164"/>
      <c r="U25" s="164"/>
      <c r="V25" s="166"/>
      <c r="W25" s="164"/>
      <c r="X25" s="164"/>
      <c r="Y25" s="164"/>
    </row>
    <row r="26" spans="1:25" ht="27" customHeight="1">
      <c r="A26" s="167" t="s">
        <v>44</v>
      </c>
      <c r="B26" s="168"/>
      <c r="C26" s="168"/>
      <c r="D26" s="169"/>
      <c r="E26" s="169">
        <f>SUM(E6:E25)</f>
        <v>0</v>
      </c>
      <c r="F26" s="170"/>
      <c r="G26" s="170"/>
      <c r="H26" s="170"/>
      <c r="I26" s="170"/>
      <c r="J26" s="170"/>
      <c r="K26" s="170"/>
      <c r="L26" s="170"/>
      <c r="M26" s="171"/>
      <c r="N26" s="163" t="str">
        <f t="shared" si="0"/>
        <v/>
      </c>
      <c r="O26" s="126"/>
      <c r="P26" s="164"/>
      <c r="Q26" s="164"/>
      <c r="R26" s="164"/>
      <c r="S26" s="164"/>
      <c r="T26" s="164"/>
      <c r="U26" s="164"/>
      <c r="V26" s="166"/>
      <c r="W26" s="164"/>
      <c r="X26" s="164"/>
      <c r="Y26" s="164"/>
    </row>
    <row r="27" spans="1:25" ht="27" customHeight="1">
      <c r="A27" s="37" t="str">
        <f>IF(ISBLANK(C27)," ",22-COUNTBLANK($C$6:C27))</f>
        <v xml:space="preserve"> </v>
      </c>
      <c r="B27" s="9"/>
      <c r="C27" s="10"/>
      <c r="D27" s="33"/>
      <c r="E27" s="33"/>
      <c r="F27" s="11"/>
      <c r="G27" s="11"/>
      <c r="H27" s="12"/>
      <c r="I27" s="12"/>
      <c r="J27" s="32"/>
      <c r="K27" s="32"/>
      <c r="L27" s="32"/>
      <c r="M27" s="13"/>
      <c r="N27" s="163" t="str">
        <f t="shared" si="0"/>
        <v/>
      </c>
      <c r="O27" s="126" t="str">
        <f>IF(D27&gt;=E27,"-","ERR")</f>
        <v>-</v>
      </c>
      <c r="P27" s="164"/>
      <c r="Q27" s="164"/>
      <c r="R27" s="164"/>
      <c r="S27" s="164"/>
      <c r="T27" s="164"/>
      <c r="U27" s="164"/>
      <c r="V27" s="164"/>
    </row>
    <row r="28" spans="1:25" ht="27" customHeight="1">
      <c r="A28" s="38" t="str">
        <f>IF(ISBLANK(C28)," ",23-COUNTBLANK($C$6:C28))</f>
        <v xml:space="preserve"> </v>
      </c>
      <c r="B28" s="4"/>
      <c r="C28" s="5"/>
      <c r="D28" s="34"/>
      <c r="E28" s="34"/>
      <c r="F28" s="6"/>
      <c r="G28" s="6"/>
      <c r="H28" s="7"/>
      <c r="I28" s="7"/>
      <c r="J28" s="2"/>
      <c r="K28" s="2"/>
      <c r="L28" s="2"/>
      <c r="M28" s="8"/>
      <c r="N28" s="163" t="str">
        <f t="shared" si="0"/>
        <v/>
      </c>
      <c r="O28" s="126" t="str">
        <f t="shared" ref="O28:O46" si="2">IF(D28&gt;=E28,"-","ERR")</f>
        <v>-</v>
      </c>
      <c r="P28" s="164"/>
      <c r="Q28" s="164"/>
      <c r="R28" s="164"/>
      <c r="S28" s="164"/>
      <c r="T28" s="164"/>
      <c r="U28" s="164"/>
      <c r="V28" s="164"/>
    </row>
    <row r="29" spans="1:25" ht="27" customHeight="1">
      <c r="A29" s="38" t="str">
        <f>IF(ISBLANK(C29)," ",24-COUNTBLANK($C$6:C29))</f>
        <v xml:space="preserve"> </v>
      </c>
      <c r="B29" s="4"/>
      <c r="C29" s="5"/>
      <c r="D29" s="34"/>
      <c r="E29" s="34"/>
      <c r="F29" s="6"/>
      <c r="G29" s="6"/>
      <c r="H29" s="7"/>
      <c r="I29" s="7"/>
      <c r="J29" s="2"/>
      <c r="K29" s="2"/>
      <c r="L29" s="2"/>
      <c r="M29" s="8"/>
      <c r="N29" s="163" t="str">
        <f t="shared" si="0"/>
        <v/>
      </c>
      <c r="O29" s="126" t="str">
        <f t="shared" si="2"/>
        <v>-</v>
      </c>
      <c r="P29" s="164"/>
      <c r="Q29" s="164"/>
      <c r="R29" s="164"/>
      <c r="S29" s="164"/>
      <c r="T29" s="164"/>
      <c r="U29" s="164"/>
      <c r="V29" s="164"/>
    </row>
    <row r="30" spans="1:25" ht="27" customHeight="1">
      <c r="A30" s="38" t="str">
        <f>IF(ISBLANK(C30)," ",25-COUNTBLANK($C$6:C30))</f>
        <v xml:space="preserve"> </v>
      </c>
      <c r="B30" s="4"/>
      <c r="C30" s="5"/>
      <c r="D30" s="34"/>
      <c r="E30" s="34"/>
      <c r="F30" s="6"/>
      <c r="G30" s="6"/>
      <c r="H30" s="7"/>
      <c r="I30" s="7"/>
      <c r="J30" s="2"/>
      <c r="K30" s="2"/>
      <c r="L30" s="2"/>
      <c r="M30" s="8"/>
      <c r="N30" s="163" t="str">
        <f t="shared" si="0"/>
        <v/>
      </c>
      <c r="O30" s="126" t="str">
        <f t="shared" si="2"/>
        <v>-</v>
      </c>
      <c r="P30" s="164"/>
      <c r="Q30" s="164"/>
      <c r="R30" s="164"/>
      <c r="S30" s="164"/>
      <c r="T30" s="164"/>
      <c r="U30" s="164"/>
      <c r="V30" s="164"/>
    </row>
    <row r="31" spans="1:25" ht="27" customHeight="1">
      <c r="A31" s="38" t="str">
        <f>IF(ISBLANK(C31)," ",26-COUNTBLANK($C$6:C31))</f>
        <v xml:space="preserve"> </v>
      </c>
      <c r="B31" s="4"/>
      <c r="C31" s="5"/>
      <c r="D31" s="34"/>
      <c r="E31" s="34"/>
      <c r="F31" s="6"/>
      <c r="G31" s="6"/>
      <c r="H31" s="7"/>
      <c r="I31" s="7"/>
      <c r="J31" s="2"/>
      <c r="K31" s="2"/>
      <c r="L31" s="2"/>
      <c r="M31" s="8"/>
      <c r="N31" s="163" t="str">
        <f t="shared" si="0"/>
        <v/>
      </c>
      <c r="O31" s="126" t="str">
        <f t="shared" si="2"/>
        <v>-</v>
      </c>
      <c r="P31" s="164"/>
      <c r="Q31" s="164"/>
      <c r="R31" s="164"/>
      <c r="S31" s="164"/>
      <c r="T31" s="164"/>
      <c r="U31" s="164"/>
      <c r="V31" s="164"/>
    </row>
    <row r="32" spans="1:25" ht="27" customHeight="1">
      <c r="A32" s="38" t="str">
        <f>IF(ISBLANK(C32)," ",27-COUNTBLANK($C$6:C32))</f>
        <v xml:space="preserve"> </v>
      </c>
      <c r="B32" s="4"/>
      <c r="C32" s="5"/>
      <c r="D32" s="34"/>
      <c r="E32" s="34"/>
      <c r="F32" s="6"/>
      <c r="G32" s="6"/>
      <c r="H32" s="7"/>
      <c r="I32" s="7"/>
      <c r="J32" s="2"/>
      <c r="K32" s="2"/>
      <c r="L32" s="2"/>
      <c r="M32" s="8"/>
      <c r="N32" s="163" t="str">
        <f t="shared" si="0"/>
        <v/>
      </c>
      <c r="O32" s="126" t="str">
        <f t="shared" si="2"/>
        <v>-</v>
      </c>
      <c r="P32" s="164"/>
      <c r="Q32" s="164"/>
      <c r="R32" s="164"/>
      <c r="S32" s="164"/>
      <c r="T32" s="164"/>
      <c r="U32" s="164"/>
      <c r="V32" s="164"/>
    </row>
    <row r="33" spans="1:25" ht="27" customHeight="1">
      <c r="A33" s="38" t="str">
        <f>IF(ISBLANK(C33)," ",28-COUNTBLANK($C$6:C33))</f>
        <v xml:space="preserve"> </v>
      </c>
      <c r="B33" s="4"/>
      <c r="C33" s="5"/>
      <c r="D33" s="34"/>
      <c r="E33" s="34"/>
      <c r="F33" s="6"/>
      <c r="G33" s="6"/>
      <c r="H33" s="7"/>
      <c r="I33" s="7"/>
      <c r="J33" s="2"/>
      <c r="K33" s="2"/>
      <c r="L33" s="2"/>
      <c r="M33" s="8"/>
      <c r="N33" s="163" t="str">
        <f t="shared" si="0"/>
        <v/>
      </c>
      <c r="O33" s="126" t="str">
        <f t="shared" si="2"/>
        <v>-</v>
      </c>
      <c r="P33" s="164"/>
      <c r="Q33" s="164"/>
      <c r="R33" s="164"/>
      <c r="S33" s="164"/>
      <c r="T33" s="164"/>
      <c r="U33" s="164"/>
      <c r="V33" s="164"/>
    </row>
    <row r="34" spans="1:25" ht="27" customHeight="1">
      <c r="A34" s="38" t="str">
        <f>IF(ISBLANK(C34)," ",29-COUNTBLANK($C$6:C34))</f>
        <v xml:space="preserve"> </v>
      </c>
      <c r="B34" s="4"/>
      <c r="C34" s="5"/>
      <c r="D34" s="34"/>
      <c r="E34" s="34"/>
      <c r="F34" s="6"/>
      <c r="G34" s="6"/>
      <c r="H34" s="7"/>
      <c r="I34" s="7"/>
      <c r="J34" s="2"/>
      <c r="K34" s="2"/>
      <c r="L34" s="2"/>
      <c r="M34" s="8"/>
      <c r="N34" s="163" t="str">
        <f t="shared" si="0"/>
        <v/>
      </c>
      <c r="O34" s="126" t="str">
        <f t="shared" si="2"/>
        <v>-</v>
      </c>
      <c r="P34" s="164"/>
      <c r="Q34" s="164"/>
      <c r="R34" s="164"/>
      <c r="S34" s="164"/>
      <c r="T34" s="164"/>
      <c r="U34" s="164"/>
      <c r="V34" s="164"/>
    </row>
    <row r="35" spans="1:25" ht="27" customHeight="1">
      <c r="A35" s="38" t="str">
        <f>IF(ISBLANK(C35)," ",30-COUNTBLANK($C$6:C35))</f>
        <v xml:space="preserve"> </v>
      </c>
      <c r="B35" s="4"/>
      <c r="C35" s="5"/>
      <c r="D35" s="34"/>
      <c r="E35" s="34"/>
      <c r="F35" s="6"/>
      <c r="G35" s="6"/>
      <c r="H35" s="7"/>
      <c r="I35" s="7"/>
      <c r="J35" s="2"/>
      <c r="K35" s="2"/>
      <c r="L35" s="2"/>
      <c r="M35" s="8"/>
      <c r="N35" s="163" t="str">
        <f t="shared" si="0"/>
        <v/>
      </c>
      <c r="O35" s="126" t="str">
        <f t="shared" si="2"/>
        <v>-</v>
      </c>
      <c r="P35" s="164"/>
      <c r="Q35" s="164"/>
      <c r="R35" s="164"/>
      <c r="S35" s="164"/>
      <c r="T35" s="164"/>
      <c r="U35" s="164"/>
      <c r="V35" s="164"/>
    </row>
    <row r="36" spans="1:25" ht="27" customHeight="1">
      <c r="A36" s="38" t="str">
        <f>IF(ISBLANK(C36)," ",31-COUNTBLANK($C$6:C36))</f>
        <v xml:space="preserve"> </v>
      </c>
      <c r="B36" s="4"/>
      <c r="C36" s="5"/>
      <c r="D36" s="34"/>
      <c r="E36" s="34"/>
      <c r="F36" s="6"/>
      <c r="G36" s="6"/>
      <c r="H36" s="7"/>
      <c r="I36" s="7"/>
      <c r="J36" s="2"/>
      <c r="K36" s="2"/>
      <c r="L36" s="2"/>
      <c r="M36" s="8"/>
      <c r="N36" s="163" t="str">
        <f t="shared" si="0"/>
        <v/>
      </c>
      <c r="O36" s="126" t="str">
        <f t="shared" si="2"/>
        <v>-</v>
      </c>
      <c r="P36" s="164"/>
      <c r="Q36" s="164"/>
      <c r="R36" s="164"/>
      <c r="S36" s="164"/>
      <c r="T36" s="164"/>
      <c r="U36" s="164"/>
      <c r="V36" s="164"/>
    </row>
    <row r="37" spans="1:25" ht="27" customHeight="1">
      <c r="A37" s="38" t="str">
        <f>IF(ISBLANK(C37)," ",32-COUNTBLANK($C$6:C37))</f>
        <v xml:space="preserve"> </v>
      </c>
      <c r="B37" s="4"/>
      <c r="C37" s="5"/>
      <c r="D37" s="34"/>
      <c r="E37" s="34"/>
      <c r="F37" s="6"/>
      <c r="G37" s="6"/>
      <c r="H37" s="7"/>
      <c r="I37" s="7"/>
      <c r="J37" s="2"/>
      <c r="K37" s="2"/>
      <c r="L37" s="2"/>
      <c r="M37" s="8"/>
      <c r="N37" s="163" t="str">
        <f t="shared" si="0"/>
        <v/>
      </c>
      <c r="O37" s="126" t="str">
        <f t="shared" si="2"/>
        <v>-</v>
      </c>
      <c r="P37" s="164"/>
      <c r="Q37" s="164"/>
      <c r="R37" s="164"/>
      <c r="S37" s="164"/>
      <c r="T37" s="164"/>
      <c r="U37" s="164"/>
      <c r="V37" s="164"/>
    </row>
    <row r="38" spans="1:25" ht="27" customHeight="1">
      <c r="A38" s="38" t="str">
        <f>IF(ISBLANK(C38)," ",33-COUNTBLANK($C$6:C38))</f>
        <v xml:space="preserve"> </v>
      </c>
      <c r="B38" s="4"/>
      <c r="C38" s="5"/>
      <c r="D38" s="34"/>
      <c r="E38" s="34"/>
      <c r="F38" s="6"/>
      <c r="G38" s="6"/>
      <c r="H38" s="7"/>
      <c r="I38" s="7"/>
      <c r="J38" s="2"/>
      <c r="K38" s="2"/>
      <c r="L38" s="2"/>
      <c r="M38" s="8"/>
      <c r="N38" s="163" t="str">
        <f t="shared" si="0"/>
        <v/>
      </c>
      <c r="O38" s="126" t="str">
        <f t="shared" si="2"/>
        <v>-</v>
      </c>
      <c r="P38" s="164"/>
      <c r="Q38" s="164"/>
      <c r="R38" s="164"/>
      <c r="S38" s="164"/>
      <c r="T38" s="164"/>
      <c r="U38" s="164"/>
      <c r="V38" s="164"/>
    </row>
    <row r="39" spans="1:25" ht="27" customHeight="1">
      <c r="A39" s="38" t="str">
        <f>IF(ISBLANK(C39)," ",34-COUNTBLANK($C$6:C39))</f>
        <v xml:space="preserve"> </v>
      </c>
      <c r="B39" s="4"/>
      <c r="C39" s="5"/>
      <c r="D39" s="34"/>
      <c r="E39" s="34"/>
      <c r="F39" s="6"/>
      <c r="G39" s="6"/>
      <c r="H39" s="7"/>
      <c r="I39" s="7"/>
      <c r="J39" s="2"/>
      <c r="K39" s="2"/>
      <c r="L39" s="2"/>
      <c r="M39" s="8"/>
      <c r="N39" s="163" t="str">
        <f t="shared" si="0"/>
        <v/>
      </c>
      <c r="O39" s="126" t="str">
        <f t="shared" si="2"/>
        <v>-</v>
      </c>
      <c r="P39" s="164"/>
      <c r="Q39" s="164"/>
      <c r="R39" s="164"/>
      <c r="S39" s="164"/>
      <c r="T39" s="164"/>
      <c r="U39" s="164"/>
      <c r="V39" s="164"/>
    </row>
    <row r="40" spans="1:25" ht="27" customHeight="1">
      <c r="A40" s="38" t="str">
        <f>IF(ISBLANK(C40)," ",35-COUNTBLANK($C$6:C40))</f>
        <v xml:space="preserve"> </v>
      </c>
      <c r="B40" s="4"/>
      <c r="C40" s="5"/>
      <c r="D40" s="34"/>
      <c r="E40" s="34"/>
      <c r="F40" s="6"/>
      <c r="G40" s="6"/>
      <c r="H40" s="7"/>
      <c r="I40" s="7"/>
      <c r="J40" s="2"/>
      <c r="K40" s="2"/>
      <c r="L40" s="2"/>
      <c r="M40" s="8"/>
      <c r="N40" s="163" t="str">
        <f t="shared" si="0"/>
        <v/>
      </c>
      <c r="O40" s="126" t="str">
        <f t="shared" si="2"/>
        <v>-</v>
      </c>
      <c r="P40" s="164"/>
      <c r="Q40" s="164"/>
      <c r="R40" s="164"/>
      <c r="S40" s="164"/>
      <c r="T40" s="164"/>
      <c r="U40" s="164"/>
      <c r="V40" s="164"/>
    </row>
    <row r="41" spans="1:25" ht="27" customHeight="1">
      <c r="A41" s="38" t="str">
        <f>IF(ISBLANK(C41)," ",36-COUNTBLANK($C$6:C41))</f>
        <v xml:space="preserve"> </v>
      </c>
      <c r="B41" s="4"/>
      <c r="C41" s="5"/>
      <c r="D41" s="34"/>
      <c r="E41" s="34"/>
      <c r="F41" s="6"/>
      <c r="G41" s="6"/>
      <c r="H41" s="7"/>
      <c r="I41" s="7"/>
      <c r="J41" s="2"/>
      <c r="K41" s="2"/>
      <c r="L41" s="2"/>
      <c r="M41" s="8"/>
      <c r="N41" s="163" t="str">
        <f t="shared" si="0"/>
        <v/>
      </c>
      <c r="O41" s="126" t="str">
        <f t="shared" si="2"/>
        <v>-</v>
      </c>
      <c r="P41" s="164"/>
      <c r="Q41" s="164"/>
      <c r="R41" s="164"/>
      <c r="S41" s="164"/>
      <c r="T41" s="164"/>
      <c r="U41" s="164"/>
      <c r="V41" s="164"/>
    </row>
    <row r="42" spans="1:25" ht="27" customHeight="1">
      <c r="A42" s="38" t="str">
        <f>IF(ISBLANK(C42)," ",37-COUNTBLANK($C$6:C42))</f>
        <v xml:space="preserve"> </v>
      </c>
      <c r="B42" s="4"/>
      <c r="C42" s="5"/>
      <c r="D42" s="34"/>
      <c r="E42" s="34"/>
      <c r="F42" s="6"/>
      <c r="G42" s="6"/>
      <c r="H42" s="7"/>
      <c r="I42" s="7"/>
      <c r="J42" s="2"/>
      <c r="K42" s="2"/>
      <c r="L42" s="2"/>
      <c r="M42" s="8"/>
      <c r="N42" s="163" t="str">
        <f t="shared" si="0"/>
        <v/>
      </c>
      <c r="O42" s="126" t="str">
        <f t="shared" si="2"/>
        <v>-</v>
      </c>
      <c r="P42" s="164"/>
      <c r="Q42" s="164"/>
      <c r="R42" s="164"/>
      <c r="S42" s="164"/>
      <c r="T42" s="164"/>
      <c r="U42" s="164"/>
      <c r="V42" s="165"/>
    </row>
    <row r="43" spans="1:25" ht="27" customHeight="1">
      <c r="A43" s="38" t="str">
        <f>IF(ISBLANK(C43)," ",38-COUNTBLANK($C$6:C43))</f>
        <v xml:space="preserve"> </v>
      </c>
      <c r="B43" s="4"/>
      <c r="C43" s="5"/>
      <c r="D43" s="34"/>
      <c r="E43" s="34"/>
      <c r="F43" s="6"/>
      <c r="G43" s="6"/>
      <c r="H43" s="7"/>
      <c r="I43" s="7"/>
      <c r="J43" s="2"/>
      <c r="K43" s="2"/>
      <c r="L43" s="2"/>
      <c r="M43" s="8"/>
      <c r="N43" s="163" t="str">
        <f t="shared" si="0"/>
        <v/>
      </c>
      <c r="O43" s="126" t="str">
        <f t="shared" si="2"/>
        <v>-</v>
      </c>
      <c r="P43" s="164"/>
      <c r="Q43" s="164"/>
      <c r="R43" s="164"/>
      <c r="S43" s="164"/>
      <c r="T43" s="164"/>
      <c r="U43" s="164"/>
      <c r="V43" s="165"/>
    </row>
    <row r="44" spans="1:25" ht="27" customHeight="1">
      <c r="A44" s="38" t="str">
        <f>IF(ISBLANK(C44)," ",39-COUNTBLANK($C$6:C44))</f>
        <v xml:space="preserve"> </v>
      </c>
      <c r="B44" s="4"/>
      <c r="C44" s="5"/>
      <c r="D44" s="34"/>
      <c r="E44" s="34"/>
      <c r="F44" s="6"/>
      <c r="G44" s="6"/>
      <c r="H44" s="7"/>
      <c r="I44" s="7"/>
      <c r="J44" s="2"/>
      <c r="K44" s="2"/>
      <c r="L44" s="2"/>
      <c r="M44" s="8"/>
      <c r="N44" s="163" t="str">
        <f t="shared" si="0"/>
        <v/>
      </c>
      <c r="O44" s="126" t="str">
        <f t="shared" si="2"/>
        <v>-</v>
      </c>
      <c r="P44" s="164"/>
      <c r="Q44" s="164"/>
      <c r="R44" s="164"/>
      <c r="S44" s="164"/>
      <c r="T44" s="164"/>
      <c r="U44" s="164"/>
      <c r="V44" s="165"/>
    </row>
    <row r="45" spans="1:25" ht="27" customHeight="1">
      <c r="A45" s="38" t="str">
        <f>IF(ISBLANK(C45)," ",40-COUNTBLANK($C$6:C45))</f>
        <v xml:space="preserve"> </v>
      </c>
      <c r="B45" s="4"/>
      <c r="C45" s="5"/>
      <c r="D45" s="34"/>
      <c r="E45" s="34"/>
      <c r="F45" s="6"/>
      <c r="G45" s="6"/>
      <c r="H45" s="7"/>
      <c r="I45" s="7"/>
      <c r="J45" s="2"/>
      <c r="K45" s="2"/>
      <c r="L45" s="2"/>
      <c r="M45" s="8"/>
      <c r="N45" s="163" t="str">
        <f t="shared" si="0"/>
        <v/>
      </c>
      <c r="O45" s="126" t="str">
        <f t="shared" si="2"/>
        <v>-</v>
      </c>
      <c r="P45" s="164"/>
      <c r="Q45" s="164"/>
      <c r="R45" s="164"/>
      <c r="S45" s="164"/>
      <c r="T45" s="164"/>
      <c r="U45" s="164"/>
      <c r="V45" s="165"/>
    </row>
    <row r="46" spans="1:25" ht="27" customHeight="1">
      <c r="A46" s="39" t="str">
        <f>IF(ISBLANK(C46)," ",41-COUNTBLANK($C$6:C46))</f>
        <v xml:space="preserve"> </v>
      </c>
      <c r="B46" s="14"/>
      <c r="C46" s="15"/>
      <c r="D46" s="35"/>
      <c r="E46" s="35"/>
      <c r="F46" s="16"/>
      <c r="G46" s="16"/>
      <c r="H46" s="17"/>
      <c r="I46" s="17"/>
      <c r="J46" s="3"/>
      <c r="K46" s="3"/>
      <c r="L46" s="3"/>
      <c r="M46" s="18"/>
      <c r="N46" s="163" t="str">
        <f t="shared" si="0"/>
        <v/>
      </c>
      <c r="O46" s="126" t="str">
        <f t="shared" si="2"/>
        <v>-</v>
      </c>
      <c r="P46" s="164"/>
      <c r="Q46" s="164"/>
      <c r="R46" s="164"/>
      <c r="S46" s="164"/>
      <c r="T46" s="164"/>
      <c r="U46" s="164"/>
      <c r="V46" s="166"/>
      <c r="W46" s="164"/>
      <c r="X46" s="164"/>
      <c r="Y46" s="164"/>
    </row>
    <row r="47" spans="1:25" ht="27" customHeight="1">
      <c r="A47" s="167" t="s">
        <v>44</v>
      </c>
      <c r="B47" s="168"/>
      <c r="C47" s="168"/>
      <c r="D47" s="169"/>
      <c r="E47" s="169">
        <f>SUM(E27:E46)</f>
        <v>0</v>
      </c>
      <c r="F47" s="170"/>
      <c r="G47" s="170"/>
      <c r="H47" s="170"/>
      <c r="I47" s="170"/>
      <c r="J47" s="170"/>
      <c r="K47" s="170"/>
      <c r="L47" s="170"/>
      <c r="M47" s="171"/>
      <c r="N47" s="163" t="str">
        <f t="shared" si="0"/>
        <v/>
      </c>
      <c r="O47" s="126"/>
      <c r="P47" s="164"/>
      <c r="Q47" s="164"/>
      <c r="R47" s="164"/>
      <c r="S47" s="164"/>
      <c r="T47" s="164"/>
      <c r="U47" s="164"/>
      <c r="V47" s="166"/>
      <c r="W47" s="164"/>
      <c r="X47" s="164"/>
      <c r="Y47" s="164"/>
    </row>
    <row r="48" spans="1:25" ht="27" customHeight="1">
      <c r="A48" s="37" t="str">
        <f>IF(ISBLANK(C48)," ",43-COUNTBLANK($C$6:C48))</f>
        <v xml:space="preserve"> </v>
      </c>
      <c r="B48" s="9"/>
      <c r="C48" s="10"/>
      <c r="D48" s="33"/>
      <c r="E48" s="33"/>
      <c r="F48" s="11"/>
      <c r="G48" s="11"/>
      <c r="H48" s="12"/>
      <c r="I48" s="12"/>
      <c r="J48" s="32"/>
      <c r="K48" s="32"/>
      <c r="L48" s="32"/>
      <c r="M48" s="13"/>
      <c r="N48" s="163" t="str">
        <f t="shared" si="0"/>
        <v/>
      </c>
      <c r="O48" s="126" t="str">
        <f>IF(D48&gt;=E48,"-","ERR")</f>
        <v>-</v>
      </c>
      <c r="P48" s="164"/>
      <c r="Q48" s="164"/>
      <c r="R48" s="164"/>
      <c r="S48" s="164"/>
      <c r="T48" s="164"/>
      <c r="U48" s="164"/>
      <c r="V48" s="164"/>
    </row>
    <row r="49" spans="1:22" ht="27" customHeight="1">
      <c r="A49" s="38" t="str">
        <f>IF(ISBLANK(C49)," ",44-COUNTBLANK($C$6:C49))</f>
        <v xml:space="preserve"> </v>
      </c>
      <c r="B49" s="4"/>
      <c r="C49" s="5"/>
      <c r="D49" s="34"/>
      <c r="E49" s="34"/>
      <c r="F49" s="6"/>
      <c r="G49" s="6"/>
      <c r="H49" s="7"/>
      <c r="I49" s="7"/>
      <c r="J49" s="2"/>
      <c r="K49" s="2"/>
      <c r="L49" s="2"/>
      <c r="M49" s="8"/>
      <c r="N49" s="163" t="str">
        <f t="shared" si="0"/>
        <v/>
      </c>
      <c r="O49" s="126" t="str">
        <f t="shared" ref="O49:O67" si="3">IF(D49&gt;=E49,"-","ERR")</f>
        <v>-</v>
      </c>
      <c r="P49" s="164"/>
      <c r="Q49" s="164"/>
      <c r="R49" s="164"/>
      <c r="S49" s="164"/>
      <c r="T49" s="164"/>
      <c r="U49" s="164"/>
      <c r="V49" s="164"/>
    </row>
    <row r="50" spans="1:22" ht="27" customHeight="1">
      <c r="A50" s="38" t="str">
        <f>IF(ISBLANK(C50)," ",45-COUNTBLANK($C$6:C50))</f>
        <v xml:space="preserve"> </v>
      </c>
      <c r="B50" s="4"/>
      <c r="C50" s="5"/>
      <c r="D50" s="34"/>
      <c r="E50" s="34"/>
      <c r="F50" s="6"/>
      <c r="G50" s="6"/>
      <c r="H50" s="7"/>
      <c r="I50" s="7"/>
      <c r="J50" s="2"/>
      <c r="K50" s="2"/>
      <c r="L50" s="2"/>
      <c r="M50" s="8"/>
      <c r="N50" s="163" t="str">
        <f t="shared" si="0"/>
        <v/>
      </c>
      <c r="O50" s="126" t="str">
        <f t="shared" si="3"/>
        <v>-</v>
      </c>
      <c r="P50" s="164"/>
      <c r="Q50" s="164"/>
      <c r="R50" s="164"/>
      <c r="S50" s="164"/>
      <c r="T50" s="164"/>
      <c r="U50" s="164"/>
      <c r="V50" s="164"/>
    </row>
    <row r="51" spans="1:22" ht="27" customHeight="1">
      <c r="A51" s="38" t="str">
        <f>IF(ISBLANK(C51)," ",46-COUNTBLANK($C$6:C51))</f>
        <v xml:space="preserve"> </v>
      </c>
      <c r="B51" s="4"/>
      <c r="C51" s="5"/>
      <c r="D51" s="34"/>
      <c r="E51" s="34"/>
      <c r="F51" s="6"/>
      <c r="G51" s="6"/>
      <c r="H51" s="7"/>
      <c r="I51" s="7"/>
      <c r="J51" s="2"/>
      <c r="K51" s="2"/>
      <c r="L51" s="2"/>
      <c r="M51" s="8"/>
      <c r="N51" s="163" t="str">
        <f t="shared" si="0"/>
        <v/>
      </c>
      <c r="O51" s="126" t="str">
        <f t="shared" si="3"/>
        <v>-</v>
      </c>
      <c r="P51" s="164"/>
      <c r="Q51" s="164"/>
      <c r="R51" s="164"/>
      <c r="S51" s="164"/>
      <c r="T51" s="164"/>
      <c r="U51" s="164"/>
      <c r="V51" s="164"/>
    </row>
    <row r="52" spans="1:22" ht="27" customHeight="1">
      <c r="A52" s="38" t="str">
        <f>IF(ISBLANK(C52)," ",47-COUNTBLANK($C$6:C52))</f>
        <v xml:space="preserve"> </v>
      </c>
      <c r="B52" s="4"/>
      <c r="C52" s="5"/>
      <c r="D52" s="34"/>
      <c r="E52" s="34"/>
      <c r="F52" s="6"/>
      <c r="G52" s="6"/>
      <c r="H52" s="7"/>
      <c r="I52" s="7"/>
      <c r="J52" s="2"/>
      <c r="K52" s="2"/>
      <c r="L52" s="2"/>
      <c r="M52" s="8"/>
      <c r="N52" s="163" t="str">
        <f t="shared" si="0"/>
        <v/>
      </c>
      <c r="O52" s="126" t="str">
        <f t="shared" si="3"/>
        <v>-</v>
      </c>
      <c r="P52" s="164"/>
      <c r="Q52" s="164"/>
      <c r="R52" s="164"/>
      <c r="S52" s="164"/>
      <c r="T52" s="164"/>
      <c r="U52" s="164"/>
      <c r="V52" s="164"/>
    </row>
    <row r="53" spans="1:22" ht="27" customHeight="1">
      <c r="A53" s="38" t="str">
        <f>IF(ISBLANK(C53)," ",48-COUNTBLANK($C$6:C53))</f>
        <v xml:space="preserve"> </v>
      </c>
      <c r="B53" s="4"/>
      <c r="C53" s="5"/>
      <c r="D53" s="34"/>
      <c r="E53" s="34"/>
      <c r="F53" s="6"/>
      <c r="G53" s="6"/>
      <c r="H53" s="7"/>
      <c r="I53" s="7"/>
      <c r="J53" s="2"/>
      <c r="K53" s="2"/>
      <c r="L53" s="2"/>
      <c r="M53" s="8"/>
      <c r="N53" s="163" t="str">
        <f t="shared" si="0"/>
        <v/>
      </c>
      <c r="O53" s="126" t="str">
        <f t="shared" si="3"/>
        <v>-</v>
      </c>
      <c r="P53" s="164"/>
      <c r="Q53" s="164"/>
      <c r="R53" s="164"/>
      <c r="S53" s="164"/>
      <c r="T53" s="164"/>
      <c r="U53" s="164"/>
      <c r="V53" s="164"/>
    </row>
    <row r="54" spans="1:22" ht="27" customHeight="1">
      <c r="A54" s="38" t="str">
        <f>IF(ISBLANK(C54)," ",49-COUNTBLANK($C$6:C54))</f>
        <v xml:space="preserve"> </v>
      </c>
      <c r="B54" s="4"/>
      <c r="C54" s="5"/>
      <c r="D54" s="34"/>
      <c r="E54" s="34"/>
      <c r="F54" s="6"/>
      <c r="G54" s="6"/>
      <c r="H54" s="7"/>
      <c r="I54" s="7"/>
      <c r="J54" s="2"/>
      <c r="K54" s="2"/>
      <c r="L54" s="2"/>
      <c r="M54" s="8"/>
      <c r="N54" s="163" t="str">
        <f t="shared" si="0"/>
        <v/>
      </c>
      <c r="O54" s="126" t="str">
        <f t="shared" si="3"/>
        <v>-</v>
      </c>
      <c r="P54" s="164"/>
      <c r="Q54" s="164"/>
      <c r="R54" s="164"/>
      <c r="S54" s="164"/>
      <c r="T54" s="164"/>
      <c r="U54" s="164"/>
      <c r="V54" s="164"/>
    </row>
    <row r="55" spans="1:22" ht="27" customHeight="1">
      <c r="A55" s="38" t="str">
        <f>IF(ISBLANK(C55)," ",50-COUNTBLANK($C$6:C55))</f>
        <v xml:space="preserve"> </v>
      </c>
      <c r="B55" s="4"/>
      <c r="C55" s="5"/>
      <c r="D55" s="34"/>
      <c r="E55" s="34"/>
      <c r="F55" s="6"/>
      <c r="G55" s="6"/>
      <c r="H55" s="7"/>
      <c r="I55" s="7"/>
      <c r="J55" s="2"/>
      <c r="K55" s="2"/>
      <c r="L55" s="2"/>
      <c r="M55" s="8"/>
      <c r="N55" s="163" t="str">
        <f t="shared" si="0"/>
        <v/>
      </c>
      <c r="O55" s="126" t="str">
        <f t="shared" si="3"/>
        <v>-</v>
      </c>
      <c r="P55" s="164"/>
      <c r="Q55" s="164"/>
      <c r="R55" s="164"/>
      <c r="S55" s="164"/>
      <c r="T55" s="164"/>
      <c r="U55" s="164"/>
      <c r="V55" s="164"/>
    </row>
    <row r="56" spans="1:22" ht="27" customHeight="1">
      <c r="A56" s="38" t="str">
        <f>IF(ISBLANK(C56)," ",51-COUNTBLANK($C$6:C56))</f>
        <v xml:space="preserve"> </v>
      </c>
      <c r="B56" s="4"/>
      <c r="C56" s="5"/>
      <c r="D56" s="34"/>
      <c r="E56" s="34"/>
      <c r="F56" s="6"/>
      <c r="G56" s="6"/>
      <c r="H56" s="7"/>
      <c r="I56" s="7"/>
      <c r="J56" s="2"/>
      <c r="K56" s="2"/>
      <c r="L56" s="2"/>
      <c r="M56" s="8"/>
      <c r="N56" s="163" t="str">
        <f t="shared" si="0"/>
        <v/>
      </c>
      <c r="O56" s="126" t="str">
        <f t="shared" si="3"/>
        <v>-</v>
      </c>
      <c r="P56" s="164"/>
      <c r="Q56" s="164"/>
      <c r="R56" s="164"/>
      <c r="S56" s="164"/>
      <c r="T56" s="164"/>
      <c r="U56" s="164"/>
      <c r="V56" s="164"/>
    </row>
    <row r="57" spans="1:22" ht="27" customHeight="1">
      <c r="A57" s="38" t="str">
        <f>IF(ISBLANK(C57)," ",52-COUNTBLANK($C$6:C57))</f>
        <v xml:space="preserve"> </v>
      </c>
      <c r="B57" s="4"/>
      <c r="C57" s="5"/>
      <c r="D57" s="34"/>
      <c r="E57" s="34"/>
      <c r="F57" s="6"/>
      <c r="G57" s="6"/>
      <c r="H57" s="7"/>
      <c r="I57" s="7"/>
      <c r="J57" s="2"/>
      <c r="K57" s="2"/>
      <c r="L57" s="2"/>
      <c r="M57" s="8"/>
      <c r="N57" s="163" t="str">
        <f t="shared" si="0"/>
        <v/>
      </c>
      <c r="O57" s="126" t="str">
        <f t="shared" si="3"/>
        <v>-</v>
      </c>
      <c r="P57" s="164"/>
      <c r="Q57" s="164"/>
      <c r="R57" s="164"/>
      <c r="S57" s="164"/>
      <c r="T57" s="164"/>
      <c r="U57" s="164"/>
      <c r="V57" s="164"/>
    </row>
    <row r="58" spans="1:22" ht="27" customHeight="1">
      <c r="A58" s="38" t="str">
        <f>IF(ISBLANK(C58)," ",53-COUNTBLANK($C$6:C58))</f>
        <v xml:space="preserve"> </v>
      </c>
      <c r="B58" s="4"/>
      <c r="C58" s="5"/>
      <c r="D58" s="34"/>
      <c r="E58" s="34"/>
      <c r="F58" s="6"/>
      <c r="G58" s="6"/>
      <c r="H58" s="7"/>
      <c r="I58" s="7"/>
      <c r="J58" s="2"/>
      <c r="K58" s="2"/>
      <c r="L58" s="2"/>
      <c r="M58" s="8"/>
      <c r="N58" s="163" t="str">
        <f t="shared" si="0"/>
        <v/>
      </c>
      <c r="O58" s="126" t="str">
        <f t="shared" si="3"/>
        <v>-</v>
      </c>
      <c r="P58" s="164"/>
      <c r="Q58" s="164"/>
      <c r="R58" s="164"/>
      <c r="S58" s="164"/>
      <c r="T58" s="164"/>
      <c r="U58" s="164"/>
      <c r="V58" s="164"/>
    </row>
    <row r="59" spans="1:22" ht="27" customHeight="1">
      <c r="A59" s="38" t="str">
        <f>IF(ISBLANK(C59)," ",54-COUNTBLANK($C$6:C59))</f>
        <v xml:space="preserve"> </v>
      </c>
      <c r="B59" s="4"/>
      <c r="C59" s="5"/>
      <c r="D59" s="34"/>
      <c r="E59" s="34"/>
      <c r="F59" s="6"/>
      <c r="G59" s="6"/>
      <c r="H59" s="7"/>
      <c r="I59" s="7"/>
      <c r="J59" s="2"/>
      <c r="K59" s="2"/>
      <c r="L59" s="2"/>
      <c r="M59" s="8"/>
      <c r="N59" s="163" t="str">
        <f t="shared" si="0"/>
        <v/>
      </c>
      <c r="O59" s="126" t="str">
        <f t="shared" si="3"/>
        <v>-</v>
      </c>
      <c r="P59" s="164"/>
      <c r="Q59" s="164"/>
      <c r="R59" s="164"/>
      <c r="S59" s="164"/>
      <c r="T59" s="164"/>
      <c r="U59" s="164"/>
      <c r="V59" s="164"/>
    </row>
    <row r="60" spans="1:22" ht="27" customHeight="1">
      <c r="A60" s="38" t="str">
        <f>IF(ISBLANK(C60)," ",55-COUNTBLANK($C$6:C60))</f>
        <v xml:space="preserve"> </v>
      </c>
      <c r="B60" s="4"/>
      <c r="C60" s="5"/>
      <c r="D60" s="34"/>
      <c r="E60" s="34"/>
      <c r="F60" s="6"/>
      <c r="G60" s="6"/>
      <c r="H60" s="7"/>
      <c r="I60" s="7"/>
      <c r="J60" s="2"/>
      <c r="K60" s="2"/>
      <c r="L60" s="2"/>
      <c r="M60" s="8"/>
      <c r="N60" s="163" t="str">
        <f t="shared" si="0"/>
        <v/>
      </c>
      <c r="O60" s="126" t="str">
        <f t="shared" si="3"/>
        <v>-</v>
      </c>
      <c r="P60" s="164"/>
      <c r="Q60" s="164"/>
      <c r="R60" s="164"/>
      <c r="S60" s="164"/>
      <c r="T60" s="164"/>
      <c r="U60" s="164"/>
      <c r="V60" s="164"/>
    </row>
    <row r="61" spans="1:22" ht="27" customHeight="1">
      <c r="A61" s="38" t="str">
        <f>IF(ISBLANK(C61)," ",56-COUNTBLANK($C$6:C61))</f>
        <v xml:space="preserve"> </v>
      </c>
      <c r="B61" s="4"/>
      <c r="C61" s="5"/>
      <c r="D61" s="34"/>
      <c r="E61" s="34"/>
      <c r="F61" s="6"/>
      <c r="G61" s="6"/>
      <c r="H61" s="7"/>
      <c r="I61" s="7"/>
      <c r="J61" s="2"/>
      <c r="K61" s="2"/>
      <c r="L61" s="2"/>
      <c r="M61" s="8"/>
      <c r="N61" s="163" t="str">
        <f t="shared" si="0"/>
        <v/>
      </c>
      <c r="O61" s="126" t="str">
        <f t="shared" si="3"/>
        <v>-</v>
      </c>
      <c r="P61" s="164"/>
      <c r="Q61" s="164"/>
      <c r="R61" s="164"/>
      <c r="S61" s="164"/>
      <c r="T61" s="164"/>
      <c r="U61" s="164"/>
      <c r="V61" s="164"/>
    </row>
    <row r="62" spans="1:22" ht="27" customHeight="1">
      <c r="A62" s="38" t="str">
        <f>IF(ISBLANK(C62)," ",57-COUNTBLANK($C$6:C62))</f>
        <v xml:space="preserve"> </v>
      </c>
      <c r="B62" s="4"/>
      <c r="C62" s="5"/>
      <c r="D62" s="34"/>
      <c r="E62" s="34"/>
      <c r="F62" s="6"/>
      <c r="G62" s="6"/>
      <c r="H62" s="7"/>
      <c r="I62" s="7"/>
      <c r="J62" s="2"/>
      <c r="K62" s="2"/>
      <c r="L62" s="2"/>
      <c r="M62" s="8"/>
      <c r="N62" s="163" t="str">
        <f t="shared" si="0"/>
        <v/>
      </c>
      <c r="O62" s="126" t="str">
        <f t="shared" si="3"/>
        <v>-</v>
      </c>
      <c r="P62" s="164"/>
      <c r="Q62" s="164"/>
      <c r="R62" s="164"/>
      <c r="S62" s="164"/>
      <c r="T62" s="164"/>
      <c r="U62" s="164"/>
      <c r="V62" s="164"/>
    </row>
    <row r="63" spans="1:22" ht="27" customHeight="1">
      <c r="A63" s="38" t="str">
        <f>IF(ISBLANK(C63)," ",58-COUNTBLANK($C$6:C63))</f>
        <v xml:space="preserve"> </v>
      </c>
      <c r="B63" s="4"/>
      <c r="C63" s="5"/>
      <c r="D63" s="34"/>
      <c r="E63" s="34"/>
      <c r="F63" s="6"/>
      <c r="G63" s="6"/>
      <c r="H63" s="7"/>
      <c r="I63" s="7"/>
      <c r="J63" s="2"/>
      <c r="K63" s="2"/>
      <c r="L63" s="2"/>
      <c r="M63" s="8"/>
      <c r="N63" s="163" t="str">
        <f t="shared" si="0"/>
        <v/>
      </c>
      <c r="O63" s="126" t="str">
        <f t="shared" si="3"/>
        <v>-</v>
      </c>
      <c r="P63" s="164"/>
      <c r="Q63" s="164"/>
      <c r="R63" s="164"/>
      <c r="S63" s="164"/>
      <c r="T63" s="164"/>
      <c r="U63" s="164"/>
      <c r="V63" s="165"/>
    </row>
    <row r="64" spans="1:22" ht="27" customHeight="1">
      <c r="A64" s="38" t="str">
        <f>IF(ISBLANK(C64)," ",59-COUNTBLANK($C$6:C64))</f>
        <v xml:space="preserve"> </v>
      </c>
      <c r="B64" s="4"/>
      <c r="C64" s="5"/>
      <c r="D64" s="34"/>
      <c r="E64" s="34"/>
      <c r="F64" s="6"/>
      <c r="G64" s="6"/>
      <c r="H64" s="7"/>
      <c r="I64" s="7"/>
      <c r="J64" s="2"/>
      <c r="K64" s="2"/>
      <c r="L64" s="2"/>
      <c r="M64" s="8"/>
      <c r="N64" s="163" t="str">
        <f t="shared" si="0"/>
        <v/>
      </c>
      <c r="O64" s="126" t="str">
        <f t="shared" si="3"/>
        <v>-</v>
      </c>
      <c r="P64" s="164"/>
      <c r="Q64" s="164"/>
      <c r="R64" s="164"/>
      <c r="S64" s="164"/>
      <c r="T64" s="164"/>
      <c r="U64" s="164"/>
      <c r="V64" s="165"/>
    </row>
    <row r="65" spans="1:25" ht="27" customHeight="1">
      <c r="A65" s="38" t="str">
        <f>IF(ISBLANK(C65)," ",60-COUNTBLANK($C$6:C65))</f>
        <v xml:space="preserve"> </v>
      </c>
      <c r="B65" s="4"/>
      <c r="C65" s="5"/>
      <c r="D65" s="34"/>
      <c r="E65" s="34"/>
      <c r="F65" s="6"/>
      <c r="G65" s="6"/>
      <c r="H65" s="7"/>
      <c r="I65" s="7"/>
      <c r="J65" s="2"/>
      <c r="K65" s="2"/>
      <c r="L65" s="2"/>
      <c r="M65" s="8"/>
      <c r="N65" s="163" t="str">
        <f t="shared" si="0"/>
        <v/>
      </c>
      <c r="O65" s="126" t="str">
        <f t="shared" si="3"/>
        <v>-</v>
      </c>
      <c r="P65" s="164"/>
      <c r="Q65" s="164"/>
      <c r="R65" s="164"/>
      <c r="S65" s="164"/>
      <c r="T65" s="164"/>
      <c r="U65" s="164"/>
      <c r="V65" s="165"/>
    </row>
    <row r="66" spans="1:25" ht="27" customHeight="1">
      <c r="A66" s="38" t="str">
        <f>IF(ISBLANK(C66)," ",61-COUNTBLANK($C$6:C66))</f>
        <v xml:space="preserve"> </v>
      </c>
      <c r="B66" s="4"/>
      <c r="C66" s="5"/>
      <c r="D66" s="34"/>
      <c r="E66" s="34"/>
      <c r="F66" s="6"/>
      <c r="G66" s="6"/>
      <c r="H66" s="7"/>
      <c r="I66" s="7"/>
      <c r="J66" s="2"/>
      <c r="K66" s="2"/>
      <c r="L66" s="2"/>
      <c r="M66" s="8"/>
      <c r="N66" s="163" t="str">
        <f t="shared" si="0"/>
        <v/>
      </c>
      <c r="O66" s="126" t="str">
        <f t="shared" si="3"/>
        <v>-</v>
      </c>
      <c r="P66" s="164"/>
      <c r="Q66" s="164"/>
      <c r="R66" s="164"/>
      <c r="S66" s="164"/>
      <c r="T66" s="164"/>
      <c r="U66" s="164"/>
      <c r="V66" s="165"/>
    </row>
    <row r="67" spans="1:25" ht="27" customHeight="1">
      <c r="A67" s="39" t="str">
        <f>IF(ISBLANK(C67)," ",62-COUNTBLANK($C$6:C67))</f>
        <v xml:space="preserve"> </v>
      </c>
      <c r="B67" s="14"/>
      <c r="C67" s="15"/>
      <c r="D67" s="35"/>
      <c r="E67" s="35"/>
      <c r="F67" s="16"/>
      <c r="G67" s="16"/>
      <c r="H67" s="17"/>
      <c r="I67" s="17"/>
      <c r="J67" s="3"/>
      <c r="K67" s="3"/>
      <c r="L67" s="3"/>
      <c r="M67" s="18"/>
      <c r="N67" s="163" t="str">
        <f t="shared" si="0"/>
        <v/>
      </c>
      <c r="O67" s="126" t="str">
        <f t="shared" si="3"/>
        <v>-</v>
      </c>
      <c r="P67" s="164"/>
      <c r="Q67" s="164"/>
      <c r="R67" s="164"/>
      <c r="S67" s="164"/>
      <c r="T67" s="164"/>
      <c r="U67" s="164"/>
      <c r="V67" s="166"/>
      <c r="W67" s="164"/>
      <c r="X67" s="164"/>
      <c r="Y67" s="164"/>
    </row>
    <row r="68" spans="1:25" ht="27" customHeight="1">
      <c r="A68" s="167" t="s">
        <v>44</v>
      </c>
      <c r="B68" s="168"/>
      <c r="C68" s="168"/>
      <c r="D68" s="169"/>
      <c r="E68" s="169">
        <f>SUM(E48:E67)</f>
        <v>0</v>
      </c>
      <c r="F68" s="170"/>
      <c r="G68" s="170"/>
      <c r="H68" s="170"/>
      <c r="I68" s="170"/>
      <c r="J68" s="170"/>
      <c r="K68" s="170"/>
      <c r="L68" s="170"/>
      <c r="M68" s="171"/>
      <c r="N68" s="163" t="str">
        <f t="shared" si="0"/>
        <v/>
      </c>
      <c r="O68" s="126"/>
      <c r="P68" s="164"/>
      <c r="Q68" s="164"/>
      <c r="R68" s="164"/>
      <c r="S68" s="164"/>
      <c r="T68" s="164"/>
      <c r="U68" s="164"/>
      <c r="V68" s="166"/>
      <c r="W68" s="164"/>
      <c r="X68" s="164"/>
      <c r="Y68" s="164"/>
    </row>
    <row r="69" spans="1:25" ht="27" customHeight="1">
      <c r="A69" s="37" t="str">
        <f>IF(ISBLANK(C69)," ",64-COUNTBLANK($C$6:C69))</f>
        <v xml:space="preserve"> </v>
      </c>
      <c r="B69" s="9"/>
      <c r="C69" s="10"/>
      <c r="D69" s="33"/>
      <c r="E69" s="33"/>
      <c r="F69" s="11"/>
      <c r="G69" s="11"/>
      <c r="H69" s="12"/>
      <c r="I69" s="12"/>
      <c r="J69" s="32"/>
      <c r="K69" s="32"/>
      <c r="L69" s="32"/>
      <c r="M69" s="13"/>
      <c r="N69" s="163" t="str">
        <f t="shared" si="0"/>
        <v/>
      </c>
      <c r="O69" s="126" t="str">
        <f>IF(D69&gt;=E69,"-","ERR")</f>
        <v>-</v>
      </c>
      <c r="P69" s="164"/>
      <c r="Q69" s="164"/>
      <c r="R69" s="164"/>
      <c r="S69" s="164"/>
      <c r="T69" s="164"/>
      <c r="U69" s="164"/>
      <c r="V69" s="164"/>
    </row>
    <row r="70" spans="1:25" ht="27" customHeight="1">
      <c r="A70" s="38" t="str">
        <f>IF(ISBLANK(C70)," ",65-COUNTBLANK($C$6:C70))</f>
        <v xml:space="preserve"> </v>
      </c>
      <c r="B70" s="4"/>
      <c r="C70" s="5"/>
      <c r="D70" s="34"/>
      <c r="E70" s="34"/>
      <c r="F70" s="6"/>
      <c r="G70" s="6"/>
      <c r="H70" s="7"/>
      <c r="I70" s="7"/>
      <c r="J70" s="2"/>
      <c r="K70" s="2"/>
      <c r="L70" s="2"/>
      <c r="M70" s="8"/>
      <c r="N70" s="163" t="str">
        <f t="shared" si="0"/>
        <v/>
      </c>
      <c r="O70" s="126" t="str">
        <f t="shared" ref="O70:O88" si="4">IF(D70&gt;=E70,"-","ERR")</f>
        <v>-</v>
      </c>
      <c r="P70" s="164"/>
      <c r="Q70" s="164"/>
      <c r="R70" s="164"/>
      <c r="S70" s="164"/>
      <c r="T70" s="164"/>
      <c r="U70" s="164"/>
      <c r="V70" s="164"/>
    </row>
    <row r="71" spans="1:25" ht="27" customHeight="1">
      <c r="A71" s="38" t="str">
        <f>IF(ISBLANK(C71)," ",66-COUNTBLANK($C$6:C71))</f>
        <v xml:space="preserve"> </v>
      </c>
      <c r="B71" s="4"/>
      <c r="C71" s="5"/>
      <c r="D71" s="34"/>
      <c r="E71" s="34"/>
      <c r="F71" s="6"/>
      <c r="G71" s="6"/>
      <c r="H71" s="7"/>
      <c r="I71" s="7"/>
      <c r="J71" s="2"/>
      <c r="K71" s="2"/>
      <c r="L71" s="2"/>
      <c r="M71" s="8"/>
      <c r="N71" s="163" t="str">
        <f t="shared" ref="N71:N134" si="5">CONCATENATE(C71,H71)</f>
        <v/>
      </c>
      <c r="O71" s="126" t="str">
        <f t="shared" si="4"/>
        <v>-</v>
      </c>
      <c r="P71" s="164"/>
      <c r="Q71" s="164"/>
      <c r="R71" s="164"/>
      <c r="S71" s="164"/>
      <c r="T71" s="164"/>
      <c r="U71" s="164"/>
      <c r="V71" s="164"/>
    </row>
    <row r="72" spans="1:25" ht="27" customHeight="1">
      <c r="A72" s="38" t="str">
        <f>IF(ISBLANK(C72)," ",67-COUNTBLANK($C$6:C72))</f>
        <v xml:space="preserve"> </v>
      </c>
      <c r="B72" s="4"/>
      <c r="C72" s="5"/>
      <c r="D72" s="34"/>
      <c r="E72" s="34"/>
      <c r="F72" s="6"/>
      <c r="G72" s="6"/>
      <c r="H72" s="7"/>
      <c r="I72" s="7"/>
      <c r="J72" s="2"/>
      <c r="K72" s="2"/>
      <c r="L72" s="2"/>
      <c r="M72" s="8"/>
      <c r="N72" s="163" t="str">
        <f t="shared" si="5"/>
        <v/>
      </c>
      <c r="O72" s="126" t="str">
        <f t="shared" si="4"/>
        <v>-</v>
      </c>
      <c r="P72" s="164"/>
      <c r="Q72" s="164"/>
      <c r="R72" s="164"/>
      <c r="S72" s="164"/>
      <c r="T72" s="164"/>
      <c r="U72" s="164"/>
      <c r="V72" s="164"/>
    </row>
    <row r="73" spans="1:25" ht="27" customHeight="1">
      <c r="A73" s="38" t="str">
        <f>IF(ISBLANK(C73)," ",68-COUNTBLANK($C$6:C73))</f>
        <v xml:space="preserve"> </v>
      </c>
      <c r="B73" s="4"/>
      <c r="C73" s="5"/>
      <c r="D73" s="34"/>
      <c r="E73" s="34"/>
      <c r="F73" s="6"/>
      <c r="G73" s="6"/>
      <c r="H73" s="7"/>
      <c r="I73" s="7"/>
      <c r="J73" s="2"/>
      <c r="K73" s="2"/>
      <c r="L73" s="2"/>
      <c r="M73" s="8"/>
      <c r="N73" s="163" t="str">
        <f t="shared" si="5"/>
        <v/>
      </c>
      <c r="O73" s="126" t="str">
        <f t="shared" si="4"/>
        <v>-</v>
      </c>
      <c r="P73" s="164"/>
      <c r="Q73" s="164"/>
      <c r="R73" s="164"/>
      <c r="S73" s="164"/>
      <c r="T73" s="164"/>
      <c r="U73" s="164"/>
      <c r="V73" s="164"/>
    </row>
    <row r="74" spans="1:25" ht="27" customHeight="1">
      <c r="A74" s="38" t="str">
        <f>IF(ISBLANK(C74)," ",69-COUNTBLANK($C$6:C74))</f>
        <v xml:space="preserve"> </v>
      </c>
      <c r="B74" s="4"/>
      <c r="C74" s="5"/>
      <c r="D74" s="34"/>
      <c r="E74" s="34"/>
      <c r="F74" s="6"/>
      <c r="G74" s="6"/>
      <c r="H74" s="7"/>
      <c r="I74" s="7"/>
      <c r="J74" s="2"/>
      <c r="K74" s="2"/>
      <c r="L74" s="2"/>
      <c r="M74" s="8"/>
      <c r="N74" s="163" t="str">
        <f t="shared" si="5"/>
        <v/>
      </c>
      <c r="O74" s="126" t="str">
        <f t="shared" si="4"/>
        <v>-</v>
      </c>
      <c r="P74" s="164"/>
      <c r="Q74" s="164"/>
      <c r="R74" s="164"/>
      <c r="S74" s="164"/>
      <c r="T74" s="164"/>
      <c r="U74" s="164"/>
      <c r="V74" s="164"/>
    </row>
    <row r="75" spans="1:25" ht="27" customHeight="1">
      <c r="A75" s="38" t="str">
        <f>IF(ISBLANK(C75)," ",70-COUNTBLANK($C$6:C75))</f>
        <v xml:space="preserve"> </v>
      </c>
      <c r="B75" s="4"/>
      <c r="C75" s="5"/>
      <c r="D75" s="34"/>
      <c r="E75" s="34"/>
      <c r="F75" s="6"/>
      <c r="G75" s="6"/>
      <c r="H75" s="7"/>
      <c r="I75" s="7"/>
      <c r="J75" s="2"/>
      <c r="K75" s="2"/>
      <c r="L75" s="2"/>
      <c r="M75" s="8"/>
      <c r="N75" s="163" t="str">
        <f t="shared" si="5"/>
        <v/>
      </c>
      <c r="O75" s="126" t="str">
        <f t="shared" si="4"/>
        <v>-</v>
      </c>
      <c r="P75" s="164"/>
      <c r="Q75" s="164"/>
      <c r="R75" s="164"/>
      <c r="S75" s="164"/>
      <c r="T75" s="164"/>
      <c r="U75" s="164"/>
      <c r="V75" s="164"/>
    </row>
    <row r="76" spans="1:25" ht="27" customHeight="1">
      <c r="A76" s="38" t="str">
        <f>IF(ISBLANK(C76)," ",71-COUNTBLANK($C$6:C76))</f>
        <v xml:space="preserve"> </v>
      </c>
      <c r="B76" s="4"/>
      <c r="C76" s="5"/>
      <c r="D76" s="34"/>
      <c r="E76" s="34"/>
      <c r="F76" s="6"/>
      <c r="G76" s="6"/>
      <c r="H76" s="7"/>
      <c r="I76" s="7"/>
      <c r="J76" s="2"/>
      <c r="K76" s="2"/>
      <c r="L76" s="2"/>
      <c r="M76" s="8"/>
      <c r="N76" s="163" t="str">
        <f t="shared" si="5"/>
        <v/>
      </c>
      <c r="O76" s="126" t="str">
        <f t="shared" si="4"/>
        <v>-</v>
      </c>
      <c r="P76" s="164"/>
      <c r="Q76" s="164"/>
      <c r="R76" s="164"/>
      <c r="S76" s="164"/>
      <c r="T76" s="164"/>
      <c r="U76" s="164"/>
      <c r="V76" s="164"/>
    </row>
    <row r="77" spans="1:25" ht="27" customHeight="1">
      <c r="A77" s="38" t="str">
        <f>IF(ISBLANK(C77)," ",72-COUNTBLANK($C$6:C77))</f>
        <v xml:space="preserve"> </v>
      </c>
      <c r="B77" s="4"/>
      <c r="C77" s="5"/>
      <c r="D77" s="34"/>
      <c r="E77" s="34"/>
      <c r="F77" s="6"/>
      <c r="G77" s="6"/>
      <c r="H77" s="7"/>
      <c r="I77" s="7"/>
      <c r="J77" s="2"/>
      <c r="K77" s="2"/>
      <c r="L77" s="2"/>
      <c r="M77" s="8"/>
      <c r="N77" s="163" t="str">
        <f t="shared" si="5"/>
        <v/>
      </c>
      <c r="O77" s="126" t="str">
        <f t="shared" si="4"/>
        <v>-</v>
      </c>
      <c r="P77" s="164"/>
      <c r="Q77" s="164"/>
      <c r="R77" s="164"/>
      <c r="S77" s="164"/>
      <c r="T77" s="164"/>
      <c r="U77" s="164"/>
      <c r="V77" s="164"/>
    </row>
    <row r="78" spans="1:25" ht="27" customHeight="1">
      <c r="A78" s="38" t="str">
        <f>IF(ISBLANK(C78)," ",73-COUNTBLANK($C$6:C78))</f>
        <v xml:space="preserve"> </v>
      </c>
      <c r="B78" s="4"/>
      <c r="C78" s="5"/>
      <c r="D78" s="34"/>
      <c r="E78" s="34"/>
      <c r="F78" s="6"/>
      <c r="G78" s="6"/>
      <c r="H78" s="7"/>
      <c r="I78" s="7"/>
      <c r="J78" s="2"/>
      <c r="K78" s="2"/>
      <c r="L78" s="2"/>
      <c r="M78" s="8"/>
      <c r="N78" s="163" t="str">
        <f t="shared" si="5"/>
        <v/>
      </c>
      <c r="O78" s="126" t="str">
        <f t="shared" si="4"/>
        <v>-</v>
      </c>
      <c r="P78" s="164"/>
      <c r="Q78" s="164"/>
      <c r="R78" s="164"/>
      <c r="S78" s="164"/>
      <c r="T78" s="164"/>
      <c r="U78" s="164"/>
      <c r="V78" s="164"/>
    </row>
    <row r="79" spans="1:25" ht="27" customHeight="1">
      <c r="A79" s="38" t="str">
        <f>IF(ISBLANK(C79)," ",74-COUNTBLANK($C$6:C79))</f>
        <v xml:space="preserve"> </v>
      </c>
      <c r="B79" s="4"/>
      <c r="C79" s="5"/>
      <c r="D79" s="34"/>
      <c r="E79" s="34"/>
      <c r="F79" s="6"/>
      <c r="G79" s="6"/>
      <c r="H79" s="7"/>
      <c r="I79" s="7"/>
      <c r="J79" s="2"/>
      <c r="K79" s="2"/>
      <c r="L79" s="2"/>
      <c r="M79" s="8"/>
      <c r="N79" s="163" t="str">
        <f t="shared" si="5"/>
        <v/>
      </c>
      <c r="O79" s="126" t="str">
        <f t="shared" si="4"/>
        <v>-</v>
      </c>
      <c r="P79" s="164"/>
      <c r="Q79" s="164"/>
      <c r="R79" s="164"/>
      <c r="S79" s="164"/>
      <c r="T79" s="164"/>
      <c r="U79" s="164"/>
      <c r="V79" s="164"/>
    </row>
    <row r="80" spans="1:25" ht="27" customHeight="1">
      <c r="A80" s="38" t="str">
        <f>IF(ISBLANK(C80)," ",75-COUNTBLANK($C$6:C80))</f>
        <v xml:space="preserve"> </v>
      </c>
      <c r="B80" s="4"/>
      <c r="C80" s="5"/>
      <c r="D80" s="34"/>
      <c r="E80" s="34"/>
      <c r="F80" s="6"/>
      <c r="G80" s="6"/>
      <c r="H80" s="7"/>
      <c r="I80" s="7"/>
      <c r="J80" s="2"/>
      <c r="K80" s="2"/>
      <c r="L80" s="2"/>
      <c r="M80" s="8"/>
      <c r="N80" s="163" t="str">
        <f t="shared" si="5"/>
        <v/>
      </c>
      <c r="O80" s="126" t="str">
        <f t="shared" si="4"/>
        <v>-</v>
      </c>
      <c r="P80" s="164"/>
      <c r="Q80" s="164"/>
      <c r="R80" s="164"/>
      <c r="S80" s="164"/>
      <c r="T80" s="164"/>
      <c r="U80" s="164"/>
      <c r="V80" s="164"/>
    </row>
    <row r="81" spans="1:25" ht="27" customHeight="1">
      <c r="A81" s="38" t="str">
        <f>IF(ISBLANK(C81)," ",76-COUNTBLANK($C$6:C81))</f>
        <v xml:space="preserve"> </v>
      </c>
      <c r="B81" s="4"/>
      <c r="C81" s="5"/>
      <c r="D81" s="34"/>
      <c r="E81" s="34"/>
      <c r="F81" s="6"/>
      <c r="G81" s="6"/>
      <c r="H81" s="7"/>
      <c r="I81" s="7"/>
      <c r="J81" s="2"/>
      <c r="K81" s="2"/>
      <c r="L81" s="2"/>
      <c r="M81" s="8"/>
      <c r="N81" s="163" t="str">
        <f t="shared" si="5"/>
        <v/>
      </c>
      <c r="O81" s="126" t="str">
        <f t="shared" si="4"/>
        <v>-</v>
      </c>
      <c r="P81" s="164"/>
      <c r="Q81" s="164"/>
      <c r="R81" s="164"/>
      <c r="S81" s="164"/>
      <c r="T81" s="164"/>
      <c r="U81" s="164"/>
      <c r="V81" s="164"/>
    </row>
    <row r="82" spans="1:25" ht="27" customHeight="1">
      <c r="A82" s="38" t="str">
        <f>IF(ISBLANK(C82)," ",77-COUNTBLANK($C$6:C82))</f>
        <v xml:space="preserve"> </v>
      </c>
      <c r="B82" s="4"/>
      <c r="C82" s="5"/>
      <c r="D82" s="34"/>
      <c r="E82" s="34"/>
      <c r="F82" s="6"/>
      <c r="G82" s="6"/>
      <c r="H82" s="7"/>
      <c r="I82" s="7"/>
      <c r="J82" s="2"/>
      <c r="K82" s="2"/>
      <c r="L82" s="2"/>
      <c r="M82" s="8"/>
      <c r="N82" s="163" t="str">
        <f t="shared" si="5"/>
        <v/>
      </c>
      <c r="O82" s="126" t="str">
        <f t="shared" si="4"/>
        <v>-</v>
      </c>
      <c r="P82" s="164"/>
      <c r="Q82" s="164"/>
      <c r="R82" s="164"/>
      <c r="S82" s="164"/>
      <c r="T82" s="164"/>
      <c r="U82" s="164"/>
      <c r="V82" s="164"/>
    </row>
    <row r="83" spans="1:25" ht="27" customHeight="1">
      <c r="A83" s="38" t="str">
        <f>IF(ISBLANK(C83)," ",78-COUNTBLANK($C$6:C83))</f>
        <v xml:space="preserve"> </v>
      </c>
      <c r="B83" s="4"/>
      <c r="C83" s="5"/>
      <c r="D83" s="34"/>
      <c r="E83" s="34"/>
      <c r="F83" s="6"/>
      <c r="G83" s="6"/>
      <c r="H83" s="7"/>
      <c r="I83" s="7"/>
      <c r="J83" s="2"/>
      <c r="K83" s="2"/>
      <c r="L83" s="2"/>
      <c r="M83" s="8"/>
      <c r="N83" s="163" t="str">
        <f t="shared" si="5"/>
        <v/>
      </c>
      <c r="O83" s="126" t="str">
        <f t="shared" si="4"/>
        <v>-</v>
      </c>
      <c r="P83" s="164"/>
      <c r="Q83" s="164"/>
      <c r="R83" s="164"/>
      <c r="S83" s="164"/>
      <c r="T83" s="164"/>
      <c r="U83" s="164"/>
      <c r="V83" s="164"/>
    </row>
    <row r="84" spans="1:25" ht="27" customHeight="1">
      <c r="A84" s="38" t="str">
        <f>IF(ISBLANK(C84)," ",79-COUNTBLANK($C$6:C84))</f>
        <v xml:space="preserve"> </v>
      </c>
      <c r="B84" s="4"/>
      <c r="C84" s="5"/>
      <c r="D84" s="34"/>
      <c r="E84" s="34"/>
      <c r="F84" s="6"/>
      <c r="G84" s="6"/>
      <c r="H84" s="7"/>
      <c r="I84" s="7"/>
      <c r="J84" s="2"/>
      <c r="K84" s="2"/>
      <c r="L84" s="2"/>
      <c r="M84" s="8"/>
      <c r="N84" s="163" t="str">
        <f t="shared" si="5"/>
        <v/>
      </c>
      <c r="O84" s="126" t="str">
        <f t="shared" si="4"/>
        <v>-</v>
      </c>
      <c r="P84" s="164"/>
      <c r="Q84" s="164"/>
      <c r="R84" s="164"/>
      <c r="S84" s="164"/>
      <c r="T84" s="164"/>
      <c r="U84" s="164"/>
      <c r="V84" s="165"/>
    </row>
    <row r="85" spans="1:25" ht="27" customHeight="1">
      <c r="A85" s="38" t="str">
        <f>IF(ISBLANK(C85)," ",80-COUNTBLANK($C$6:C85))</f>
        <v xml:space="preserve"> </v>
      </c>
      <c r="B85" s="4"/>
      <c r="C85" s="5"/>
      <c r="D85" s="34"/>
      <c r="E85" s="34"/>
      <c r="F85" s="6"/>
      <c r="G85" s="6"/>
      <c r="H85" s="7"/>
      <c r="I85" s="7"/>
      <c r="J85" s="2"/>
      <c r="K85" s="2"/>
      <c r="L85" s="2"/>
      <c r="M85" s="8"/>
      <c r="N85" s="163" t="str">
        <f t="shared" si="5"/>
        <v/>
      </c>
      <c r="O85" s="126" t="str">
        <f t="shared" si="4"/>
        <v>-</v>
      </c>
      <c r="P85" s="164"/>
      <c r="Q85" s="164"/>
      <c r="R85" s="164"/>
      <c r="S85" s="164"/>
      <c r="T85" s="164"/>
      <c r="U85" s="164"/>
      <c r="V85" s="165"/>
    </row>
    <row r="86" spans="1:25" ht="27" customHeight="1">
      <c r="A86" s="38" t="str">
        <f>IF(ISBLANK(C86)," ",81-COUNTBLANK($C$6:C86))</f>
        <v xml:space="preserve"> </v>
      </c>
      <c r="B86" s="4"/>
      <c r="C86" s="5"/>
      <c r="D86" s="34"/>
      <c r="E86" s="34"/>
      <c r="F86" s="6"/>
      <c r="G86" s="6"/>
      <c r="H86" s="7"/>
      <c r="I86" s="7"/>
      <c r="J86" s="2"/>
      <c r="K86" s="2"/>
      <c r="L86" s="2"/>
      <c r="M86" s="8"/>
      <c r="N86" s="163" t="str">
        <f t="shared" si="5"/>
        <v/>
      </c>
      <c r="O86" s="126" t="str">
        <f t="shared" si="4"/>
        <v>-</v>
      </c>
      <c r="P86" s="164"/>
      <c r="Q86" s="164"/>
      <c r="R86" s="164"/>
      <c r="S86" s="164"/>
      <c r="T86" s="164"/>
      <c r="U86" s="164"/>
      <c r="V86" s="165"/>
    </row>
    <row r="87" spans="1:25" ht="27" customHeight="1">
      <c r="A87" s="38" t="str">
        <f>IF(ISBLANK(C87)," ",82-COUNTBLANK($C$6:C87))</f>
        <v xml:space="preserve"> </v>
      </c>
      <c r="B87" s="4"/>
      <c r="C87" s="5"/>
      <c r="D87" s="34"/>
      <c r="E87" s="34"/>
      <c r="F87" s="6"/>
      <c r="G87" s="6"/>
      <c r="H87" s="7"/>
      <c r="I87" s="7"/>
      <c r="J87" s="2"/>
      <c r="K87" s="2"/>
      <c r="L87" s="2"/>
      <c r="M87" s="8"/>
      <c r="N87" s="163" t="str">
        <f t="shared" si="5"/>
        <v/>
      </c>
      <c r="O87" s="126" t="str">
        <f t="shared" si="4"/>
        <v>-</v>
      </c>
      <c r="P87" s="164"/>
      <c r="Q87" s="164"/>
      <c r="R87" s="164"/>
      <c r="S87" s="164"/>
      <c r="T87" s="164"/>
      <c r="U87" s="164"/>
      <c r="V87" s="165"/>
    </row>
    <row r="88" spans="1:25" ht="27" customHeight="1">
      <c r="A88" s="39" t="str">
        <f>IF(ISBLANK(C88)," ",83-COUNTBLANK($C$6:C88))</f>
        <v xml:space="preserve"> </v>
      </c>
      <c r="B88" s="14"/>
      <c r="C88" s="15"/>
      <c r="D88" s="35"/>
      <c r="E88" s="35"/>
      <c r="F88" s="16"/>
      <c r="G88" s="16"/>
      <c r="H88" s="17"/>
      <c r="I88" s="17"/>
      <c r="J88" s="3"/>
      <c r="K88" s="3"/>
      <c r="L88" s="3"/>
      <c r="M88" s="18"/>
      <c r="N88" s="163" t="str">
        <f t="shared" si="5"/>
        <v/>
      </c>
      <c r="O88" s="126" t="str">
        <f t="shared" si="4"/>
        <v>-</v>
      </c>
      <c r="P88" s="164"/>
      <c r="Q88" s="164"/>
      <c r="R88" s="164"/>
      <c r="S88" s="164"/>
      <c r="T88" s="164"/>
      <c r="U88" s="164"/>
      <c r="V88" s="166"/>
      <c r="W88" s="164"/>
      <c r="X88" s="164"/>
      <c r="Y88" s="164"/>
    </row>
    <row r="89" spans="1:25" ht="27" customHeight="1">
      <c r="A89" s="167" t="s">
        <v>44</v>
      </c>
      <c r="B89" s="168"/>
      <c r="C89" s="168"/>
      <c r="D89" s="169"/>
      <c r="E89" s="169">
        <f>SUM(E69:E88)</f>
        <v>0</v>
      </c>
      <c r="F89" s="170"/>
      <c r="G89" s="170"/>
      <c r="H89" s="170"/>
      <c r="I89" s="170"/>
      <c r="J89" s="170"/>
      <c r="K89" s="170"/>
      <c r="L89" s="170"/>
      <c r="M89" s="171"/>
      <c r="N89" s="163" t="str">
        <f t="shared" si="5"/>
        <v/>
      </c>
      <c r="O89" s="126"/>
      <c r="P89" s="164"/>
      <c r="Q89" s="164"/>
      <c r="R89" s="164"/>
      <c r="S89" s="164"/>
      <c r="T89" s="164"/>
      <c r="U89" s="164"/>
      <c r="V89" s="166"/>
      <c r="W89" s="164"/>
      <c r="X89" s="164"/>
      <c r="Y89" s="164"/>
    </row>
    <row r="90" spans="1:25" ht="27" customHeight="1">
      <c r="A90" s="37" t="str">
        <f>IF(ISBLANK(C90)," ",85-COUNTBLANK($C$6:C90))</f>
        <v xml:space="preserve"> </v>
      </c>
      <c r="B90" s="9"/>
      <c r="C90" s="10"/>
      <c r="D90" s="33"/>
      <c r="E90" s="33"/>
      <c r="F90" s="11"/>
      <c r="G90" s="11"/>
      <c r="H90" s="12"/>
      <c r="I90" s="12"/>
      <c r="J90" s="32"/>
      <c r="K90" s="32"/>
      <c r="L90" s="32"/>
      <c r="M90" s="13"/>
      <c r="N90" s="163" t="str">
        <f t="shared" si="5"/>
        <v/>
      </c>
      <c r="O90" s="126" t="str">
        <f>IF(D90&gt;=E90,"-","ERR")</f>
        <v>-</v>
      </c>
      <c r="P90" s="164"/>
      <c r="Q90" s="164"/>
      <c r="R90" s="164"/>
      <c r="S90" s="164"/>
      <c r="T90" s="164"/>
      <c r="U90" s="164"/>
      <c r="V90" s="164"/>
    </row>
    <row r="91" spans="1:25" ht="27" customHeight="1">
      <c r="A91" s="38" t="str">
        <f>IF(ISBLANK(C91)," ",86-COUNTBLANK($C$6:C91))</f>
        <v xml:space="preserve"> </v>
      </c>
      <c r="B91" s="4"/>
      <c r="C91" s="5"/>
      <c r="D91" s="34"/>
      <c r="E91" s="34"/>
      <c r="F91" s="6"/>
      <c r="G91" s="6"/>
      <c r="H91" s="7"/>
      <c r="I91" s="7"/>
      <c r="J91" s="2"/>
      <c r="K91" s="2"/>
      <c r="L91" s="2"/>
      <c r="M91" s="8"/>
      <c r="N91" s="163" t="str">
        <f t="shared" si="5"/>
        <v/>
      </c>
      <c r="O91" s="126" t="str">
        <f t="shared" ref="O91:O109" si="6">IF(D91&gt;=E91,"-","ERR")</f>
        <v>-</v>
      </c>
      <c r="P91" s="164"/>
      <c r="Q91" s="164"/>
      <c r="R91" s="164"/>
      <c r="S91" s="164"/>
      <c r="T91" s="164"/>
      <c r="U91" s="164"/>
      <c r="V91" s="164"/>
    </row>
    <row r="92" spans="1:25" ht="27" customHeight="1">
      <c r="A92" s="38" t="str">
        <f>IF(ISBLANK(C92)," ",87-COUNTBLANK($C$6:C92))</f>
        <v xml:space="preserve"> </v>
      </c>
      <c r="B92" s="4"/>
      <c r="C92" s="5"/>
      <c r="D92" s="34"/>
      <c r="E92" s="34"/>
      <c r="F92" s="6"/>
      <c r="G92" s="6"/>
      <c r="H92" s="7"/>
      <c r="I92" s="7"/>
      <c r="J92" s="2"/>
      <c r="K92" s="2"/>
      <c r="L92" s="2"/>
      <c r="M92" s="8"/>
      <c r="N92" s="163" t="str">
        <f t="shared" si="5"/>
        <v/>
      </c>
      <c r="O92" s="126" t="str">
        <f t="shared" si="6"/>
        <v>-</v>
      </c>
      <c r="P92" s="164"/>
      <c r="Q92" s="164"/>
      <c r="R92" s="164"/>
      <c r="S92" s="164"/>
      <c r="T92" s="164"/>
      <c r="U92" s="164"/>
      <c r="V92" s="164"/>
    </row>
    <row r="93" spans="1:25" ht="27" customHeight="1">
      <c r="A93" s="38" t="str">
        <f>IF(ISBLANK(C93)," ",88-COUNTBLANK($C$6:C93))</f>
        <v xml:space="preserve"> </v>
      </c>
      <c r="B93" s="4"/>
      <c r="C93" s="5"/>
      <c r="D93" s="34"/>
      <c r="E93" s="34"/>
      <c r="F93" s="6"/>
      <c r="G93" s="6"/>
      <c r="H93" s="7"/>
      <c r="I93" s="7"/>
      <c r="J93" s="2"/>
      <c r="K93" s="2"/>
      <c r="L93" s="2"/>
      <c r="M93" s="8"/>
      <c r="N93" s="163" t="str">
        <f t="shared" si="5"/>
        <v/>
      </c>
      <c r="O93" s="126" t="str">
        <f t="shared" si="6"/>
        <v>-</v>
      </c>
      <c r="P93" s="164"/>
      <c r="Q93" s="164"/>
      <c r="R93" s="164"/>
      <c r="S93" s="164"/>
      <c r="T93" s="164"/>
      <c r="U93" s="164"/>
      <c r="V93" s="164"/>
    </row>
    <row r="94" spans="1:25" ht="27" customHeight="1">
      <c r="A94" s="38" t="str">
        <f>IF(ISBLANK(C94)," ",89-COUNTBLANK($C$6:C94))</f>
        <v xml:space="preserve"> </v>
      </c>
      <c r="B94" s="4"/>
      <c r="C94" s="5"/>
      <c r="D94" s="34"/>
      <c r="E94" s="34"/>
      <c r="F94" s="6"/>
      <c r="G94" s="6"/>
      <c r="H94" s="7"/>
      <c r="I94" s="7"/>
      <c r="J94" s="2"/>
      <c r="K94" s="2"/>
      <c r="L94" s="2"/>
      <c r="M94" s="8"/>
      <c r="N94" s="163" t="str">
        <f t="shared" si="5"/>
        <v/>
      </c>
      <c r="O94" s="126" t="str">
        <f t="shared" si="6"/>
        <v>-</v>
      </c>
      <c r="P94" s="164"/>
      <c r="Q94" s="164"/>
      <c r="R94" s="164"/>
      <c r="S94" s="164"/>
      <c r="T94" s="164"/>
      <c r="U94" s="164"/>
      <c r="V94" s="164"/>
    </row>
    <row r="95" spans="1:25" ht="27" customHeight="1">
      <c r="A95" s="38" t="str">
        <f>IF(ISBLANK(C95)," ",90-COUNTBLANK($C$6:C95))</f>
        <v xml:space="preserve"> </v>
      </c>
      <c r="B95" s="4"/>
      <c r="C95" s="5"/>
      <c r="D95" s="34"/>
      <c r="E95" s="34"/>
      <c r="F95" s="6"/>
      <c r="G95" s="6"/>
      <c r="H95" s="7"/>
      <c r="I95" s="7"/>
      <c r="J95" s="2"/>
      <c r="K95" s="2"/>
      <c r="L95" s="2"/>
      <c r="M95" s="8"/>
      <c r="N95" s="163" t="str">
        <f t="shared" si="5"/>
        <v/>
      </c>
      <c r="O95" s="126" t="str">
        <f t="shared" si="6"/>
        <v>-</v>
      </c>
      <c r="P95" s="164"/>
      <c r="Q95" s="164"/>
      <c r="R95" s="164"/>
      <c r="S95" s="164"/>
      <c r="T95" s="164"/>
      <c r="U95" s="164"/>
      <c r="V95" s="164"/>
    </row>
    <row r="96" spans="1:25" ht="27" customHeight="1">
      <c r="A96" s="38" t="str">
        <f>IF(ISBLANK(C96)," ",91-COUNTBLANK($C$6:C96))</f>
        <v xml:space="preserve"> </v>
      </c>
      <c r="B96" s="4"/>
      <c r="C96" s="5"/>
      <c r="D96" s="34"/>
      <c r="E96" s="34"/>
      <c r="F96" s="6"/>
      <c r="G96" s="6"/>
      <c r="H96" s="7"/>
      <c r="I96" s="7"/>
      <c r="J96" s="2"/>
      <c r="K96" s="2"/>
      <c r="L96" s="2"/>
      <c r="M96" s="8"/>
      <c r="N96" s="163" t="str">
        <f t="shared" si="5"/>
        <v/>
      </c>
      <c r="O96" s="126" t="str">
        <f t="shared" si="6"/>
        <v>-</v>
      </c>
      <c r="P96" s="164"/>
      <c r="Q96" s="164"/>
      <c r="R96" s="164"/>
      <c r="S96" s="164"/>
      <c r="T96" s="164"/>
      <c r="U96" s="164"/>
      <c r="V96" s="164"/>
    </row>
    <row r="97" spans="1:25" ht="27" customHeight="1">
      <c r="A97" s="38" t="str">
        <f>IF(ISBLANK(C97)," ",92-COUNTBLANK($C$6:C97))</f>
        <v xml:space="preserve"> </v>
      </c>
      <c r="B97" s="4"/>
      <c r="C97" s="5"/>
      <c r="D97" s="34"/>
      <c r="E97" s="34"/>
      <c r="F97" s="6"/>
      <c r="G97" s="6"/>
      <c r="H97" s="7"/>
      <c r="I97" s="7"/>
      <c r="J97" s="2"/>
      <c r="K97" s="2"/>
      <c r="L97" s="2"/>
      <c r="M97" s="8"/>
      <c r="N97" s="163" t="str">
        <f t="shared" si="5"/>
        <v/>
      </c>
      <c r="O97" s="126" t="str">
        <f t="shared" si="6"/>
        <v>-</v>
      </c>
      <c r="P97" s="164"/>
      <c r="Q97" s="164"/>
      <c r="R97" s="164"/>
      <c r="S97" s="164"/>
      <c r="T97" s="164"/>
      <c r="U97" s="164"/>
      <c r="V97" s="164"/>
    </row>
    <row r="98" spans="1:25" ht="27" customHeight="1">
      <c r="A98" s="38" t="str">
        <f>IF(ISBLANK(C98)," ",93-COUNTBLANK($C$6:C98))</f>
        <v xml:space="preserve"> </v>
      </c>
      <c r="B98" s="4"/>
      <c r="C98" s="5"/>
      <c r="D98" s="34"/>
      <c r="E98" s="34"/>
      <c r="F98" s="6"/>
      <c r="G98" s="6"/>
      <c r="H98" s="7"/>
      <c r="I98" s="7"/>
      <c r="J98" s="2"/>
      <c r="K98" s="2"/>
      <c r="L98" s="2"/>
      <c r="M98" s="8"/>
      <c r="N98" s="163" t="str">
        <f t="shared" si="5"/>
        <v/>
      </c>
      <c r="O98" s="126" t="str">
        <f t="shared" si="6"/>
        <v>-</v>
      </c>
      <c r="P98" s="164"/>
      <c r="Q98" s="164"/>
      <c r="R98" s="164"/>
      <c r="S98" s="164"/>
      <c r="T98" s="164"/>
      <c r="U98" s="164"/>
      <c r="V98" s="164"/>
    </row>
    <row r="99" spans="1:25" ht="27" customHeight="1">
      <c r="A99" s="38" t="str">
        <f>IF(ISBLANK(C99)," ",94-COUNTBLANK($C$6:C99))</f>
        <v xml:space="preserve"> </v>
      </c>
      <c r="B99" s="4"/>
      <c r="C99" s="5"/>
      <c r="D99" s="34"/>
      <c r="E99" s="34"/>
      <c r="F99" s="6"/>
      <c r="G99" s="6"/>
      <c r="H99" s="7"/>
      <c r="I99" s="7"/>
      <c r="J99" s="2"/>
      <c r="K99" s="2"/>
      <c r="L99" s="2"/>
      <c r="M99" s="8"/>
      <c r="N99" s="163" t="str">
        <f t="shared" si="5"/>
        <v/>
      </c>
      <c r="O99" s="126" t="str">
        <f t="shared" si="6"/>
        <v>-</v>
      </c>
      <c r="P99" s="164"/>
      <c r="Q99" s="164"/>
      <c r="R99" s="164"/>
      <c r="S99" s="164"/>
      <c r="T99" s="164"/>
      <c r="U99" s="164"/>
      <c r="V99" s="164"/>
    </row>
    <row r="100" spans="1:25" ht="27" customHeight="1">
      <c r="A100" s="38" t="str">
        <f>IF(ISBLANK(C100)," ",95-COUNTBLANK($C$6:C100))</f>
        <v xml:space="preserve"> </v>
      </c>
      <c r="B100" s="4"/>
      <c r="C100" s="5"/>
      <c r="D100" s="34"/>
      <c r="E100" s="34"/>
      <c r="F100" s="6"/>
      <c r="G100" s="6"/>
      <c r="H100" s="7"/>
      <c r="I100" s="7"/>
      <c r="J100" s="2"/>
      <c r="K100" s="2"/>
      <c r="L100" s="2"/>
      <c r="M100" s="8"/>
      <c r="N100" s="163" t="str">
        <f t="shared" si="5"/>
        <v/>
      </c>
      <c r="O100" s="126" t="str">
        <f t="shared" si="6"/>
        <v>-</v>
      </c>
      <c r="P100" s="164"/>
      <c r="Q100" s="164"/>
      <c r="R100" s="164"/>
      <c r="S100" s="164"/>
      <c r="T100" s="164"/>
      <c r="U100" s="164"/>
      <c r="V100" s="164"/>
    </row>
    <row r="101" spans="1:25" ht="27" customHeight="1">
      <c r="A101" s="38" t="str">
        <f>IF(ISBLANK(C101)," ",96-COUNTBLANK($C$6:C101))</f>
        <v xml:space="preserve"> </v>
      </c>
      <c r="B101" s="4"/>
      <c r="C101" s="5"/>
      <c r="D101" s="34"/>
      <c r="E101" s="34"/>
      <c r="F101" s="6"/>
      <c r="G101" s="6"/>
      <c r="H101" s="7"/>
      <c r="I101" s="7"/>
      <c r="J101" s="2"/>
      <c r="K101" s="2"/>
      <c r="L101" s="2"/>
      <c r="M101" s="8"/>
      <c r="N101" s="163" t="str">
        <f t="shared" si="5"/>
        <v/>
      </c>
      <c r="O101" s="126" t="str">
        <f t="shared" si="6"/>
        <v>-</v>
      </c>
      <c r="P101" s="164"/>
      <c r="Q101" s="164"/>
      <c r="R101" s="164"/>
      <c r="S101" s="164"/>
      <c r="T101" s="164"/>
      <c r="U101" s="164"/>
      <c r="V101" s="164"/>
    </row>
    <row r="102" spans="1:25" ht="27" customHeight="1">
      <c r="A102" s="38" t="str">
        <f>IF(ISBLANK(C102)," ",97-COUNTBLANK($C$6:C102))</f>
        <v xml:space="preserve"> </v>
      </c>
      <c r="B102" s="4"/>
      <c r="C102" s="5"/>
      <c r="D102" s="34"/>
      <c r="E102" s="34"/>
      <c r="F102" s="6"/>
      <c r="G102" s="6"/>
      <c r="H102" s="7"/>
      <c r="I102" s="7"/>
      <c r="J102" s="2"/>
      <c r="K102" s="2"/>
      <c r="L102" s="2"/>
      <c r="M102" s="8"/>
      <c r="N102" s="163" t="str">
        <f t="shared" si="5"/>
        <v/>
      </c>
      <c r="O102" s="126" t="str">
        <f t="shared" si="6"/>
        <v>-</v>
      </c>
      <c r="P102" s="164"/>
      <c r="Q102" s="164"/>
      <c r="R102" s="164"/>
      <c r="S102" s="164"/>
      <c r="T102" s="164"/>
      <c r="U102" s="164"/>
      <c r="V102" s="164"/>
    </row>
    <row r="103" spans="1:25" ht="27" customHeight="1">
      <c r="A103" s="38" t="str">
        <f>IF(ISBLANK(C103)," ",98-COUNTBLANK($C$6:C103))</f>
        <v xml:space="preserve"> </v>
      </c>
      <c r="B103" s="4"/>
      <c r="C103" s="5"/>
      <c r="D103" s="34"/>
      <c r="E103" s="34"/>
      <c r="F103" s="6"/>
      <c r="G103" s="6"/>
      <c r="H103" s="7"/>
      <c r="I103" s="7"/>
      <c r="J103" s="2"/>
      <c r="K103" s="2"/>
      <c r="L103" s="2"/>
      <c r="M103" s="8"/>
      <c r="N103" s="163" t="str">
        <f t="shared" si="5"/>
        <v/>
      </c>
      <c r="O103" s="126" t="str">
        <f t="shared" si="6"/>
        <v>-</v>
      </c>
      <c r="P103" s="164"/>
      <c r="Q103" s="164"/>
      <c r="R103" s="164"/>
      <c r="S103" s="164"/>
      <c r="T103" s="164"/>
      <c r="U103" s="164"/>
      <c r="V103" s="164"/>
    </row>
    <row r="104" spans="1:25" ht="27" customHeight="1">
      <c r="A104" s="38" t="str">
        <f>IF(ISBLANK(C104)," ",99-COUNTBLANK($C$6:C104))</f>
        <v xml:space="preserve"> </v>
      </c>
      <c r="B104" s="4"/>
      <c r="C104" s="5"/>
      <c r="D104" s="34"/>
      <c r="E104" s="34"/>
      <c r="F104" s="6"/>
      <c r="G104" s="6"/>
      <c r="H104" s="7"/>
      <c r="I104" s="7"/>
      <c r="J104" s="2"/>
      <c r="K104" s="2"/>
      <c r="L104" s="2"/>
      <c r="M104" s="8"/>
      <c r="N104" s="163" t="str">
        <f t="shared" si="5"/>
        <v/>
      </c>
      <c r="O104" s="126" t="str">
        <f t="shared" si="6"/>
        <v>-</v>
      </c>
      <c r="P104" s="164"/>
      <c r="Q104" s="164"/>
      <c r="R104" s="164"/>
      <c r="S104" s="164"/>
      <c r="T104" s="164"/>
      <c r="U104" s="164"/>
      <c r="V104" s="164"/>
    </row>
    <row r="105" spans="1:25" ht="27" customHeight="1">
      <c r="A105" s="38" t="str">
        <f>IF(ISBLANK(C105)," ",100-COUNTBLANK($C$6:C105))</f>
        <v xml:space="preserve"> </v>
      </c>
      <c r="B105" s="4"/>
      <c r="C105" s="5"/>
      <c r="D105" s="34"/>
      <c r="E105" s="34"/>
      <c r="F105" s="6"/>
      <c r="G105" s="6"/>
      <c r="H105" s="7"/>
      <c r="I105" s="7"/>
      <c r="J105" s="2"/>
      <c r="K105" s="2"/>
      <c r="L105" s="2"/>
      <c r="M105" s="8"/>
      <c r="N105" s="163" t="str">
        <f t="shared" si="5"/>
        <v/>
      </c>
      <c r="O105" s="126" t="str">
        <f t="shared" si="6"/>
        <v>-</v>
      </c>
      <c r="P105" s="164"/>
      <c r="Q105" s="164"/>
      <c r="R105" s="164"/>
      <c r="S105" s="164"/>
      <c r="T105" s="164"/>
      <c r="U105" s="164"/>
      <c r="V105" s="165"/>
    </row>
    <row r="106" spans="1:25" ht="27" customHeight="1">
      <c r="A106" s="38" t="str">
        <f>IF(ISBLANK(C106)," ",101-COUNTBLANK($C$6:C106))</f>
        <v xml:space="preserve"> </v>
      </c>
      <c r="B106" s="4"/>
      <c r="C106" s="5"/>
      <c r="D106" s="34"/>
      <c r="E106" s="34"/>
      <c r="F106" s="6"/>
      <c r="G106" s="6"/>
      <c r="H106" s="7"/>
      <c r="I106" s="7"/>
      <c r="J106" s="2"/>
      <c r="K106" s="2"/>
      <c r="L106" s="2"/>
      <c r="M106" s="8"/>
      <c r="N106" s="163" t="str">
        <f t="shared" si="5"/>
        <v/>
      </c>
      <c r="O106" s="126" t="str">
        <f t="shared" si="6"/>
        <v>-</v>
      </c>
      <c r="P106" s="164"/>
      <c r="Q106" s="164"/>
      <c r="R106" s="164"/>
      <c r="S106" s="164"/>
      <c r="T106" s="164"/>
      <c r="U106" s="164"/>
      <c r="V106" s="165"/>
    </row>
    <row r="107" spans="1:25" ht="27" customHeight="1">
      <c r="A107" s="38" t="str">
        <f>IF(ISBLANK(C107)," ",102-COUNTBLANK($C$6:C107))</f>
        <v xml:space="preserve"> </v>
      </c>
      <c r="B107" s="4"/>
      <c r="C107" s="5"/>
      <c r="D107" s="34"/>
      <c r="E107" s="34"/>
      <c r="F107" s="6"/>
      <c r="G107" s="6"/>
      <c r="H107" s="7"/>
      <c r="I107" s="7"/>
      <c r="J107" s="2"/>
      <c r="K107" s="2"/>
      <c r="L107" s="2"/>
      <c r="M107" s="8"/>
      <c r="N107" s="163" t="str">
        <f t="shared" si="5"/>
        <v/>
      </c>
      <c r="O107" s="126" t="str">
        <f t="shared" si="6"/>
        <v>-</v>
      </c>
      <c r="P107" s="164"/>
      <c r="Q107" s="164"/>
      <c r="R107" s="164"/>
      <c r="S107" s="164"/>
      <c r="T107" s="164"/>
      <c r="U107" s="164"/>
      <c r="V107" s="165"/>
    </row>
    <row r="108" spans="1:25" ht="27" customHeight="1">
      <c r="A108" s="38" t="str">
        <f>IF(ISBLANK(C108)," ",103-COUNTBLANK($C$6:C108))</f>
        <v xml:space="preserve"> </v>
      </c>
      <c r="B108" s="4"/>
      <c r="C108" s="5"/>
      <c r="D108" s="34"/>
      <c r="E108" s="34"/>
      <c r="F108" s="6"/>
      <c r="G108" s="6"/>
      <c r="H108" s="7"/>
      <c r="I108" s="7"/>
      <c r="J108" s="2"/>
      <c r="K108" s="2"/>
      <c r="L108" s="2"/>
      <c r="M108" s="8"/>
      <c r="N108" s="163" t="str">
        <f t="shared" si="5"/>
        <v/>
      </c>
      <c r="O108" s="126" t="str">
        <f t="shared" si="6"/>
        <v>-</v>
      </c>
      <c r="P108" s="164"/>
      <c r="Q108" s="164"/>
      <c r="R108" s="164"/>
      <c r="S108" s="164"/>
      <c r="T108" s="164"/>
      <c r="U108" s="164"/>
      <c r="V108" s="165"/>
    </row>
    <row r="109" spans="1:25" ht="27" customHeight="1">
      <c r="A109" s="39" t="str">
        <f>IF(ISBLANK(C109)," ",104-COUNTBLANK($C$6:C109))</f>
        <v xml:space="preserve"> </v>
      </c>
      <c r="B109" s="14"/>
      <c r="C109" s="15"/>
      <c r="D109" s="35"/>
      <c r="E109" s="35"/>
      <c r="F109" s="16"/>
      <c r="G109" s="16"/>
      <c r="H109" s="17"/>
      <c r="I109" s="17"/>
      <c r="J109" s="3"/>
      <c r="K109" s="3"/>
      <c r="L109" s="3"/>
      <c r="M109" s="18"/>
      <c r="N109" s="163" t="str">
        <f t="shared" si="5"/>
        <v/>
      </c>
      <c r="O109" s="126" t="str">
        <f t="shared" si="6"/>
        <v>-</v>
      </c>
      <c r="P109" s="164"/>
      <c r="Q109" s="164"/>
      <c r="R109" s="164"/>
      <c r="S109" s="164"/>
      <c r="T109" s="164"/>
      <c r="U109" s="164"/>
      <c r="V109" s="166"/>
      <c r="W109" s="164"/>
      <c r="X109" s="164"/>
      <c r="Y109" s="164"/>
    </row>
    <row r="110" spans="1:25" ht="27" customHeight="1">
      <c r="A110" s="172" t="s">
        <v>44</v>
      </c>
      <c r="B110" s="173"/>
      <c r="C110" s="174"/>
      <c r="D110" s="175"/>
      <c r="E110" s="175">
        <f>SUM(E90:E109)</f>
        <v>0</v>
      </c>
      <c r="F110" s="176"/>
      <c r="G110" s="176"/>
      <c r="H110" s="176"/>
      <c r="I110" s="176"/>
      <c r="J110" s="176"/>
      <c r="K110" s="176"/>
      <c r="L110" s="176"/>
      <c r="M110" s="177"/>
      <c r="N110" s="163" t="str">
        <f t="shared" si="5"/>
        <v/>
      </c>
      <c r="O110" s="126"/>
      <c r="P110" s="164"/>
      <c r="Q110" s="164"/>
      <c r="R110" s="164"/>
      <c r="S110" s="164"/>
      <c r="T110" s="164"/>
      <c r="U110" s="164"/>
      <c r="V110" s="166"/>
      <c r="W110" s="164"/>
      <c r="X110" s="164"/>
      <c r="Y110" s="164"/>
    </row>
    <row r="111" spans="1:25" ht="27" customHeight="1">
      <c r="A111" s="37" t="str">
        <f>IF(ISBLANK(C111)," ",106-COUNTBLANK($C$6:C111))</f>
        <v xml:space="preserve"> </v>
      </c>
      <c r="B111" s="9"/>
      <c r="C111" s="10"/>
      <c r="D111" s="33"/>
      <c r="E111" s="33"/>
      <c r="F111" s="11"/>
      <c r="G111" s="11"/>
      <c r="H111" s="12"/>
      <c r="I111" s="12"/>
      <c r="J111" s="32"/>
      <c r="K111" s="32"/>
      <c r="L111" s="32"/>
      <c r="M111" s="13"/>
      <c r="N111" s="163" t="str">
        <f t="shared" si="5"/>
        <v/>
      </c>
      <c r="O111" s="126" t="str">
        <f>IF(D111&gt;=E111,"-","ERR")</f>
        <v>-</v>
      </c>
      <c r="P111" s="164"/>
      <c r="Q111" s="164"/>
      <c r="R111" s="164"/>
      <c r="S111" s="164"/>
      <c r="T111" s="164"/>
      <c r="U111" s="164"/>
      <c r="V111" s="164"/>
    </row>
    <row r="112" spans="1:25" ht="27" customHeight="1">
      <c r="A112" s="38" t="str">
        <f>IF(ISBLANK(C112)," ",107-COUNTBLANK($C$6:C112))</f>
        <v xml:space="preserve"> </v>
      </c>
      <c r="B112" s="4"/>
      <c r="C112" s="5"/>
      <c r="D112" s="34"/>
      <c r="E112" s="34"/>
      <c r="F112" s="6"/>
      <c r="G112" s="6"/>
      <c r="H112" s="7"/>
      <c r="I112" s="7"/>
      <c r="J112" s="2"/>
      <c r="K112" s="2"/>
      <c r="L112" s="2"/>
      <c r="M112" s="8"/>
      <c r="N112" s="163" t="str">
        <f t="shared" si="5"/>
        <v/>
      </c>
      <c r="O112" s="126" t="str">
        <f t="shared" ref="O112:O130" si="7">IF(D112&gt;=E112,"-","ERR")</f>
        <v>-</v>
      </c>
      <c r="P112" s="164"/>
      <c r="Q112" s="164"/>
      <c r="R112" s="164"/>
      <c r="S112" s="164"/>
      <c r="T112" s="164"/>
      <c r="U112" s="164"/>
      <c r="V112" s="164"/>
    </row>
    <row r="113" spans="1:22" ht="27" customHeight="1">
      <c r="A113" s="38" t="str">
        <f>IF(ISBLANK(C113)," ",108-COUNTBLANK($C$6:C113))</f>
        <v xml:space="preserve"> </v>
      </c>
      <c r="B113" s="4"/>
      <c r="C113" s="5"/>
      <c r="D113" s="34"/>
      <c r="E113" s="34"/>
      <c r="F113" s="6"/>
      <c r="G113" s="6"/>
      <c r="H113" s="7"/>
      <c r="I113" s="7"/>
      <c r="J113" s="2"/>
      <c r="K113" s="2"/>
      <c r="L113" s="2"/>
      <c r="M113" s="8"/>
      <c r="N113" s="163" t="str">
        <f t="shared" si="5"/>
        <v/>
      </c>
      <c r="O113" s="126" t="str">
        <f t="shared" si="7"/>
        <v>-</v>
      </c>
      <c r="P113" s="164"/>
      <c r="Q113" s="164"/>
      <c r="R113" s="164"/>
      <c r="S113" s="164"/>
      <c r="T113" s="164"/>
      <c r="U113" s="164"/>
      <c r="V113" s="164"/>
    </row>
    <row r="114" spans="1:22" ht="27" customHeight="1">
      <c r="A114" s="38" t="str">
        <f>IF(ISBLANK(C114)," ",109-COUNTBLANK($C$6:C114))</f>
        <v xml:space="preserve"> </v>
      </c>
      <c r="B114" s="4"/>
      <c r="C114" s="5"/>
      <c r="D114" s="34"/>
      <c r="E114" s="34"/>
      <c r="F114" s="6"/>
      <c r="G114" s="6"/>
      <c r="H114" s="7"/>
      <c r="I114" s="7"/>
      <c r="J114" s="2"/>
      <c r="K114" s="2"/>
      <c r="L114" s="2"/>
      <c r="M114" s="8"/>
      <c r="N114" s="163" t="str">
        <f t="shared" si="5"/>
        <v/>
      </c>
      <c r="O114" s="126" t="str">
        <f t="shared" si="7"/>
        <v>-</v>
      </c>
      <c r="P114" s="164"/>
      <c r="Q114" s="164"/>
      <c r="R114" s="164"/>
      <c r="S114" s="164"/>
      <c r="T114" s="164"/>
      <c r="U114" s="164"/>
      <c r="V114" s="164"/>
    </row>
    <row r="115" spans="1:22" ht="27" customHeight="1">
      <c r="A115" s="38" t="str">
        <f>IF(ISBLANK(C115)," ",110-COUNTBLANK($C$6:C115))</f>
        <v xml:space="preserve"> </v>
      </c>
      <c r="B115" s="4"/>
      <c r="C115" s="5"/>
      <c r="D115" s="34"/>
      <c r="E115" s="34"/>
      <c r="F115" s="6"/>
      <c r="G115" s="6"/>
      <c r="H115" s="7"/>
      <c r="I115" s="7"/>
      <c r="J115" s="2"/>
      <c r="K115" s="2"/>
      <c r="L115" s="2"/>
      <c r="M115" s="8"/>
      <c r="N115" s="163" t="str">
        <f t="shared" si="5"/>
        <v/>
      </c>
      <c r="O115" s="126" t="str">
        <f t="shared" si="7"/>
        <v>-</v>
      </c>
      <c r="P115" s="164"/>
      <c r="Q115" s="164"/>
      <c r="R115" s="164"/>
      <c r="S115" s="164"/>
      <c r="T115" s="164"/>
      <c r="U115" s="164"/>
      <c r="V115" s="164"/>
    </row>
    <row r="116" spans="1:22" ht="27" customHeight="1">
      <c r="A116" s="38" t="str">
        <f>IF(ISBLANK(C116)," ",111-COUNTBLANK($C$6:C116))</f>
        <v xml:space="preserve"> </v>
      </c>
      <c r="B116" s="4"/>
      <c r="C116" s="5"/>
      <c r="D116" s="34"/>
      <c r="E116" s="34"/>
      <c r="F116" s="6"/>
      <c r="G116" s="6"/>
      <c r="H116" s="7"/>
      <c r="I116" s="7"/>
      <c r="J116" s="2"/>
      <c r="K116" s="2"/>
      <c r="L116" s="2"/>
      <c r="M116" s="8"/>
      <c r="N116" s="163" t="str">
        <f t="shared" si="5"/>
        <v/>
      </c>
      <c r="O116" s="126" t="str">
        <f t="shared" si="7"/>
        <v>-</v>
      </c>
      <c r="P116" s="164"/>
      <c r="Q116" s="164"/>
      <c r="R116" s="164"/>
      <c r="S116" s="164"/>
      <c r="T116" s="164"/>
      <c r="U116" s="164"/>
      <c r="V116" s="164"/>
    </row>
    <row r="117" spans="1:22" ht="27" customHeight="1">
      <c r="A117" s="38" t="str">
        <f>IF(ISBLANK(C117)," ",112-COUNTBLANK($C$6:C117))</f>
        <v xml:space="preserve"> </v>
      </c>
      <c r="B117" s="4"/>
      <c r="C117" s="5"/>
      <c r="D117" s="34"/>
      <c r="E117" s="34"/>
      <c r="F117" s="6"/>
      <c r="G117" s="6"/>
      <c r="H117" s="7"/>
      <c r="I117" s="7"/>
      <c r="J117" s="2"/>
      <c r="K117" s="2"/>
      <c r="L117" s="2"/>
      <c r="M117" s="8"/>
      <c r="N117" s="163" t="str">
        <f t="shared" si="5"/>
        <v/>
      </c>
      <c r="O117" s="126" t="str">
        <f t="shared" si="7"/>
        <v>-</v>
      </c>
      <c r="P117" s="164"/>
      <c r="Q117" s="164"/>
      <c r="R117" s="164"/>
      <c r="S117" s="164"/>
      <c r="T117" s="164"/>
      <c r="U117" s="164"/>
      <c r="V117" s="164"/>
    </row>
    <row r="118" spans="1:22" ht="27" customHeight="1">
      <c r="A118" s="38" t="str">
        <f>IF(ISBLANK(C118)," ",113-COUNTBLANK($C$6:C118))</f>
        <v xml:space="preserve"> </v>
      </c>
      <c r="B118" s="4"/>
      <c r="C118" s="5"/>
      <c r="D118" s="34"/>
      <c r="E118" s="34"/>
      <c r="F118" s="6"/>
      <c r="G118" s="6"/>
      <c r="H118" s="7"/>
      <c r="I118" s="7"/>
      <c r="J118" s="2"/>
      <c r="K118" s="2"/>
      <c r="L118" s="2"/>
      <c r="M118" s="8"/>
      <c r="N118" s="163" t="str">
        <f t="shared" si="5"/>
        <v/>
      </c>
      <c r="O118" s="126" t="str">
        <f t="shared" si="7"/>
        <v>-</v>
      </c>
      <c r="P118" s="164"/>
      <c r="Q118" s="164"/>
      <c r="R118" s="164"/>
      <c r="S118" s="164"/>
      <c r="T118" s="164"/>
      <c r="U118" s="164"/>
      <c r="V118" s="164"/>
    </row>
    <row r="119" spans="1:22" ht="27" customHeight="1">
      <c r="A119" s="38" t="str">
        <f>IF(ISBLANK(C119)," ",114-COUNTBLANK($C$6:C119))</f>
        <v xml:space="preserve"> </v>
      </c>
      <c r="B119" s="4"/>
      <c r="C119" s="5"/>
      <c r="D119" s="34"/>
      <c r="E119" s="34"/>
      <c r="F119" s="6"/>
      <c r="G119" s="6"/>
      <c r="H119" s="7"/>
      <c r="I119" s="7"/>
      <c r="J119" s="2"/>
      <c r="K119" s="2"/>
      <c r="L119" s="2"/>
      <c r="M119" s="8"/>
      <c r="N119" s="163" t="str">
        <f t="shared" si="5"/>
        <v/>
      </c>
      <c r="O119" s="126" t="str">
        <f t="shared" si="7"/>
        <v>-</v>
      </c>
      <c r="P119" s="164"/>
      <c r="Q119" s="164"/>
      <c r="R119" s="164"/>
      <c r="S119" s="164"/>
      <c r="T119" s="164"/>
      <c r="U119" s="164"/>
      <c r="V119" s="164"/>
    </row>
    <row r="120" spans="1:22" ht="27" customHeight="1">
      <c r="A120" s="38" t="str">
        <f>IF(ISBLANK(C120)," ",115-COUNTBLANK($C$6:C120))</f>
        <v xml:space="preserve"> </v>
      </c>
      <c r="B120" s="4"/>
      <c r="C120" s="5"/>
      <c r="D120" s="34"/>
      <c r="E120" s="34"/>
      <c r="F120" s="6"/>
      <c r="G120" s="6"/>
      <c r="H120" s="7"/>
      <c r="I120" s="7"/>
      <c r="J120" s="2"/>
      <c r="K120" s="2"/>
      <c r="L120" s="2"/>
      <c r="M120" s="8"/>
      <c r="N120" s="163" t="str">
        <f t="shared" si="5"/>
        <v/>
      </c>
      <c r="O120" s="126" t="str">
        <f t="shared" si="7"/>
        <v>-</v>
      </c>
      <c r="P120" s="164"/>
      <c r="Q120" s="164"/>
      <c r="R120" s="164"/>
      <c r="S120" s="164"/>
      <c r="T120" s="164"/>
      <c r="U120" s="164"/>
      <c r="V120" s="164"/>
    </row>
    <row r="121" spans="1:22" ht="27" customHeight="1">
      <c r="A121" s="38" t="str">
        <f>IF(ISBLANK(C121)," ",116-COUNTBLANK($C$6:C121))</f>
        <v xml:space="preserve"> </v>
      </c>
      <c r="B121" s="4"/>
      <c r="C121" s="5"/>
      <c r="D121" s="34"/>
      <c r="E121" s="34"/>
      <c r="F121" s="6"/>
      <c r="G121" s="6"/>
      <c r="H121" s="7"/>
      <c r="I121" s="7"/>
      <c r="J121" s="2"/>
      <c r="K121" s="2"/>
      <c r="L121" s="2"/>
      <c r="M121" s="8"/>
      <c r="N121" s="163" t="str">
        <f t="shared" si="5"/>
        <v/>
      </c>
      <c r="O121" s="126" t="str">
        <f t="shared" si="7"/>
        <v>-</v>
      </c>
      <c r="P121" s="164"/>
      <c r="Q121" s="164"/>
      <c r="R121" s="164"/>
      <c r="S121" s="164"/>
      <c r="T121" s="164"/>
      <c r="U121" s="164"/>
      <c r="V121" s="164"/>
    </row>
    <row r="122" spans="1:22" ht="27" customHeight="1">
      <c r="A122" s="38" t="str">
        <f>IF(ISBLANK(C122)," ",117-COUNTBLANK($C$6:C122))</f>
        <v xml:space="preserve"> </v>
      </c>
      <c r="B122" s="4"/>
      <c r="C122" s="5"/>
      <c r="D122" s="34"/>
      <c r="E122" s="34"/>
      <c r="F122" s="6"/>
      <c r="G122" s="6"/>
      <c r="H122" s="7"/>
      <c r="I122" s="7"/>
      <c r="J122" s="2"/>
      <c r="K122" s="2"/>
      <c r="L122" s="2"/>
      <c r="M122" s="8"/>
      <c r="N122" s="163" t="str">
        <f t="shared" si="5"/>
        <v/>
      </c>
      <c r="O122" s="126" t="str">
        <f t="shared" si="7"/>
        <v>-</v>
      </c>
      <c r="P122" s="164"/>
      <c r="Q122" s="164"/>
      <c r="R122" s="164"/>
      <c r="S122" s="164"/>
      <c r="T122" s="164"/>
      <c r="U122" s="164"/>
      <c r="V122" s="164"/>
    </row>
    <row r="123" spans="1:22" ht="27" customHeight="1">
      <c r="A123" s="38" t="str">
        <f>IF(ISBLANK(C123)," ",118-COUNTBLANK($C$6:C123))</f>
        <v xml:space="preserve"> </v>
      </c>
      <c r="B123" s="4"/>
      <c r="C123" s="5"/>
      <c r="D123" s="34"/>
      <c r="E123" s="34"/>
      <c r="F123" s="6"/>
      <c r="G123" s="6"/>
      <c r="H123" s="7"/>
      <c r="I123" s="7"/>
      <c r="J123" s="2"/>
      <c r="K123" s="2"/>
      <c r="L123" s="2"/>
      <c r="M123" s="8"/>
      <c r="N123" s="163" t="str">
        <f t="shared" si="5"/>
        <v/>
      </c>
      <c r="O123" s="126" t="str">
        <f t="shared" si="7"/>
        <v>-</v>
      </c>
      <c r="P123" s="164"/>
      <c r="Q123" s="164"/>
      <c r="R123" s="164"/>
      <c r="S123" s="164"/>
      <c r="T123" s="164"/>
      <c r="U123" s="164"/>
      <c r="V123" s="164"/>
    </row>
    <row r="124" spans="1:22" ht="27" customHeight="1">
      <c r="A124" s="38" t="str">
        <f>IF(ISBLANK(C124)," ",119-COUNTBLANK($C$6:C124))</f>
        <v xml:space="preserve"> </v>
      </c>
      <c r="B124" s="4"/>
      <c r="C124" s="5"/>
      <c r="D124" s="34"/>
      <c r="E124" s="34"/>
      <c r="F124" s="6"/>
      <c r="G124" s="6"/>
      <c r="H124" s="7"/>
      <c r="I124" s="7"/>
      <c r="J124" s="2"/>
      <c r="K124" s="2"/>
      <c r="L124" s="2"/>
      <c r="M124" s="8"/>
      <c r="N124" s="163" t="str">
        <f t="shared" si="5"/>
        <v/>
      </c>
      <c r="O124" s="126" t="str">
        <f t="shared" si="7"/>
        <v>-</v>
      </c>
      <c r="P124" s="164"/>
      <c r="Q124" s="164"/>
      <c r="R124" s="164"/>
      <c r="S124" s="164"/>
      <c r="T124" s="164"/>
      <c r="U124" s="164"/>
      <c r="V124" s="164"/>
    </row>
    <row r="125" spans="1:22" ht="27" customHeight="1">
      <c r="A125" s="38" t="str">
        <f>IF(ISBLANK(C125)," ",120-COUNTBLANK($C$6:C125))</f>
        <v xml:space="preserve"> </v>
      </c>
      <c r="B125" s="4"/>
      <c r="C125" s="5"/>
      <c r="D125" s="34"/>
      <c r="E125" s="34"/>
      <c r="F125" s="6"/>
      <c r="G125" s="6"/>
      <c r="H125" s="7"/>
      <c r="I125" s="7"/>
      <c r="J125" s="2"/>
      <c r="K125" s="2"/>
      <c r="L125" s="2"/>
      <c r="M125" s="8"/>
      <c r="N125" s="163" t="str">
        <f t="shared" si="5"/>
        <v/>
      </c>
      <c r="O125" s="126" t="str">
        <f t="shared" si="7"/>
        <v>-</v>
      </c>
      <c r="P125" s="164"/>
      <c r="Q125" s="164"/>
      <c r="R125" s="164"/>
      <c r="S125" s="164"/>
      <c r="T125" s="164"/>
      <c r="U125" s="164"/>
      <c r="V125" s="164"/>
    </row>
    <row r="126" spans="1:22" ht="27" customHeight="1">
      <c r="A126" s="38" t="str">
        <f>IF(ISBLANK(C126)," ",121-COUNTBLANK($C$6:C126))</f>
        <v xml:space="preserve"> </v>
      </c>
      <c r="B126" s="4"/>
      <c r="C126" s="5"/>
      <c r="D126" s="34"/>
      <c r="E126" s="34"/>
      <c r="F126" s="6"/>
      <c r="G126" s="6"/>
      <c r="H126" s="7"/>
      <c r="I126" s="7"/>
      <c r="J126" s="2"/>
      <c r="K126" s="2"/>
      <c r="L126" s="2"/>
      <c r="M126" s="8"/>
      <c r="N126" s="163" t="str">
        <f t="shared" si="5"/>
        <v/>
      </c>
      <c r="O126" s="126" t="str">
        <f t="shared" si="7"/>
        <v>-</v>
      </c>
      <c r="P126" s="164"/>
      <c r="Q126" s="164"/>
      <c r="R126" s="164"/>
      <c r="S126" s="164"/>
      <c r="T126" s="164"/>
      <c r="U126" s="164"/>
      <c r="V126" s="165"/>
    </row>
    <row r="127" spans="1:22" ht="27" customHeight="1">
      <c r="A127" s="38" t="str">
        <f>IF(ISBLANK(C127)," ",122-COUNTBLANK($C$6:C127))</f>
        <v xml:space="preserve"> </v>
      </c>
      <c r="B127" s="4"/>
      <c r="C127" s="5"/>
      <c r="D127" s="34"/>
      <c r="E127" s="34"/>
      <c r="F127" s="6"/>
      <c r="G127" s="6"/>
      <c r="H127" s="7"/>
      <c r="I127" s="7"/>
      <c r="J127" s="2"/>
      <c r="K127" s="2"/>
      <c r="L127" s="2"/>
      <c r="M127" s="8"/>
      <c r="N127" s="163" t="str">
        <f t="shared" si="5"/>
        <v/>
      </c>
      <c r="O127" s="126" t="str">
        <f t="shared" si="7"/>
        <v>-</v>
      </c>
      <c r="P127" s="164"/>
      <c r="Q127" s="164"/>
      <c r="R127" s="164"/>
      <c r="S127" s="164"/>
      <c r="T127" s="164"/>
      <c r="U127" s="164"/>
      <c r="V127" s="165"/>
    </row>
    <row r="128" spans="1:22" ht="27" customHeight="1">
      <c r="A128" s="38" t="str">
        <f>IF(ISBLANK(C128)," ",123-COUNTBLANK($C$6:C128))</f>
        <v xml:space="preserve"> </v>
      </c>
      <c r="B128" s="4"/>
      <c r="C128" s="5"/>
      <c r="D128" s="34"/>
      <c r="E128" s="34"/>
      <c r="F128" s="6"/>
      <c r="G128" s="6"/>
      <c r="H128" s="7"/>
      <c r="I128" s="7"/>
      <c r="J128" s="2"/>
      <c r="K128" s="2"/>
      <c r="L128" s="2"/>
      <c r="M128" s="8"/>
      <c r="N128" s="163" t="str">
        <f t="shared" si="5"/>
        <v/>
      </c>
      <c r="O128" s="126" t="str">
        <f t="shared" si="7"/>
        <v>-</v>
      </c>
      <c r="P128" s="164"/>
      <c r="Q128" s="164"/>
      <c r="R128" s="164"/>
      <c r="S128" s="164"/>
      <c r="T128" s="164"/>
      <c r="U128" s="164"/>
      <c r="V128" s="165"/>
    </row>
    <row r="129" spans="1:25" ht="27" customHeight="1">
      <c r="A129" s="38" t="str">
        <f>IF(ISBLANK(C129)," ",124-COUNTBLANK($C$6:C129))</f>
        <v xml:space="preserve"> </v>
      </c>
      <c r="B129" s="4"/>
      <c r="C129" s="5"/>
      <c r="D129" s="34"/>
      <c r="E129" s="34"/>
      <c r="F129" s="6"/>
      <c r="G129" s="6"/>
      <c r="H129" s="7"/>
      <c r="I129" s="7"/>
      <c r="J129" s="2"/>
      <c r="K129" s="2"/>
      <c r="L129" s="2"/>
      <c r="M129" s="8"/>
      <c r="N129" s="163" t="str">
        <f t="shared" si="5"/>
        <v/>
      </c>
      <c r="O129" s="126" t="str">
        <f t="shared" si="7"/>
        <v>-</v>
      </c>
      <c r="P129" s="164"/>
      <c r="Q129" s="164"/>
      <c r="R129" s="164"/>
      <c r="S129" s="164"/>
      <c r="T129" s="164"/>
      <c r="U129" s="164"/>
      <c r="V129" s="165"/>
    </row>
    <row r="130" spans="1:25" ht="27" customHeight="1">
      <c r="A130" s="39" t="str">
        <f>IF(ISBLANK(C130)," ",125-COUNTBLANK($C$6:C130))</f>
        <v xml:space="preserve"> </v>
      </c>
      <c r="B130" s="14"/>
      <c r="C130" s="15"/>
      <c r="D130" s="35"/>
      <c r="E130" s="35"/>
      <c r="F130" s="16"/>
      <c r="G130" s="16"/>
      <c r="H130" s="17"/>
      <c r="I130" s="17"/>
      <c r="J130" s="3"/>
      <c r="K130" s="3"/>
      <c r="L130" s="3"/>
      <c r="M130" s="18"/>
      <c r="N130" s="163" t="str">
        <f t="shared" si="5"/>
        <v/>
      </c>
      <c r="O130" s="126" t="str">
        <f t="shared" si="7"/>
        <v>-</v>
      </c>
      <c r="P130" s="164"/>
      <c r="Q130" s="164"/>
      <c r="R130" s="164"/>
      <c r="S130" s="164"/>
      <c r="T130" s="164"/>
      <c r="U130" s="164"/>
      <c r="V130" s="166"/>
      <c r="W130" s="164"/>
      <c r="X130" s="164"/>
      <c r="Y130" s="164"/>
    </row>
    <row r="131" spans="1:25" ht="27" customHeight="1">
      <c r="A131" s="172" t="s">
        <v>44</v>
      </c>
      <c r="B131" s="173"/>
      <c r="C131" s="174"/>
      <c r="D131" s="175"/>
      <c r="E131" s="175">
        <f>SUM(E111:E130)</f>
        <v>0</v>
      </c>
      <c r="F131" s="176"/>
      <c r="G131" s="176"/>
      <c r="H131" s="176"/>
      <c r="I131" s="176"/>
      <c r="J131" s="176"/>
      <c r="K131" s="176"/>
      <c r="L131" s="176"/>
      <c r="M131" s="177"/>
      <c r="N131" s="163" t="str">
        <f t="shared" si="5"/>
        <v/>
      </c>
      <c r="O131" s="126"/>
      <c r="P131" s="164"/>
      <c r="Q131" s="164"/>
      <c r="R131" s="164"/>
      <c r="S131" s="164"/>
      <c r="T131" s="164"/>
      <c r="U131" s="164"/>
      <c r="V131" s="166"/>
      <c r="W131" s="164"/>
      <c r="X131" s="164"/>
      <c r="Y131" s="164"/>
    </row>
    <row r="132" spans="1:25" ht="27" customHeight="1">
      <c r="A132" s="37" t="str">
        <f>IF(ISBLANK(C132)," ",127-COUNTBLANK($C$6:C132))</f>
        <v xml:space="preserve"> </v>
      </c>
      <c r="B132" s="9"/>
      <c r="C132" s="10"/>
      <c r="D132" s="33"/>
      <c r="E132" s="33"/>
      <c r="F132" s="11"/>
      <c r="G132" s="11"/>
      <c r="H132" s="12"/>
      <c r="I132" s="12"/>
      <c r="J132" s="32"/>
      <c r="K132" s="32"/>
      <c r="L132" s="32"/>
      <c r="M132" s="13"/>
      <c r="N132" s="163" t="str">
        <f t="shared" si="5"/>
        <v/>
      </c>
      <c r="O132" s="126" t="str">
        <f>IF(D132&gt;=E132,"-","ERR")</f>
        <v>-</v>
      </c>
      <c r="P132" s="164"/>
      <c r="Q132" s="164"/>
      <c r="R132" s="164"/>
      <c r="S132" s="164"/>
      <c r="T132" s="164"/>
      <c r="U132" s="164"/>
      <c r="V132" s="164"/>
    </row>
    <row r="133" spans="1:25" ht="27" customHeight="1">
      <c r="A133" s="38" t="str">
        <f>IF(ISBLANK(C133)," ",128-COUNTBLANK($C$6:C133))</f>
        <v xml:space="preserve"> </v>
      </c>
      <c r="B133" s="4"/>
      <c r="C133" s="5"/>
      <c r="D133" s="34"/>
      <c r="E133" s="34"/>
      <c r="F133" s="6"/>
      <c r="G133" s="6"/>
      <c r="H133" s="7"/>
      <c r="I133" s="7"/>
      <c r="J133" s="2"/>
      <c r="K133" s="2"/>
      <c r="L133" s="2"/>
      <c r="M133" s="8"/>
      <c r="N133" s="163" t="str">
        <f t="shared" si="5"/>
        <v/>
      </c>
      <c r="O133" s="126" t="str">
        <f t="shared" ref="O133:O151" si="8">IF(D133&gt;=E133,"-","ERR")</f>
        <v>-</v>
      </c>
      <c r="P133" s="164"/>
      <c r="Q133" s="164"/>
      <c r="R133" s="164"/>
      <c r="S133" s="164"/>
      <c r="T133" s="164"/>
      <c r="U133" s="164"/>
      <c r="V133" s="164"/>
    </row>
    <row r="134" spans="1:25" ht="27" customHeight="1">
      <c r="A134" s="38" t="str">
        <f>IF(ISBLANK(C134)," ",129-COUNTBLANK($C$6:C134))</f>
        <v xml:space="preserve"> </v>
      </c>
      <c r="B134" s="4"/>
      <c r="C134" s="5"/>
      <c r="D134" s="34"/>
      <c r="E134" s="34"/>
      <c r="F134" s="6"/>
      <c r="G134" s="6"/>
      <c r="H134" s="7"/>
      <c r="I134" s="7"/>
      <c r="J134" s="2"/>
      <c r="K134" s="2"/>
      <c r="L134" s="2"/>
      <c r="M134" s="8"/>
      <c r="N134" s="163" t="str">
        <f t="shared" si="5"/>
        <v/>
      </c>
      <c r="O134" s="126" t="str">
        <f t="shared" si="8"/>
        <v>-</v>
      </c>
      <c r="P134" s="164"/>
      <c r="Q134" s="164"/>
      <c r="R134" s="164"/>
      <c r="S134" s="164"/>
      <c r="T134" s="164"/>
      <c r="U134" s="164"/>
      <c r="V134" s="164"/>
    </row>
    <row r="135" spans="1:25" ht="27" customHeight="1">
      <c r="A135" s="38" t="str">
        <f>IF(ISBLANK(C135)," ",130-COUNTBLANK($C$6:C135))</f>
        <v xml:space="preserve"> </v>
      </c>
      <c r="B135" s="28"/>
      <c r="C135" s="29"/>
      <c r="D135" s="36"/>
      <c r="E135" s="36"/>
      <c r="F135" s="30"/>
      <c r="G135" s="30"/>
      <c r="H135" s="31"/>
      <c r="I135" s="31"/>
      <c r="J135" s="2"/>
      <c r="K135" s="2"/>
      <c r="L135" s="2"/>
      <c r="M135" s="8"/>
      <c r="N135" s="163" t="str">
        <f t="shared" ref="N135:N198" si="9">CONCATENATE(C135,H135)</f>
        <v/>
      </c>
      <c r="O135" s="126" t="str">
        <f t="shared" si="8"/>
        <v>-</v>
      </c>
      <c r="P135" s="164"/>
      <c r="Q135" s="164"/>
      <c r="R135" s="164"/>
      <c r="S135" s="164"/>
      <c r="T135" s="164"/>
      <c r="U135" s="164"/>
      <c r="V135" s="164"/>
    </row>
    <row r="136" spans="1:25" ht="27" customHeight="1">
      <c r="A136" s="38" t="str">
        <f>IF(ISBLANK(C136)," ",131-COUNTBLANK($C$6:C136))</f>
        <v xml:space="preserve"> </v>
      </c>
      <c r="B136" s="178"/>
      <c r="C136" s="178"/>
      <c r="D136" s="179"/>
      <c r="E136" s="179"/>
      <c r="F136" s="180"/>
      <c r="G136" s="180"/>
      <c r="H136" s="180"/>
      <c r="I136" s="180"/>
      <c r="J136" s="2"/>
      <c r="K136" s="2"/>
      <c r="L136" s="2"/>
      <c r="M136" s="8"/>
      <c r="N136" s="163" t="str">
        <f t="shared" si="9"/>
        <v/>
      </c>
      <c r="O136" s="126" t="str">
        <f t="shared" si="8"/>
        <v>-</v>
      </c>
      <c r="P136" s="164"/>
      <c r="Q136" s="164"/>
      <c r="R136" s="164"/>
      <c r="S136" s="164"/>
      <c r="T136" s="164"/>
      <c r="U136" s="164"/>
      <c r="V136" s="164"/>
    </row>
    <row r="137" spans="1:25" ht="27" customHeight="1">
      <c r="A137" s="38" t="str">
        <f>IF(ISBLANK(C137)," ",132-COUNTBLANK($C$6:C137))</f>
        <v xml:space="preserve"> </v>
      </c>
      <c r="B137" s="4"/>
      <c r="C137" s="5"/>
      <c r="D137" s="34"/>
      <c r="E137" s="34"/>
      <c r="F137" s="6"/>
      <c r="G137" s="6"/>
      <c r="H137" s="7"/>
      <c r="I137" s="7"/>
      <c r="J137" s="2"/>
      <c r="K137" s="2"/>
      <c r="L137" s="2"/>
      <c r="M137" s="8"/>
      <c r="N137" s="163" t="str">
        <f t="shared" si="9"/>
        <v/>
      </c>
      <c r="O137" s="126" t="str">
        <f t="shared" si="8"/>
        <v>-</v>
      </c>
      <c r="P137" s="164"/>
      <c r="Q137" s="164"/>
      <c r="R137" s="164"/>
      <c r="S137" s="164"/>
      <c r="T137" s="164"/>
      <c r="U137" s="164"/>
      <c r="V137" s="164"/>
    </row>
    <row r="138" spans="1:25" ht="27" customHeight="1">
      <c r="A138" s="38" t="str">
        <f>IF(ISBLANK(C138)," ",133-COUNTBLANK($C$6:C138))</f>
        <v xml:space="preserve"> </v>
      </c>
      <c r="B138" s="4"/>
      <c r="C138" s="5"/>
      <c r="D138" s="34"/>
      <c r="E138" s="34"/>
      <c r="F138" s="6"/>
      <c r="G138" s="6"/>
      <c r="H138" s="7"/>
      <c r="I138" s="7"/>
      <c r="J138" s="2"/>
      <c r="K138" s="2"/>
      <c r="L138" s="2"/>
      <c r="M138" s="8"/>
      <c r="N138" s="163" t="str">
        <f t="shared" si="9"/>
        <v/>
      </c>
      <c r="O138" s="126" t="str">
        <f t="shared" si="8"/>
        <v>-</v>
      </c>
      <c r="P138" s="164"/>
      <c r="Q138" s="164"/>
      <c r="R138" s="164"/>
      <c r="S138" s="164"/>
      <c r="T138" s="164"/>
      <c r="U138" s="164"/>
      <c r="V138" s="164"/>
    </row>
    <row r="139" spans="1:25" ht="27" customHeight="1">
      <c r="A139" s="38" t="str">
        <f>IF(ISBLANK(C139)," ",134-COUNTBLANK($C$6:C139))</f>
        <v xml:space="preserve"> </v>
      </c>
      <c r="B139" s="4"/>
      <c r="C139" s="5"/>
      <c r="D139" s="34"/>
      <c r="E139" s="34"/>
      <c r="F139" s="6"/>
      <c r="G139" s="6"/>
      <c r="H139" s="7"/>
      <c r="I139" s="7"/>
      <c r="J139" s="2"/>
      <c r="K139" s="2"/>
      <c r="L139" s="2"/>
      <c r="M139" s="8"/>
      <c r="N139" s="163" t="str">
        <f t="shared" si="9"/>
        <v/>
      </c>
      <c r="O139" s="126" t="str">
        <f t="shared" si="8"/>
        <v>-</v>
      </c>
      <c r="P139" s="164"/>
      <c r="Q139" s="164"/>
      <c r="R139" s="164"/>
      <c r="S139" s="164"/>
      <c r="T139" s="164"/>
      <c r="U139" s="164"/>
      <c r="V139" s="164"/>
    </row>
    <row r="140" spans="1:25" ht="27" customHeight="1">
      <c r="A140" s="38" t="str">
        <f>IF(ISBLANK(C140)," ",135-COUNTBLANK($C$6:C140))</f>
        <v xml:space="preserve"> </v>
      </c>
      <c r="B140" s="4"/>
      <c r="C140" s="5"/>
      <c r="D140" s="34"/>
      <c r="E140" s="34"/>
      <c r="F140" s="6"/>
      <c r="G140" s="6"/>
      <c r="H140" s="7"/>
      <c r="I140" s="7"/>
      <c r="J140" s="2"/>
      <c r="K140" s="2"/>
      <c r="L140" s="2"/>
      <c r="M140" s="8"/>
      <c r="N140" s="163" t="str">
        <f t="shared" si="9"/>
        <v/>
      </c>
      <c r="O140" s="126" t="str">
        <f t="shared" si="8"/>
        <v>-</v>
      </c>
      <c r="P140" s="164"/>
      <c r="Q140" s="164"/>
      <c r="R140" s="164"/>
      <c r="S140" s="164"/>
      <c r="T140" s="164"/>
      <c r="U140" s="164"/>
      <c r="V140" s="164"/>
    </row>
    <row r="141" spans="1:25" ht="27" customHeight="1">
      <c r="A141" s="38" t="str">
        <f>IF(ISBLANK(C141)," ",136-COUNTBLANK($C$6:C141))</f>
        <v xml:space="preserve"> </v>
      </c>
      <c r="B141" s="4"/>
      <c r="C141" s="5"/>
      <c r="D141" s="34"/>
      <c r="E141" s="34"/>
      <c r="F141" s="6"/>
      <c r="G141" s="6"/>
      <c r="H141" s="7"/>
      <c r="I141" s="7"/>
      <c r="J141" s="2"/>
      <c r="K141" s="2"/>
      <c r="L141" s="2"/>
      <c r="M141" s="8"/>
      <c r="N141" s="163" t="str">
        <f t="shared" si="9"/>
        <v/>
      </c>
      <c r="O141" s="126" t="str">
        <f t="shared" si="8"/>
        <v>-</v>
      </c>
      <c r="P141" s="164"/>
      <c r="Q141" s="164"/>
      <c r="R141" s="164"/>
      <c r="S141" s="164"/>
      <c r="T141" s="164"/>
      <c r="U141" s="164"/>
      <c r="V141" s="164"/>
    </row>
    <row r="142" spans="1:25" ht="27" customHeight="1">
      <c r="A142" s="38" t="str">
        <f>IF(ISBLANK(C142)," ",137-COUNTBLANK($C$6:C142))</f>
        <v xml:space="preserve"> </v>
      </c>
      <c r="B142" s="4"/>
      <c r="C142" s="5"/>
      <c r="D142" s="34"/>
      <c r="E142" s="34"/>
      <c r="F142" s="6"/>
      <c r="G142" s="6"/>
      <c r="H142" s="7"/>
      <c r="I142" s="7"/>
      <c r="J142" s="2"/>
      <c r="K142" s="2"/>
      <c r="L142" s="2"/>
      <c r="M142" s="8"/>
      <c r="N142" s="163" t="str">
        <f t="shared" si="9"/>
        <v/>
      </c>
      <c r="O142" s="126" t="str">
        <f t="shared" si="8"/>
        <v>-</v>
      </c>
      <c r="P142" s="164"/>
      <c r="Q142" s="164"/>
      <c r="R142" s="164"/>
      <c r="S142" s="164"/>
      <c r="T142" s="164"/>
      <c r="U142" s="164"/>
      <c r="V142" s="164"/>
    </row>
    <row r="143" spans="1:25" ht="27" customHeight="1">
      <c r="A143" s="38" t="str">
        <f>IF(ISBLANK(C143)," ",138-COUNTBLANK($C$6:C143))</f>
        <v xml:space="preserve"> </v>
      </c>
      <c r="B143" s="4"/>
      <c r="C143" s="5"/>
      <c r="D143" s="34"/>
      <c r="E143" s="34"/>
      <c r="F143" s="6"/>
      <c r="G143" s="6"/>
      <c r="H143" s="7"/>
      <c r="I143" s="7"/>
      <c r="J143" s="2"/>
      <c r="K143" s="2"/>
      <c r="L143" s="2"/>
      <c r="M143" s="8"/>
      <c r="N143" s="163" t="str">
        <f t="shared" si="9"/>
        <v/>
      </c>
      <c r="O143" s="126" t="str">
        <f t="shared" si="8"/>
        <v>-</v>
      </c>
      <c r="P143" s="164"/>
      <c r="Q143" s="164"/>
      <c r="R143" s="164"/>
      <c r="S143" s="164"/>
      <c r="T143" s="164"/>
      <c r="U143" s="164"/>
      <c r="V143" s="164"/>
    </row>
    <row r="144" spans="1:25" ht="27" customHeight="1">
      <c r="A144" s="38" t="str">
        <f>IF(ISBLANK(C144)," ",139-COUNTBLANK($C$6:C144))</f>
        <v xml:space="preserve"> </v>
      </c>
      <c r="B144" s="4"/>
      <c r="C144" s="5"/>
      <c r="D144" s="34"/>
      <c r="E144" s="34"/>
      <c r="F144" s="6"/>
      <c r="G144" s="6"/>
      <c r="H144" s="7"/>
      <c r="I144" s="7"/>
      <c r="J144" s="2"/>
      <c r="K144" s="2"/>
      <c r="L144" s="2"/>
      <c r="M144" s="8"/>
      <c r="N144" s="163" t="str">
        <f t="shared" si="9"/>
        <v/>
      </c>
      <c r="O144" s="126" t="str">
        <f t="shared" si="8"/>
        <v>-</v>
      </c>
      <c r="P144" s="164"/>
      <c r="Q144" s="164"/>
      <c r="R144" s="164"/>
      <c r="S144" s="164"/>
      <c r="T144" s="164"/>
      <c r="U144" s="164"/>
      <c r="V144" s="164"/>
    </row>
    <row r="145" spans="1:25" ht="27" customHeight="1">
      <c r="A145" s="38" t="str">
        <f>IF(ISBLANK(C145)," ",140-COUNTBLANK($C$6:C145))</f>
        <v xml:space="preserve"> </v>
      </c>
      <c r="B145" s="4"/>
      <c r="C145" s="5"/>
      <c r="D145" s="34"/>
      <c r="E145" s="34"/>
      <c r="F145" s="6"/>
      <c r="G145" s="6"/>
      <c r="H145" s="7"/>
      <c r="I145" s="7"/>
      <c r="J145" s="2"/>
      <c r="K145" s="2"/>
      <c r="L145" s="2"/>
      <c r="M145" s="8"/>
      <c r="N145" s="163" t="str">
        <f t="shared" si="9"/>
        <v/>
      </c>
      <c r="O145" s="126" t="str">
        <f t="shared" si="8"/>
        <v>-</v>
      </c>
      <c r="P145" s="164"/>
      <c r="Q145" s="164"/>
      <c r="R145" s="164"/>
      <c r="S145" s="164"/>
      <c r="T145" s="164"/>
      <c r="U145" s="164"/>
      <c r="V145" s="164"/>
    </row>
    <row r="146" spans="1:25" ht="27" customHeight="1">
      <c r="A146" s="38" t="str">
        <f>IF(ISBLANK(C146)," ",141-COUNTBLANK($C$6:C146))</f>
        <v xml:space="preserve"> </v>
      </c>
      <c r="B146" s="4"/>
      <c r="C146" s="5"/>
      <c r="D146" s="34"/>
      <c r="E146" s="34"/>
      <c r="F146" s="6"/>
      <c r="G146" s="6"/>
      <c r="H146" s="7"/>
      <c r="I146" s="7"/>
      <c r="J146" s="2"/>
      <c r="K146" s="2"/>
      <c r="L146" s="2"/>
      <c r="M146" s="8"/>
      <c r="N146" s="163" t="str">
        <f t="shared" si="9"/>
        <v/>
      </c>
      <c r="O146" s="126" t="str">
        <f t="shared" si="8"/>
        <v>-</v>
      </c>
      <c r="P146" s="164"/>
      <c r="Q146" s="164"/>
      <c r="R146" s="164"/>
      <c r="S146" s="164"/>
      <c r="T146" s="164"/>
      <c r="U146" s="164"/>
      <c r="V146" s="164"/>
    </row>
    <row r="147" spans="1:25" ht="27" customHeight="1">
      <c r="A147" s="38" t="str">
        <f>IF(ISBLANK(C147)," ",142-COUNTBLANK($C$6:C147))</f>
        <v xml:space="preserve"> </v>
      </c>
      <c r="B147" s="4"/>
      <c r="C147" s="5"/>
      <c r="D147" s="34"/>
      <c r="E147" s="34"/>
      <c r="F147" s="6"/>
      <c r="G147" s="6"/>
      <c r="H147" s="7"/>
      <c r="I147" s="7"/>
      <c r="J147" s="2"/>
      <c r="K147" s="2"/>
      <c r="L147" s="2"/>
      <c r="M147" s="8"/>
      <c r="N147" s="163" t="str">
        <f t="shared" si="9"/>
        <v/>
      </c>
      <c r="O147" s="126" t="str">
        <f t="shared" si="8"/>
        <v>-</v>
      </c>
      <c r="P147" s="164"/>
      <c r="Q147" s="164"/>
      <c r="R147" s="164"/>
      <c r="S147" s="164"/>
      <c r="T147" s="164"/>
      <c r="U147" s="164"/>
      <c r="V147" s="165"/>
    </row>
    <row r="148" spans="1:25" ht="27" customHeight="1">
      <c r="A148" s="38" t="str">
        <f>IF(ISBLANK(C148)," ",143-COUNTBLANK($C$6:C148))</f>
        <v xml:space="preserve"> </v>
      </c>
      <c r="B148" s="4"/>
      <c r="C148" s="5"/>
      <c r="D148" s="34"/>
      <c r="E148" s="34"/>
      <c r="F148" s="6"/>
      <c r="G148" s="6"/>
      <c r="H148" s="7"/>
      <c r="I148" s="7"/>
      <c r="J148" s="2"/>
      <c r="K148" s="2"/>
      <c r="L148" s="2"/>
      <c r="M148" s="8"/>
      <c r="N148" s="163" t="str">
        <f t="shared" si="9"/>
        <v/>
      </c>
      <c r="O148" s="126" t="str">
        <f t="shared" si="8"/>
        <v>-</v>
      </c>
      <c r="P148" s="164"/>
      <c r="Q148" s="164"/>
      <c r="R148" s="164"/>
      <c r="S148" s="164"/>
      <c r="T148" s="164"/>
      <c r="U148" s="164"/>
      <c r="V148" s="165"/>
    </row>
    <row r="149" spans="1:25" ht="27" customHeight="1">
      <c r="A149" s="38" t="str">
        <f>IF(ISBLANK(C149)," ",144-COUNTBLANK($C$6:C149))</f>
        <v xml:space="preserve"> </v>
      </c>
      <c r="B149" s="4"/>
      <c r="C149" s="5"/>
      <c r="D149" s="34"/>
      <c r="E149" s="34"/>
      <c r="F149" s="6"/>
      <c r="G149" s="6"/>
      <c r="H149" s="7"/>
      <c r="I149" s="7"/>
      <c r="J149" s="2"/>
      <c r="K149" s="2"/>
      <c r="L149" s="2"/>
      <c r="M149" s="8"/>
      <c r="N149" s="163" t="str">
        <f t="shared" si="9"/>
        <v/>
      </c>
      <c r="O149" s="126" t="str">
        <f t="shared" si="8"/>
        <v>-</v>
      </c>
      <c r="P149" s="164"/>
      <c r="Q149" s="164"/>
      <c r="R149" s="164"/>
      <c r="S149" s="164"/>
      <c r="T149" s="164"/>
      <c r="U149" s="164"/>
      <c r="V149" s="165"/>
    </row>
    <row r="150" spans="1:25" ht="27" customHeight="1">
      <c r="A150" s="38" t="str">
        <f>IF(ISBLANK(C150)," ",145-COUNTBLANK($C$6:C150))</f>
        <v xml:space="preserve"> </v>
      </c>
      <c r="B150" s="4"/>
      <c r="C150" s="5"/>
      <c r="D150" s="34"/>
      <c r="E150" s="34"/>
      <c r="F150" s="6"/>
      <c r="G150" s="6"/>
      <c r="H150" s="7"/>
      <c r="I150" s="7"/>
      <c r="J150" s="2"/>
      <c r="K150" s="2"/>
      <c r="L150" s="2"/>
      <c r="M150" s="8"/>
      <c r="N150" s="163" t="str">
        <f t="shared" si="9"/>
        <v/>
      </c>
      <c r="O150" s="126" t="str">
        <f t="shared" si="8"/>
        <v>-</v>
      </c>
      <c r="P150" s="164"/>
      <c r="Q150" s="164"/>
      <c r="R150" s="164"/>
      <c r="S150" s="164"/>
      <c r="T150" s="164"/>
      <c r="U150" s="164"/>
      <c r="V150" s="165"/>
    </row>
    <row r="151" spans="1:25" ht="27" customHeight="1">
      <c r="A151" s="39" t="str">
        <f>IF(ISBLANK(C151)," ",146-COUNTBLANK($C$6:C151))</f>
        <v xml:space="preserve"> </v>
      </c>
      <c r="B151" s="14"/>
      <c r="C151" s="15"/>
      <c r="D151" s="35"/>
      <c r="E151" s="35"/>
      <c r="F151" s="16"/>
      <c r="G151" s="16"/>
      <c r="H151" s="17"/>
      <c r="I151" s="17"/>
      <c r="J151" s="3"/>
      <c r="K151" s="3"/>
      <c r="L151" s="3"/>
      <c r="M151" s="18"/>
      <c r="N151" s="163" t="str">
        <f t="shared" si="9"/>
        <v/>
      </c>
      <c r="O151" s="126" t="str">
        <f t="shared" si="8"/>
        <v>-</v>
      </c>
      <c r="P151" s="164"/>
      <c r="Q151" s="164"/>
      <c r="R151" s="164"/>
      <c r="S151" s="164"/>
      <c r="T151" s="164"/>
      <c r="U151" s="164"/>
      <c r="V151" s="166"/>
      <c r="W151" s="164"/>
      <c r="X151" s="164"/>
      <c r="Y151" s="164"/>
    </row>
    <row r="152" spans="1:25" ht="27" customHeight="1">
      <c r="A152" s="172" t="s">
        <v>44</v>
      </c>
      <c r="B152" s="173"/>
      <c r="C152" s="174"/>
      <c r="D152" s="175"/>
      <c r="E152" s="175">
        <f>SUM(E132:E151)</f>
        <v>0</v>
      </c>
      <c r="F152" s="176"/>
      <c r="G152" s="176"/>
      <c r="H152" s="176"/>
      <c r="I152" s="176"/>
      <c r="J152" s="176"/>
      <c r="K152" s="176"/>
      <c r="L152" s="176"/>
      <c r="M152" s="177"/>
      <c r="N152" s="163" t="str">
        <f t="shared" si="9"/>
        <v/>
      </c>
      <c r="O152" s="126"/>
      <c r="P152" s="164"/>
      <c r="Q152" s="164"/>
      <c r="R152" s="164"/>
      <c r="S152" s="164"/>
      <c r="T152" s="164"/>
      <c r="U152" s="164"/>
      <c r="V152" s="166"/>
      <c r="W152" s="164"/>
      <c r="X152" s="164"/>
      <c r="Y152" s="164"/>
    </row>
    <row r="153" spans="1:25" ht="27" customHeight="1">
      <c r="A153" s="37" t="str">
        <f>IF(ISBLANK(C153)," ",148-COUNTBLANK($C$6:C153))</f>
        <v xml:space="preserve"> </v>
      </c>
      <c r="B153" s="9"/>
      <c r="C153" s="10"/>
      <c r="D153" s="33"/>
      <c r="E153" s="33"/>
      <c r="F153" s="11"/>
      <c r="G153" s="11"/>
      <c r="H153" s="12"/>
      <c r="I153" s="12"/>
      <c r="J153" s="32"/>
      <c r="K153" s="32"/>
      <c r="L153" s="32"/>
      <c r="M153" s="13"/>
      <c r="N153" s="163" t="str">
        <f t="shared" si="9"/>
        <v/>
      </c>
      <c r="O153" s="126" t="str">
        <f>IF(D153&gt;=E153,"-","ERR")</f>
        <v>-</v>
      </c>
      <c r="P153" s="164"/>
      <c r="Q153" s="164"/>
      <c r="R153" s="164"/>
      <c r="S153" s="164"/>
      <c r="T153" s="164"/>
      <c r="U153" s="164"/>
      <c r="V153" s="164"/>
    </row>
    <row r="154" spans="1:25" ht="27" customHeight="1">
      <c r="A154" s="38" t="str">
        <f>IF(ISBLANK(C154)," ",149-COUNTBLANK($C$6:C154))</f>
        <v xml:space="preserve"> </v>
      </c>
      <c r="B154" s="4"/>
      <c r="C154" s="5"/>
      <c r="D154" s="34"/>
      <c r="E154" s="34"/>
      <c r="F154" s="6"/>
      <c r="G154" s="6"/>
      <c r="H154" s="7"/>
      <c r="I154" s="7"/>
      <c r="J154" s="2"/>
      <c r="K154" s="2"/>
      <c r="L154" s="2"/>
      <c r="M154" s="8"/>
      <c r="N154" s="163" t="str">
        <f t="shared" si="9"/>
        <v/>
      </c>
      <c r="O154" s="126" t="str">
        <f t="shared" ref="O154:O172" si="10">IF(D154&gt;=E154,"-","ERR")</f>
        <v>-</v>
      </c>
      <c r="P154" s="164"/>
      <c r="Q154" s="164"/>
      <c r="R154" s="164"/>
      <c r="S154" s="164"/>
      <c r="T154" s="164"/>
      <c r="U154" s="164"/>
      <c r="V154" s="164"/>
    </row>
    <row r="155" spans="1:25" ht="27" customHeight="1">
      <c r="A155" s="38" t="str">
        <f>IF(ISBLANK(C155)," ",150-COUNTBLANK($C$6:C155))</f>
        <v xml:space="preserve"> </v>
      </c>
      <c r="B155" s="4"/>
      <c r="C155" s="5"/>
      <c r="D155" s="34"/>
      <c r="E155" s="34"/>
      <c r="F155" s="6"/>
      <c r="G155" s="6"/>
      <c r="H155" s="7"/>
      <c r="I155" s="7"/>
      <c r="J155" s="2"/>
      <c r="K155" s="2"/>
      <c r="L155" s="2"/>
      <c r="M155" s="8"/>
      <c r="N155" s="163" t="str">
        <f t="shared" si="9"/>
        <v/>
      </c>
      <c r="O155" s="126" t="str">
        <f t="shared" si="10"/>
        <v>-</v>
      </c>
      <c r="P155" s="164"/>
      <c r="Q155" s="164"/>
      <c r="R155" s="164"/>
      <c r="S155" s="164"/>
      <c r="T155" s="164"/>
      <c r="U155" s="164"/>
      <c r="V155" s="164"/>
    </row>
    <row r="156" spans="1:25" ht="27" customHeight="1">
      <c r="A156" s="38" t="str">
        <f>IF(ISBLANK(C156)," ",151-COUNTBLANK($C$6:C156))</f>
        <v xml:space="preserve"> </v>
      </c>
      <c r="B156" s="4"/>
      <c r="C156" s="5"/>
      <c r="D156" s="34"/>
      <c r="E156" s="34"/>
      <c r="F156" s="6"/>
      <c r="G156" s="6"/>
      <c r="H156" s="7"/>
      <c r="I156" s="7"/>
      <c r="J156" s="2"/>
      <c r="K156" s="2"/>
      <c r="L156" s="2"/>
      <c r="M156" s="8"/>
      <c r="N156" s="163" t="str">
        <f t="shared" si="9"/>
        <v/>
      </c>
      <c r="O156" s="126" t="str">
        <f t="shared" si="10"/>
        <v>-</v>
      </c>
      <c r="P156" s="164"/>
      <c r="Q156" s="164"/>
      <c r="R156" s="164"/>
      <c r="S156" s="164"/>
      <c r="T156" s="164"/>
      <c r="U156" s="164"/>
      <c r="V156" s="164"/>
    </row>
    <row r="157" spans="1:25" ht="27" customHeight="1">
      <c r="A157" s="38" t="str">
        <f>IF(ISBLANK(C157)," ",152-COUNTBLANK($C$6:C157))</f>
        <v xml:space="preserve"> </v>
      </c>
      <c r="B157" s="4"/>
      <c r="C157" s="5"/>
      <c r="D157" s="34"/>
      <c r="E157" s="34"/>
      <c r="F157" s="6"/>
      <c r="G157" s="6"/>
      <c r="H157" s="7"/>
      <c r="I157" s="7"/>
      <c r="J157" s="2"/>
      <c r="K157" s="2"/>
      <c r="L157" s="2"/>
      <c r="M157" s="8"/>
      <c r="N157" s="163" t="str">
        <f t="shared" si="9"/>
        <v/>
      </c>
      <c r="O157" s="126" t="str">
        <f t="shared" si="10"/>
        <v>-</v>
      </c>
      <c r="P157" s="164"/>
      <c r="Q157" s="164"/>
      <c r="R157" s="164"/>
      <c r="S157" s="164"/>
      <c r="T157" s="164"/>
      <c r="U157" s="164"/>
      <c r="V157" s="164"/>
    </row>
    <row r="158" spans="1:25" ht="27" customHeight="1">
      <c r="A158" s="38" t="str">
        <f>IF(ISBLANK(C158)," ",153-COUNTBLANK($C$6:C158))</f>
        <v xml:space="preserve"> </v>
      </c>
      <c r="B158" s="4"/>
      <c r="C158" s="5"/>
      <c r="D158" s="34"/>
      <c r="E158" s="34"/>
      <c r="F158" s="6"/>
      <c r="G158" s="6"/>
      <c r="H158" s="7"/>
      <c r="I158" s="7"/>
      <c r="J158" s="2"/>
      <c r="K158" s="2"/>
      <c r="L158" s="2"/>
      <c r="M158" s="8"/>
      <c r="N158" s="163" t="str">
        <f t="shared" si="9"/>
        <v/>
      </c>
      <c r="O158" s="126" t="str">
        <f t="shared" si="10"/>
        <v>-</v>
      </c>
      <c r="P158" s="164"/>
      <c r="Q158" s="164"/>
      <c r="R158" s="164"/>
      <c r="S158" s="164"/>
      <c r="T158" s="164"/>
      <c r="U158" s="164"/>
      <c r="V158" s="164"/>
    </row>
    <row r="159" spans="1:25" ht="27" customHeight="1">
      <c r="A159" s="38" t="str">
        <f>IF(ISBLANK(C159)," ",154-COUNTBLANK($C$6:C159))</f>
        <v xml:space="preserve"> </v>
      </c>
      <c r="B159" s="4"/>
      <c r="C159" s="5"/>
      <c r="D159" s="34"/>
      <c r="E159" s="34"/>
      <c r="F159" s="6"/>
      <c r="G159" s="6"/>
      <c r="H159" s="7"/>
      <c r="I159" s="7"/>
      <c r="J159" s="2"/>
      <c r="K159" s="2"/>
      <c r="L159" s="2"/>
      <c r="M159" s="8"/>
      <c r="N159" s="163" t="str">
        <f t="shared" si="9"/>
        <v/>
      </c>
      <c r="O159" s="126" t="str">
        <f t="shared" si="10"/>
        <v>-</v>
      </c>
      <c r="P159" s="164"/>
      <c r="Q159" s="164"/>
      <c r="R159" s="164"/>
      <c r="S159" s="164"/>
      <c r="T159" s="164"/>
      <c r="U159" s="164"/>
      <c r="V159" s="164"/>
    </row>
    <row r="160" spans="1:25" ht="27" customHeight="1">
      <c r="A160" s="38" t="str">
        <f>IF(ISBLANK(C160)," ",155-COUNTBLANK($C$6:C160))</f>
        <v xml:space="preserve"> </v>
      </c>
      <c r="B160" s="4"/>
      <c r="C160" s="5"/>
      <c r="D160" s="34"/>
      <c r="E160" s="34"/>
      <c r="F160" s="6"/>
      <c r="G160" s="6"/>
      <c r="H160" s="7"/>
      <c r="I160" s="7"/>
      <c r="J160" s="2"/>
      <c r="K160" s="2"/>
      <c r="L160" s="2"/>
      <c r="M160" s="8"/>
      <c r="N160" s="163" t="str">
        <f t="shared" si="9"/>
        <v/>
      </c>
      <c r="O160" s="126" t="str">
        <f t="shared" si="10"/>
        <v>-</v>
      </c>
      <c r="P160" s="164"/>
      <c r="Q160" s="164"/>
      <c r="R160" s="164"/>
      <c r="S160" s="164"/>
      <c r="T160" s="164"/>
      <c r="U160" s="164"/>
      <c r="V160" s="164"/>
    </row>
    <row r="161" spans="1:25" ht="27" customHeight="1">
      <c r="A161" s="38" t="str">
        <f>IF(ISBLANK(C161)," ",156-COUNTBLANK($C$6:C161))</f>
        <v xml:space="preserve"> </v>
      </c>
      <c r="B161" s="4"/>
      <c r="C161" s="5"/>
      <c r="D161" s="34"/>
      <c r="E161" s="34"/>
      <c r="F161" s="6"/>
      <c r="G161" s="6"/>
      <c r="H161" s="7"/>
      <c r="I161" s="7"/>
      <c r="J161" s="2"/>
      <c r="K161" s="2"/>
      <c r="L161" s="2"/>
      <c r="M161" s="8"/>
      <c r="N161" s="163" t="str">
        <f t="shared" si="9"/>
        <v/>
      </c>
      <c r="O161" s="126" t="str">
        <f t="shared" si="10"/>
        <v>-</v>
      </c>
      <c r="P161" s="164"/>
      <c r="Q161" s="164"/>
      <c r="R161" s="164"/>
      <c r="S161" s="164"/>
      <c r="T161" s="164"/>
      <c r="U161" s="164"/>
      <c r="V161" s="164"/>
    </row>
    <row r="162" spans="1:25" ht="27" customHeight="1">
      <c r="A162" s="38" t="str">
        <f>IF(ISBLANK(C162)," ",157-COUNTBLANK($C$6:C162))</f>
        <v xml:space="preserve"> </v>
      </c>
      <c r="B162" s="4"/>
      <c r="C162" s="5"/>
      <c r="D162" s="34"/>
      <c r="E162" s="34"/>
      <c r="F162" s="6"/>
      <c r="G162" s="6"/>
      <c r="H162" s="7"/>
      <c r="I162" s="7"/>
      <c r="J162" s="2"/>
      <c r="K162" s="2"/>
      <c r="L162" s="2"/>
      <c r="M162" s="8"/>
      <c r="N162" s="163" t="str">
        <f t="shared" si="9"/>
        <v/>
      </c>
      <c r="O162" s="126" t="str">
        <f t="shared" si="10"/>
        <v>-</v>
      </c>
      <c r="P162" s="164"/>
      <c r="Q162" s="164"/>
      <c r="R162" s="164"/>
      <c r="S162" s="164"/>
      <c r="T162" s="164"/>
      <c r="U162" s="164"/>
      <c r="V162" s="164"/>
    </row>
    <row r="163" spans="1:25" ht="27" customHeight="1">
      <c r="A163" s="38" t="str">
        <f>IF(ISBLANK(C163)," ",158-COUNTBLANK($C$6:C163))</f>
        <v xml:space="preserve"> </v>
      </c>
      <c r="B163" s="4"/>
      <c r="C163" s="5"/>
      <c r="D163" s="34"/>
      <c r="E163" s="34"/>
      <c r="F163" s="6"/>
      <c r="G163" s="6"/>
      <c r="H163" s="7"/>
      <c r="I163" s="7"/>
      <c r="J163" s="2"/>
      <c r="K163" s="2"/>
      <c r="L163" s="2"/>
      <c r="M163" s="8"/>
      <c r="N163" s="163" t="str">
        <f t="shared" si="9"/>
        <v/>
      </c>
      <c r="O163" s="126" t="str">
        <f t="shared" si="10"/>
        <v>-</v>
      </c>
      <c r="P163" s="164"/>
      <c r="Q163" s="164"/>
      <c r="R163" s="164"/>
      <c r="S163" s="164"/>
      <c r="T163" s="164"/>
      <c r="U163" s="164"/>
      <c r="V163" s="164"/>
    </row>
    <row r="164" spans="1:25" ht="27" customHeight="1">
      <c r="A164" s="38" t="str">
        <f>IF(ISBLANK(C164)," ",159-COUNTBLANK($C$6:C164))</f>
        <v xml:space="preserve"> </v>
      </c>
      <c r="B164" s="4"/>
      <c r="C164" s="5"/>
      <c r="D164" s="34"/>
      <c r="E164" s="34"/>
      <c r="F164" s="6"/>
      <c r="G164" s="6"/>
      <c r="H164" s="7"/>
      <c r="I164" s="7"/>
      <c r="J164" s="2"/>
      <c r="K164" s="2"/>
      <c r="L164" s="2"/>
      <c r="M164" s="8"/>
      <c r="N164" s="163" t="str">
        <f t="shared" si="9"/>
        <v/>
      </c>
      <c r="O164" s="126" t="str">
        <f t="shared" si="10"/>
        <v>-</v>
      </c>
      <c r="P164" s="164"/>
      <c r="Q164" s="164"/>
      <c r="R164" s="164"/>
      <c r="S164" s="164"/>
      <c r="T164" s="164"/>
      <c r="U164" s="164"/>
      <c r="V164" s="164"/>
    </row>
    <row r="165" spans="1:25" ht="27" customHeight="1">
      <c r="A165" s="38" t="str">
        <f>IF(ISBLANK(C165)," ",160-COUNTBLANK($C$6:C165))</f>
        <v xml:space="preserve"> </v>
      </c>
      <c r="B165" s="4"/>
      <c r="C165" s="5"/>
      <c r="D165" s="34"/>
      <c r="E165" s="34"/>
      <c r="F165" s="6"/>
      <c r="G165" s="6"/>
      <c r="H165" s="7"/>
      <c r="I165" s="7"/>
      <c r="J165" s="2"/>
      <c r="K165" s="2"/>
      <c r="L165" s="2"/>
      <c r="M165" s="8"/>
      <c r="N165" s="163" t="str">
        <f t="shared" si="9"/>
        <v/>
      </c>
      <c r="O165" s="126" t="str">
        <f t="shared" si="10"/>
        <v>-</v>
      </c>
      <c r="P165" s="164"/>
      <c r="Q165" s="164"/>
      <c r="R165" s="164"/>
      <c r="S165" s="164"/>
      <c r="T165" s="164"/>
      <c r="U165" s="164"/>
      <c r="V165" s="164"/>
    </row>
    <row r="166" spans="1:25" ht="27" customHeight="1">
      <c r="A166" s="38" t="str">
        <f>IF(ISBLANK(C166)," ",161-COUNTBLANK($C$6:C166))</f>
        <v xml:space="preserve"> </v>
      </c>
      <c r="B166" s="4"/>
      <c r="C166" s="5"/>
      <c r="D166" s="34"/>
      <c r="E166" s="34"/>
      <c r="F166" s="6"/>
      <c r="G166" s="6"/>
      <c r="H166" s="7"/>
      <c r="I166" s="7"/>
      <c r="J166" s="2"/>
      <c r="K166" s="2"/>
      <c r="L166" s="2"/>
      <c r="M166" s="8"/>
      <c r="N166" s="163" t="str">
        <f t="shared" si="9"/>
        <v/>
      </c>
      <c r="O166" s="126" t="str">
        <f t="shared" si="10"/>
        <v>-</v>
      </c>
      <c r="P166" s="164"/>
      <c r="Q166" s="164"/>
      <c r="R166" s="164"/>
      <c r="S166" s="164"/>
      <c r="T166" s="164"/>
      <c r="U166" s="164"/>
      <c r="V166" s="164"/>
    </row>
    <row r="167" spans="1:25" ht="27" customHeight="1">
      <c r="A167" s="38" t="str">
        <f>IF(ISBLANK(C167)," ",162-COUNTBLANK($C$6:C167))</f>
        <v xml:space="preserve"> </v>
      </c>
      <c r="B167" s="4"/>
      <c r="C167" s="5"/>
      <c r="D167" s="34"/>
      <c r="E167" s="34"/>
      <c r="F167" s="6"/>
      <c r="G167" s="6"/>
      <c r="H167" s="7"/>
      <c r="I167" s="7"/>
      <c r="J167" s="2"/>
      <c r="K167" s="2"/>
      <c r="L167" s="2"/>
      <c r="M167" s="8"/>
      <c r="N167" s="163" t="str">
        <f t="shared" si="9"/>
        <v/>
      </c>
      <c r="O167" s="126" t="str">
        <f t="shared" si="10"/>
        <v>-</v>
      </c>
      <c r="P167" s="164"/>
      <c r="Q167" s="164"/>
      <c r="R167" s="164"/>
      <c r="S167" s="164"/>
      <c r="T167" s="164"/>
      <c r="U167" s="164"/>
      <c r="V167" s="164"/>
    </row>
    <row r="168" spans="1:25" ht="27" customHeight="1">
      <c r="A168" s="38" t="str">
        <f>IF(ISBLANK(C168)," ",163-COUNTBLANK($C$6:C168))</f>
        <v xml:space="preserve"> </v>
      </c>
      <c r="B168" s="4"/>
      <c r="C168" s="5"/>
      <c r="D168" s="34"/>
      <c r="E168" s="34"/>
      <c r="F168" s="6"/>
      <c r="G168" s="6"/>
      <c r="H168" s="7"/>
      <c r="I168" s="7"/>
      <c r="J168" s="2"/>
      <c r="K168" s="2"/>
      <c r="L168" s="2"/>
      <c r="M168" s="8"/>
      <c r="N168" s="163" t="str">
        <f t="shared" si="9"/>
        <v/>
      </c>
      <c r="O168" s="126" t="str">
        <f t="shared" si="10"/>
        <v>-</v>
      </c>
      <c r="P168" s="164"/>
      <c r="Q168" s="164"/>
      <c r="R168" s="164"/>
      <c r="S168" s="164"/>
      <c r="T168" s="164"/>
      <c r="U168" s="164"/>
      <c r="V168" s="165"/>
    </row>
    <row r="169" spans="1:25" ht="27" customHeight="1">
      <c r="A169" s="38" t="str">
        <f>IF(ISBLANK(C169)," ",164-COUNTBLANK($C$6:C169))</f>
        <v xml:space="preserve"> </v>
      </c>
      <c r="B169" s="4"/>
      <c r="C169" s="5"/>
      <c r="D169" s="34"/>
      <c r="E169" s="34"/>
      <c r="F169" s="6"/>
      <c r="G169" s="6"/>
      <c r="H169" s="7"/>
      <c r="I169" s="7"/>
      <c r="J169" s="2"/>
      <c r="K169" s="2"/>
      <c r="L169" s="2"/>
      <c r="M169" s="8"/>
      <c r="N169" s="163" t="str">
        <f t="shared" si="9"/>
        <v/>
      </c>
      <c r="O169" s="126" t="str">
        <f t="shared" si="10"/>
        <v>-</v>
      </c>
      <c r="P169" s="164"/>
      <c r="Q169" s="164"/>
      <c r="R169" s="164"/>
      <c r="S169" s="164"/>
      <c r="T169" s="164"/>
      <c r="U169" s="164"/>
      <c r="V169" s="165"/>
    </row>
    <row r="170" spans="1:25" ht="27" customHeight="1">
      <c r="A170" s="38" t="str">
        <f>IF(ISBLANK(C170)," ",165-COUNTBLANK($C$6:C170))</f>
        <v xml:space="preserve"> </v>
      </c>
      <c r="B170" s="4"/>
      <c r="C170" s="5"/>
      <c r="D170" s="34"/>
      <c r="E170" s="34"/>
      <c r="F170" s="6"/>
      <c r="G170" s="6"/>
      <c r="H170" s="7"/>
      <c r="I170" s="7"/>
      <c r="J170" s="2"/>
      <c r="K170" s="2"/>
      <c r="L170" s="2"/>
      <c r="M170" s="8"/>
      <c r="N170" s="163" t="str">
        <f t="shared" si="9"/>
        <v/>
      </c>
      <c r="O170" s="126" t="str">
        <f t="shared" si="10"/>
        <v>-</v>
      </c>
      <c r="P170" s="164"/>
      <c r="Q170" s="164"/>
      <c r="R170" s="164"/>
      <c r="S170" s="164"/>
      <c r="T170" s="164"/>
      <c r="U170" s="164"/>
      <c r="V170" s="165"/>
    </row>
    <row r="171" spans="1:25" ht="27" customHeight="1">
      <c r="A171" s="38" t="str">
        <f>IF(ISBLANK(C171)," ",166-COUNTBLANK($C$6:C171))</f>
        <v xml:space="preserve"> </v>
      </c>
      <c r="B171" s="4"/>
      <c r="C171" s="5"/>
      <c r="D171" s="34"/>
      <c r="E171" s="34"/>
      <c r="F171" s="6"/>
      <c r="G171" s="6"/>
      <c r="H171" s="7"/>
      <c r="I171" s="7"/>
      <c r="J171" s="2"/>
      <c r="K171" s="2"/>
      <c r="L171" s="2"/>
      <c r="M171" s="8"/>
      <c r="N171" s="163" t="str">
        <f t="shared" si="9"/>
        <v/>
      </c>
      <c r="O171" s="126" t="str">
        <f t="shared" si="10"/>
        <v>-</v>
      </c>
      <c r="P171" s="164"/>
      <c r="Q171" s="164"/>
      <c r="R171" s="164"/>
      <c r="S171" s="164"/>
      <c r="T171" s="164"/>
      <c r="U171" s="164"/>
      <c r="V171" s="165"/>
    </row>
    <row r="172" spans="1:25" ht="27" customHeight="1">
      <c r="A172" s="39" t="str">
        <f>IF(ISBLANK(C172)," ",167-COUNTBLANK($C$6:C172))</f>
        <v xml:space="preserve"> </v>
      </c>
      <c r="B172" s="14"/>
      <c r="C172" s="15"/>
      <c r="D172" s="35"/>
      <c r="E172" s="35"/>
      <c r="F172" s="16"/>
      <c r="G172" s="16"/>
      <c r="H172" s="17"/>
      <c r="I172" s="17"/>
      <c r="J172" s="3"/>
      <c r="K172" s="3"/>
      <c r="L172" s="3"/>
      <c r="M172" s="18"/>
      <c r="N172" s="163" t="str">
        <f t="shared" si="9"/>
        <v/>
      </c>
      <c r="O172" s="126" t="str">
        <f t="shared" si="10"/>
        <v>-</v>
      </c>
      <c r="P172" s="164"/>
      <c r="Q172" s="164"/>
      <c r="R172" s="164"/>
      <c r="S172" s="164"/>
      <c r="T172" s="164"/>
      <c r="U172" s="164"/>
      <c r="V172" s="166"/>
      <c r="W172" s="164"/>
      <c r="X172" s="164"/>
      <c r="Y172" s="164"/>
    </row>
    <row r="173" spans="1:25" ht="27" customHeight="1">
      <c r="A173" s="172" t="s">
        <v>44</v>
      </c>
      <c r="B173" s="173"/>
      <c r="C173" s="174"/>
      <c r="D173" s="175"/>
      <c r="E173" s="175">
        <f>SUM(E153:E172)</f>
        <v>0</v>
      </c>
      <c r="F173" s="176"/>
      <c r="G173" s="176"/>
      <c r="H173" s="176"/>
      <c r="I173" s="176"/>
      <c r="J173" s="176"/>
      <c r="K173" s="176"/>
      <c r="L173" s="176"/>
      <c r="M173" s="177"/>
      <c r="N173" s="163" t="str">
        <f t="shared" si="9"/>
        <v/>
      </c>
      <c r="O173" s="126"/>
      <c r="P173" s="164"/>
      <c r="Q173" s="164"/>
      <c r="R173" s="164"/>
      <c r="S173" s="164"/>
      <c r="T173" s="164"/>
      <c r="U173" s="164"/>
      <c r="V173" s="166"/>
      <c r="W173" s="164"/>
      <c r="X173" s="164"/>
      <c r="Y173" s="164"/>
    </row>
    <row r="174" spans="1:25" ht="27" customHeight="1">
      <c r="A174" s="37" t="str">
        <f>IF(ISBLANK(C174)," ",169-COUNTBLANK($C$6:C174))</f>
        <v xml:space="preserve"> </v>
      </c>
      <c r="B174" s="9"/>
      <c r="C174" s="10"/>
      <c r="D174" s="33"/>
      <c r="E174" s="33"/>
      <c r="F174" s="11"/>
      <c r="G174" s="11"/>
      <c r="H174" s="12"/>
      <c r="I174" s="12"/>
      <c r="J174" s="32"/>
      <c r="K174" s="32"/>
      <c r="L174" s="32"/>
      <c r="M174" s="13"/>
      <c r="N174" s="163" t="str">
        <f t="shared" si="9"/>
        <v/>
      </c>
      <c r="O174" s="126" t="str">
        <f>IF(D174&gt;=E174,"-","ERR")</f>
        <v>-</v>
      </c>
      <c r="P174" s="164"/>
      <c r="Q174" s="164"/>
      <c r="R174" s="164"/>
      <c r="S174" s="164"/>
      <c r="T174" s="164"/>
      <c r="U174" s="164"/>
      <c r="V174" s="164"/>
    </row>
    <row r="175" spans="1:25" ht="27" customHeight="1">
      <c r="A175" s="38" t="str">
        <f>IF(ISBLANK(C175)," ",170-COUNTBLANK($C$6:C175))</f>
        <v xml:space="preserve"> </v>
      </c>
      <c r="B175" s="4"/>
      <c r="C175" s="5"/>
      <c r="D175" s="34"/>
      <c r="E175" s="34"/>
      <c r="F175" s="6"/>
      <c r="G175" s="6"/>
      <c r="H175" s="7"/>
      <c r="I175" s="7"/>
      <c r="J175" s="2"/>
      <c r="K175" s="2"/>
      <c r="L175" s="2"/>
      <c r="M175" s="8"/>
      <c r="N175" s="163" t="str">
        <f t="shared" si="9"/>
        <v/>
      </c>
      <c r="O175" s="126" t="str">
        <f t="shared" ref="O175:O193" si="11">IF(D175&gt;=E175,"-","ERR")</f>
        <v>-</v>
      </c>
      <c r="P175" s="164"/>
      <c r="Q175" s="164"/>
      <c r="R175" s="164"/>
      <c r="S175" s="164"/>
      <c r="T175" s="164"/>
      <c r="U175" s="164"/>
      <c r="V175" s="164"/>
    </row>
    <row r="176" spans="1:25" ht="27" customHeight="1">
      <c r="A176" s="38" t="str">
        <f>IF(ISBLANK(C176)," ",171-COUNTBLANK($C$6:C176))</f>
        <v xml:space="preserve"> </v>
      </c>
      <c r="B176" s="4"/>
      <c r="C176" s="5"/>
      <c r="D176" s="34"/>
      <c r="E176" s="34"/>
      <c r="F176" s="6"/>
      <c r="G176" s="6"/>
      <c r="H176" s="7"/>
      <c r="I176" s="7"/>
      <c r="J176" s="2"/>
      <c r="K176" s="2"/>
      <c r="L176" s="2"/>
      <c r="M176" s="8"/>
      <c r="N176" s="163" t="str">
        <f t="shared" si="9"/>
        <v/>
      </c>
      <c r="O176" s="126" t="str">
        <f t="shared" si="11"/>
        <v>-</v>
      </c>
      <c r="P176" s="164"/>
      <c r="Q176" s="164"/>
      <c r="R176" s="164"/>
      <c r="S176" s="164"/>
      <c r="T176" s="164"/>
      <c r="U176" s="164"/>
      <c r="V176" s="164"/>
    </row>
    <row r="177" spans="1:22" ht="27" customHeight="1">
      <c r="A177" s="38" t="str">
        <f>IF(ISBLANK(C177)," ",172-COUNTBLANK($C$6:C177))</f>
        <v xml:space="preserve"> </v>
      </c>
      <c r="B177" s="4"/>
      <c r="C177" s="5"/>
      <c r="D177" s="34"/>
      <c r="E177" s="34"/>
      <c r="F177" s="6"/>
      <c r="G177" s="6"/>
      <c r="H177" s="7"/>
      <c r="I177" s="7"/>
      <c r="J177" s="2"/>
      <c r="K177" s="2"/>
      <c r="L177" s="2"/>
      <c r="M177" s="8"/>
      <c r="N177" s="163" t="str">
        <f t="shared" si="9"/>
        <v/>
      </c>
      <c r="O177" s="126" t="str">
        <f t="shared" si="11"/>
        <v>-</v>
      </c>
      <c r="P177" s="164"/>
      <c r="Q177" s="164"/>
      <c r="R177" s="164"/>
      <c r="S177" s="164"/>
      <c r="T177" s="164"/>
      <c r="U177" s="164"/>
      <c r="V177" s="164"/>
    </row>
    <row r="178" spans="1:22" ht="27" customHeight="1">
      <c r="A178" s="38" t="str">
        <f>IF(ISBLANK(C178)," ",173-COUNTBLANK($C$6:C178))</f>
        <v xml:space="preserve"> </v>
      </c>
      <c r="B178" s="4"/>
      <c r="C178" s="5"/>
      <c r="D178" s="34"/>
      <c r="E178" s="34"/>
      <c r="F178" s="6"/>
      <c r="G178" s="6"/>
      <c r="H178" s="7"/>
      <c r="I178" s="7"/>
      <c r="J178" s="2"/>
      <c r="K178" s="2"/>
      <c r="L178" s="2"/>
      <c r="M178" s="8"/>
      <c r="N178" s="163" t="str">
        <f t="shared" si="9"/>
        <v/>
      </c>
      <c r="O178" s="126" t="str">
        <f t="shared" si="11"/>
        <v>-</v>
      </c>
      <c r="P178" s="164"/>
      <c r="Q178" s="164"/>
      <c r="R178" s="164"/>
      <c r="S178" s="164"/>
      <c r="T178" s="164"/>
      <c r="U178" s="164"/>
      <c r="V178" s="164"/>
    </row>
    <row r="179" spans="1:22" ht="27" customHeight="1">
      <c r="A179" s="38" t="str">
        <f>IF(ISBLANK(C179)," ",174-COUNTBLANK($C$6:C179))</f>
        <v xml:space="preserve"> </v>
      </c>
      <c r="B179" s="4"/>
      <c r="C179" s="5"/>
      <c r="D179" s="34"/>
      <c r="E179" s="34"/>
      <c r="F179" s="6"/>
      <c r="G179" s="6"/>
      <c r="H179" s="7"/>
      <c r="I179" s="7"/>
      <c r="J179" s="2"/>
      <c r="K179" s="2"/>
      <c r="L179" s="2"/>
      <c r="M179" s="8"/>
      <c r="N179" s="163" t="str">
        <f t="shared" si="9"/>
        <v/>
      </c>
      <c r="O179" s="126" t="str">
        <f t="shared" si="11"/>
        <v>-</v>
      </c>
      <c r="P179" s="164"/>
      <c r="Q179" s="164"/>
      <c r="R179" s="164"/>
      <c r="S179" s="164"/>
      <c r="T179" s="164"/>
      <c r="U179" s="164"/>
      <c r="V179" s="164"/>
    </row>
    <row r="180" spans="1:22" ht="27" customHeight="1">
      <c r="A180" s="38" t="str">
        <f>IF(ISBLANK(C180)," ",175-COUNTBLANK($C$6:C180))</f>
        <v xml:space="preserve"> </v>
      </c>
      <c r="B180" s="4"/>
      <c r="C180" s="5"/>
      <c r="D180" s="34"/>
      <c r="E180" s="34"/>
      <c r="F180" s="6"/>
      <c r="G180" s="6"/>
      <c r="H180" s="7"/>
      <c r="I180" s="7"/>
      <c r="J180" s="2"/>
      <c r="K180" s="2"/>
      <c r="L180" s="2"/>
      <c r="M180" s="8"/>
      <c r="N180" s="163" t="str">
        <f t="shared" si="9"/>
        <v/>
      </c>
      <c r="O180" s="126" t="str">
        <f t="shared" si="11"/>
        <v>-</v>
      </c>
      <c r="P180" s="164"/>
      <c r="Q180" s="164"/>
      <c r="R180" s="164"/>
      <c r="S180" s="164"/>
      <c r="T180" s="164"/>
      <c r="U180" s="164"/>
      <c r="V180" s="164"/>
    </row>
    <row r="181" spans="1:22" ht="27" customHeight="1">
      <c r="A181" s="38" t="str">
        <f>IF(ISBLANK(C181)," ",176-COUNTBLANK($C$6:C181))</f>
        <v xml:space="preserve"> </v>
      </c>
      <c r="B181" s="4"/>
      <c r="C181" s="5"/>
      <c r="D181" s="34"/>
      <c r="E181" s="34"/>
      <c r="F181" s="6"/>
      <c r="G181" s="6"/>
      <c r="H181" s="7"/>
      <c r="I181" s="7"/>
      <c r="J181" s="2"/>
      <c r="K181" s="2"/>
      <c r="L181" s="2"/>
      <c r="M181" s="8"/>
      <c r="N181" s="163" t="str">
        <f t="shared" si="9"/>
        <v/>
      </c>
      <c r="O181" s="126" t="str">
        <f t="shared" si="11"/>
        <v>-</v>
      </c>
      <c r="P181" s="164"/>
      <c r="Q181" s="164"/>
      <c r="R181" s="164"/>
      <c r="S181" s="164"/>
      <c r="T181" s="164"/>
      <c r="U181" s="164"/>
      <c r="V181" s="164"/>
    </row>
    <row r="182" spans="1:22" ht="27" customHeight="1">
      <c r="A182" s="38" t="str">
        <f>IF(ISBLANK(C182)," ",177-COUNTBLANK($C$6:C182))</f>
        <v xml:space="preserve"> </v>
      </c>
      <c r="B182" s="4"/>
      <c r="C182" s="5"/>
      <c r="D182" s="34"/>
      <c r="E182" s="34"/>
      <c r="F182" s="6"/>
      <c r="G182" s="6"/>
      <c r="H182" s="7"/>
      <c r="I182" s="7"/>
      <c r="J182" s="2"/>
      <c r="K182" s="2"/>
      <c r="L182" s="2"/>
      <c r="M182" s="8"/>
      <c r="N182" s="163" t="str">
        <f t="shared" si="9"/>
        <v/>
      </c>
      <c r="O182" s="126" t="str">
        <f t="shared" si="11"/>
        <v>-</v>
      </c>
      <c r="P182" s="164"/>
      <c r="Q182" s="164"/>
      <c r="R182" s="164"/>
      <c r="S182" s="164"/>
      <c r="T182" s="164"/>
      <c r="U182" s="164"/>
      <c r="V182" s="164"/>
    </row>
    <row r="183" spans="1:22" ht="27" customHeight="1">
      <c r="A183" s="38" t="str">
        <f>IF(ISBLANK(C183)," ",178-COUNTBLANK($C$6:C183))</f>
        <v xml:space="preserve"> </v>
      </c>
      <c r="B183" s="4"/>
      <c r="C183" s="5"/>
      <c r="D183" s="34"/>
      <c r="E183" s="34"/>
      <c r="F183" s="6"/>
      <c r="G183" s="6"/>
      <c r="H183" s="7"/>
      <c r="I183" s="7"/>
      <c r="J183" s="2"/>
      <c r="K183" s="2"/>
      <c r="L183" s="2"/>
      <c r="M183" s="8"/>
      <c r="N183" s="163" t="str">
        <f t="shared" si="9"/>
        <v/>
      </c>
      <c r="O183" s="126" t="str">
        <f t="shared" si="11"/>
        <v>-</v>
      </c>
      <c r="P183" s="164"/>
      <c r="Q183" s="164"/>
      <c r="R183" s="164"/>
      <c r="S183" s="164"/>
      <c r="T183" s="164"/>
      <c r="U183" s="164"/>
      <c r="V183" s="164"/>
    </row>
    <row r="184" spans="1:22" ht="27" customHeight="1">
      <c r="A184" s="38" t="str">
        <f>IF(ISBLANK(C184)," ",179-COUNTBLANK($C$6:C184))</f>
        <v xml:space="preserve"> </v>
      </c>
      <c r="B184" s="4"/>
      <c r="C184" s="5"/>
      <c r="D184" s="34"/>
      <c r="E184" s="34"/>
      <c r="F184" s="6"/>
      <c r="G184" s="6"/>
      <c r="H184" s="7"/>
      <c r="I184" s="7"/>
      <c r="J184" s="2"/>
      <c r="K184" s="2"/>
      <c r="L184" s="2"/>
      <c r="M184" s="8"/>
      <c r="N184" s="163" t="str">
        <f t="shared" si="9"/>
        <v/>
      </c>
      <c r="O184" s="126" t="str">
        <f t="shared" si="11"/>
        <v>-</v>
      </c>
      <c r="P184" s="164"/>
      <c r="Q184" s="164"/>
      <c r="R184" s="164"/>
      <c r="S184" s="164"/>
      <c r="T184" s="164"/>
      <c r="U184" s="164"/>
      <c r="V184" s="164"/>
    </row>
    <row r="185" spans="1:22" ht="27" customHeight="1">
      <c r="A185" s="38" t="str">
        <f>IF(ISBLANK(C185)," ",180-COUNTBLANK($C$6:C185))</f>
        <v xml:space="preserve"> </v>
      </c>
      <c r="B185" s="4"/>
      <c r="C185" s="5"/>
      <c r="D185" s="34"/>
      <c r="E185" s="34"/>
      <c r="F185" s="6"/>
      <c r="G185" s="6"/>
      <c r="H185" s="7"/>
      <c r="I185" s="7"/>
      <c r="J185" s="2"/>
      <c r="K185" s="2"/>
      <c r="L185" s="2"/>
      <c r="M185" s="8"/>
      <c r="N185" s="163" t="str">
        <f t="shared" si="9"/>
        <v/>
      </c>
      <c r="O185" s="126" t="str">
        <f t="shared" si="11"/>
        <v>-</v>
      </c>
      <c r="P185" s="164"/>
      <c r="Q185" s="164"/>
      <c r="R185" s="164"/>
      <c r="S185" s="164"/>
      <c r="T185" s="164"/>
      <c r="U185" s="164"/>
      <c r="V185" s="164"/>
    </row>
    <row r="186" spans="1:22" ht="27" customHeight="1">
      <c r="A186" s="38" t="str">
        <f>IF(ISBLANK(C186)," ",181-COUNTBLANK($C$6:C186))</f>
        <v xml:space="preserve"> </v>
      </c>
      <c r="B186" s="4"/>
      <c r="C186" s="5"/>
      <c r="D186" s="34"/>
      <c r="E186" s="34"/>
      <c r="F186" s="6"/>
      <c r="G186" s="6"/>
      <c r="H186" s="7"/>
      <c r="I186" s="7"/>
      <c r="J186" s="2"/>
      <c r="K186" s="2"/>
      <c r="L186" s="2"/>
      <c r="M186" s="8"/>
      <c r="N186" s="163" t="str">
        <f t="shared" si="9"/>
        <v/>
      </c>
      <c r="O186" s="126" t="str">
        <f t="shared" si="11"/>
        <v>-</v>
      </c>
      <c r="P186" s="164"/>
      <c r="Q186" s="164"/>
      <c r="R186" s="164"/>
      <c r="S186" s="164"/>
      <c r="T186" s="164"/>
      <c r="U186" s="164"/>
      <c r="V186" s="164"/>
    </row>
    <row r="187" spans="1:22" ht="27" customHeight="1">
      <c r="A187" s="38" t="str">
        <f>IF(ISBLANK(C187)," ",182-COUNTBLANK($C$6:C187))</f>
        <v xml:space="preserve"> </v>
      </c>
      <c r="B187" s="4"/>
      <c r="C187" s="5"/>
      <c r="D187" s="34"/>
      <c r="E187" s="34"/>
      <c r="F187" s="6"/>
      <c r="G187" s="6"/>
      <c r="H187" s="7"/>
      <c r="I187" s="7"/>
      <c r="J187" s="2"/>
      <c r="K187" s="2"/>
      <c r="L187" s="2"/>
      <c r="M187" s="8"/>
      <c r="N187" s="163" t="str">
        <f t="shared" si="9"/>
        <v/>
      </c>
      <c r="O187" s="126" t="str">
        <f t="shared" si="11"/>
        <v>-</v>
      </c>
      <c r="P187" s="164"/>
      <c r="Q187" s="164"/>
      <c r="R187" s="164"/>
      <c r="S187" s="164"/>
      <c r="T187" s="164"/>
      <c r="U187" s="164"/>
      <c r="V187" s="164"/>
    </row>
    <row r="188" spans="1:22" ht="27" customHeight="1">
      <c r="A188" s="38" t="str">
        <f>IF(ISBLANK(C188)," ",183-COUNTBLANK($C$6:C188))</f>
        <v xml:space="preserve"> </v>
      </c>
      <c r="B188" s="4"/>
      <c r="C188" s="5"/>
      <c r="D188" s="34"/>
      <c r="E188" s="34"/>
      <c r="F188" s="6"/>
      <c r="G188" s="6"/>
      <c r="H188" s="7"/>
      <c r="I188" s="7"/>
      <c r="J188" s="2"/>
      <c r="K188" s="2"/>
      <c r="L188" s="2"/>
      <c r="M188" s="8"/>
      <c r="N188" s="163" t="str">
        <f t="shared" si="9"/>
        <v/>
      </c>
      <c r="O188" s="126" t="str">
        <f t="shared" si="11"/>
        <v>-</v>
      </c>
      <c r="P188" s="164"/>
      <c r="Q188" s="164"/>
      <c r="R188" s="164"/>
      <c r="S188" s="164"/>
      <c r="T188" s="164"/>
      <c r="U188" s="164"/>
      <c r="V188" s="164"/>
    </row>
    <row r="189" spans="1:22" ht="27" customHeight="1">
      <c r="A189" s="38" t="str">
        <f>IF(ISBLANK(C189)," ",184-COUNTBLANK($C$6:C189))</f>
        <v xml:space="preserve"> </v>
      </c>
      <c r="B189" s="4"/>
      <c r="C189" s="5"/>
      <c r="D189" s="34"/>
      <c r="E189" s="34"/>
      <c r="F189" s="6"/>
      <c r="G189" s="6"/>
      <c r="H189" s="7"/>
      <c r="I189" s="7"/>
      <c r="J189" s="2"/>
      <c r="K189" s="2"/>
      <c r="L189" s="2"/>
      <c r="M189" s="8"/>
      <c r="N189" s="163" t="str">
        <f t="shared" si="9"/>
        <v/>
      </c>
      <c r="O189" s="126" t="str">
        <f t="shared" si="11"/>
        <v>-</v>
      </c>
      <c r="P189" s="164"/>
      <c r="Q189" s="164"/>
      <c r="R189" s="164"/>
      <c r="S189" s="164"/>
      <c r="T189" s="164"/>
      <c r="U189" s="164"/>
      <c r="V189" s="165"/>
    </row>
    <row r="190" spans="1:22" ht="27" customHeight="1">
      <c r="A190" s="38" t="str">
        <f>IF(ISBLANK(C190)," ",185-COUNTBLANK($C$6:C190))</f>
        <v xml:space="preserve"> </v>
      </c>
      <c r="B190" s="4"/>
      <c r="C190" s="5"/>
      <c r="D190" s="34"/>
      <c r="E190" s="34"/>
      <c r="F190" s="6"/>
      <c r="G190" s="6"/>
      <c r="H190" s="7"/>
      <c r="I190" s="7"/>
      <c r="J190" s="2"/>
      <c r="K190" s="2"/>
      <c r="L190" s="2"/>
      <c r="M190" s="8"/>
      <c r="N190" s="163" t="str">
        <f t="shared" si="9"/>
        <v/>
      </c>
      <c r="O190" s="126" t="str">
        <f t="shared" si="11"/>
        <v>-</v>
      </c>
      <c r="P190" s="164"/>
      <c r="Q190" s="164"/>
      <c r="R190" s="164"/>
      <c r="S190" s="164"/>
      <c r="T190" s="164"/>
      <c r="U190" s="164"/>
      <c r="V190" s="165"/>
    </row>
    <row r="191" spans="1:22" ht="27" customHeight="1">
      <c r="A191" s="38" t="str">
        <f>IF(ISBLANK(C191)," ",186-COUNTBLANK($C$6:C191))</f>
        <v xml:space="preserve"> </v>
      </c>
      <c r="B191" s="4"/>
      <c r="C191" s="5"/>
      <c r="D191" s="34"/>
      <c r="E191" s="34"/>
      <c r="F191" s="6"/>
      <c r="G191" s="6"/>
      <c r="H191" s="7"/>
      <c r="I191" s="7"/>
      <c r="J191" s="2"/>
      <c r="K191" s="2"/>
      <c r="L191" s="2"/>
      <c r="M191" s="8"/>
      <c r="N191" s="163" t="str">
        <f t="shared" si="9"/>
        <v/>
      </c>
      <c r="O191" s="126" t="str">
        <f t="shared" si="11"/>
        <v>-</v>
      </c>
      <c r="P191" s="164"/>
      <c r="Q191" s="164"/>
      <c r="R191" s="164"/>
      <c r="S191" s="164"/>
      <c r="T191" s="164"/>
      <c r="U191" s="164"/>
      <c r="V191" s="165"/>
    </row>
    <row r="192" spans="1:22" ht="27" customHeight="1">
      <c r="A192" s="38" t="str">
        <f>IF(ISBLANK(C192)," ",187-COUNTBLANK($C$6:C192))</f>
        <v xml:space="preserve"> </v>
      </c>
      <c r="B192" s="4"/>
      <c r="C192" s="5"/>
      <c r="D192" s="34"/>
      <c r="E192" s="34"/>
      <c r="F192" s="6"/>
      <c r="G192" s="6"/>
      <c r="H192" s="7"/>
      <c r="I192" s="7"/>
      <c r="J192" s="2"/>
      <c r="K192" s="2"/>
      <c r="L192" s="2"/>
      <c r="M192" s="8"/>
      <c r="N192" s="163" t="str">
        <f t="shared" si="9"/>
        <v/>
      </c>
      <c r="O192" s="126" t="str">
        <f t="shared" si="11"/>
        <v>-</v>
      </c>
      <c r="P192" s="164"/>
      <c r="Q192" s="164"/>
      <c r="R192" s="164"/>
      <c r="S192" s="164"/>
      <c r="T192" s="164"/>
      <c r="U192" s="164"/>
      <c r="V192" s="165"/>
    </row>
    <row r="193" spans="1:25" ht="27" customHeight="1">
      <c r="A193" s="39" t="str">
        <f>IF(ISBLANK(C193)," ",188-COUNTBLANK($C$6:C193))</f>
        <v xml:space="preserve"> </v>
      </c>
      <c r="B193" s="14"/>
      <c r="C193" s="15"/>
      <c r="D193" s="35"/>
      <c r="E193" s="35"/>
      <c r="F193" s="16"/>
      <c r="G193" s="16"/>
      <c r="H193" s="17"/>
      <c r="I193" s="17"/>
      <c r="J193" s="3"/>
      <c r="K193" s="3"/>
      <c r="L193" s="3"/>
      <c r="M193" s="18"/>
      <c r="N193" s="163" t="str">
        <f t="shared" si="9"/>
        <v/>
      </c>
      <c r="O193" s="126" t="str">
        <f t="shared" si="11"/>
        <v>-</v>
      </c>
      <c r="P193" s="164"/>
      <c r="Q193" s="164"/>
      <c r="R193" s="164"/>
      <c r="S193" s="164"/>
      <c r="T193" s="164"/>
      <c r="U193" s="164"/>
      <c r="V193" s="166"/>
      <c r="W193" s="164"/>
      <c r="X193" s="164"/>
      <c r="Y193" s="164"/>
    </row>
    <row r="194" spans="1:25" ht="27" customHeight="1">
      <c r="A194" s="172" t="s">
        <v>44</v>
      </c>
      <c r="B194" s="173"/>
      <c r="C194" s="174"/>
      <c r="D194" s="175"/>
      <c r="E194" s="175">
        <f>SUM(E174:E193)</f>
        <v>0</v>
      </c>
      <c r="F194" s="176"/>
      <c r="G194" s="176"/>
      <c r="H194" s="176"/>
      <c r="I194" s="176"/>
      <c r="J194" s="176"/>
      <c r="K194" s="176"/>
      <c r="L194" s="176"/>
      <c r="M194" s="177"/>
      <c r="N194" s="163" t="str">
        <f t="shared" si="9"/>
        <v/>
      </c>
      <c r="O194" s="126"/>
      <c r="P194" s="164"/>
      <c r="Q194" s="164"/>
      <c r="R194" s="164"/>
      <c r="S194" s="164"/>
      <c r="T194" s="164"/>
      <c r="U194" s="164"/>
      <c r="V194" s="166"/>
      <c r="W194" s="164"/>
      <c r="X194" s="164"/>
      <c r="Y194" s="164"/>
    </row>
    <row r="195" spans="1:25" ht="27" customHeight="1">
      <c r="A195" s="37" t="str">
        <f>IF(ISBLANK(C195)," ",190-COUNTBLANK($C$6:C195))</f>
        <v xml:space="preserve"> </v>
      </c>
      <c r="B195" s="9"/>
      <c r="C195" s="10"/>
      <c r="D195" s="33"/>
      <c r="E195" s="33"/>
      <c r="F195" s="11"/>
      <c r="G195" s="11"/>
      <c r="H195" s="12"/>
      <c r="I195" s="12"/>
      <c r="J195" s="32"/>
      <c r="K195" s="32"/>
      <c r="L195" s="32"/>
      <c r="M195" s="13"/>
      <c r="N195" s="163" t="str">
        <f t="shared" si="9"/>
        <v/>
      </c>
      <c r="O195" s="126" t="str">
        <f>IF(D195&gt;=E195,"-","ERR")</f>
        <v>-</v>
      </c>
      <c r="P195" s="164"/>
      <c r="Q195" s="164"/>
      <c r="R195" s="164"/>
      <c r="S195" s="164"/>
      <c r="T195" s="164"/>
      <c r="U195" s="164"/>
      <c r="V195" s="164"/>
    </row>
    <row r="196" spans="1:25" ht="27" customHeight="1">
      <c r="A196" s="38" t="str">
        <f>IF(ISBLANK(C196)," ",191-COUNTBLANK($C$6:C196))</f>
        <v xml:space="preserve"> </v>
      </c>
      <c r="B196" s="4"/>
      <c r="C196" s="5"/>
      <c r="D196" s="34"/>
      <c r="E196" s="34"/>
      <c r="F196" s="6"/>
      <c r="G196" s="6"/>
      <c r="H196" s="7"/>
      <c r="I196" s="7"/>
      <c r="J196" s="2"/>
      <c r="K196" s="2"/>
      <c r="L196" s="2"/>
      <c r="M196" s="8"/>
      <c r="N196" s="163" t="str">
        <f t="shared" si="9"/>
        <v/>
      </c>
      <c r="O196" s="126" t="str">
        <f t="shared" ref="O196:O214" si="12">IF(D196&gt;=E196,"-","ERR")</f>
        <v>-</v>
      </c>
      <c r="P196" s="164"/>
      <c r="Q196" s="164"/>
      <c r="R196" s="164"/>
      <c r="S196" s="164"/>
      <c r="T196" s="164"/>
      <c r="U196" s="164"/>
      <c r="V196" s="164"/>
    </row>
    <row r="197" spans="1:25" ht="27" customHeight="1">
      <c r="A197" s="38" t="str">
        <f>IF(ISBLANK(C197)," ",192-COUNTBLANK($C$6:C197))</f>
        <v xml:space="preserve"> </v>
      </c>
      <c r="B197" s="4"/>
      <c r="C197" s="5"/>
      <c r="D197" s="34"/>
      <c r="E197" s="34"/>
      <c r="F197" s="6"/>
      <c r="G197" s="6"/>
      <c r="H197" s="7"/>
      <c r="I197" s="7"/>
      <c r="J197" s="2"/>
      <c r="K197" s="2"/>
      <c r="L197" s="2"/>
      <c r="M197" s="8"/>
      <c r="N197" s="163" t="str">
        <f t="shared" si="9"/>
        <v/>
      </c>
      <c r="O197" s="126" t="str">
        <f t="shared" si="12"/>
        <v>-</v>
      </c>
      <c r="P197" s="164"/>
      <c r="Q197" s="164"/>
      <c r="R197" s="164"/>
      <c r="S197" s="164"/>
      <c r="T197" s="164"/>
      <c r="U197" s="164"/>
      <c r="V197" s="164"/>
    </row>
    <row r="198" spans="1:25" ht="27" customHeight="1">
      <c r="A198" s="38" t="str">
        <f>IF(ISBLANK(C198)," ",193-COUNTBLANK($C$6:C198))</f>
        <v xml:space="preserve"> </v>
      </c>
      <c r="B198" s="4"/>
      <c r="C198" s="5"/>
      <c r="D198" s="34"/>
      <c r="E198" s="34"/>
      <c r="F198" s="6"/>
      <c r="G198" s="6"/>
      <c r="H198" s="7"/>
      <c r="I198" s="7"/>
      <c r="J198" s="2"/>
      <c r="K198" s="2"/>
      <c r="L198" s="2"/>
      <c r="M198" s="8"/>
      <c r="N198" s="163" t="str">
        <f t="shared" si="9"/>
        <v/>
      </c>
      <c r="O198" s="126" t="str">
        <f t="shared" si="12"/>
        <v>-</v>
      </c>
      <c r="P198" s="164"/>
      <c r="Q198" s="164"/>
      <c r="R198" s="164"/>
      <c r="S198" s="164"/>
      <c r="T198" s="164"/>
      <c r="U198" s="164"/>
      <c r="V198" s="164"/>
    </row>
    <row r="199" spans="1:25" ht="27" customHeight="1">
      <c r="A199" s="38" t="str">
        <f>IF(ISBLANK(C199)," ",194-COUNTBLANK($C$6:C199))</f>
        <v xml:space="preserve"> </v>
      </c>
      <c r="B199" s="4"/>
      <c r="C199" s="5"/>
      <c r="D199" s="34"/>
      <c r="E199" s="34"/>
      <c r="F199" s="6"/>
      <c r="G199" s="6"/>
      <c r="H199" s="7"/>
      <c r="I199" s="7"/>
      <c r="J199" s="2"/>
      <c r="K199" s="2"/>
      <c r="L199" s="2"/>
      <c r="M199" s="8"/>
      <c r="N199" s="163" t="str">
        <f t="shared" ref="N199:N232" si="13">CONCATENATE(C199,H199)</f>
        <v/>
      </c>
      <c r="O199" s="126" t="str">
        <f t="shared" si="12"/>
        <v>-</v>
      </c>
      <c r="P199" s="164"/>
      <c r="Q199" s="164"/>
      <c r="R199" s="164"/>
      <c r="S199" s="164"/>
      <c r="T199" s="164"/>
      <c r="U199" s="164"/>
      <c r="V199" s="164"/>
    </row>
    <row r="200" spans="1:25" ht="27" customHeight="1">
      <c r="A200" s="38" t="str">
        <f>IF(ISBLANK(C200)," ",195-COUNTBLANK($C$6:C200))</f>
        <v xml:space="preserve"> </v>
      </c>
      <c r="B200" s="4"/>
      <c r="C200" s="5"/>
      <c r="D200" s="34"/>
      <c r="E200" s="34"/>
      <c r="F200" s="6"/>
      <c r="G200" s="6"/>
      <c r="H200" s="7"/>
      <c r="I200" s="7"/>
      <c r="J200" s="2"/>
      <c r="K200" s="2"/>
      <c r="L200" s="2"/>
      <c r="M200" s="8"/>
      <c r="N200" s="163" t="str">
        <f t="shared" si="13"/>
        <v/>
      </c>
      <c r="O200" s="126" t="str">
        <f t="shared" si="12"/>
        <v>-</v>
      </c>
      <c r="P200" s="164"/>
      <c r="Q200" s="164"/>
      <c r="R200" s="164"/>
      <c r="S200" s="164"/>
      <c r="T200" s="164"/>
      <c r="U200" s="164"/>
      <c r="V200" s="164"/>
    </row>
    <row r="201" spans="1:25" ht="27" customHeight="1">
      <c r="A201" s="38" t="str">
        <f>IF(ISBLANK(C201)," ",196-COUNTBLANK($C$6:C201))</f>
        <v xml:space="preserve"> </v>
      </c>
      <c r="B201" s="4"/>
      <c r="C201" s="5"/>
      <c r="D201" s="34"/>
      <c r="E201" s="34"/>
      <c r="F201" s="6"/>
      <c r="G201" s="6"/>
      <c r="H201" s="7"/>
      <c r="I201" s="7"/>
      <c r="J201" s="2"/>
      <c r="K201" s="2"/>
      <c r="L201" s="2"/>
      <c r="M201" s="8"/>
      <c r="N201" s="163" t="str">
        <f t="shared" si="13"/>
        <v/>
      </c>
      <c r="O201" s="126" t="str">
        <f t="shared" si="12"/>
        <v>-</v>
      </c>
      <c r="P201" s="164"/>
      <c r="Q201" s="164"/>
      <c r="R201" s="164"/>
      <c r="S201" s="164"/>
      <c r="T201" s="164"/>
      <c r="U201" s="164"/>
      <c r="V201" s="164"/>
    </row>
    <row r="202" spans="1:25" ht="27" customHeight="1">
      <c r="A202" s="38" t="str">
        <f>IF(ISBLANK(C202)," ",197-COUNTBLANK($C$6:C202))</f>
        <v xml:space="preserve"> </v>
      </c>
      <c r="B202" s="4"/>
      <c r="C202" s="5"/>
      <c r="D202" s="34"/>
      <c r="E202" s="34"/>
      <c r="F202" s="6"/>
      <c r="G202" s="6"/>
      <c r="H202" s="7"/>
      <c r="I202" s="7"/>
      <c r="J202" s="2"/>
      <c r="K202" s="2"/>
      <c r="L202" s="2"/>
      <c r="M202" s="8"/>
      <c r="N202" s="163" t="str">
        <f t="shared" si="13"/>
        <v/>
      </c>
      <c r="O202" s="126" t="str">
        <f t="shared" si="12"/>
        <v>-</v>
      </c>
      <c r="P202" s="164"/>
      <c r="Q202" s="164"/>
      <c r="R202" s="164"/>
      <c r="S202" s="164"/>
      <c r="T202" s="164"/>
      <c r="U202" s="164"/>
      <c r="V202" s="164"/>
    </row>
    <row r="203" spans="1:25" ht="27" customHeight="1">
      <c r="A203" s="38" t="str">
        <f>IF(ISBLANK(C203)," ",198-COUNTBLANK($C$6:C203))</f>
        <v xml:space="preserve"> </v>
      </c>
      <c r="B203" s="4"/>
      <c r="C203" s="5"/>
      <c r="D203" s="34"/>
      <c r="E203" s="34"/>
      <c r="F203" s="6"/>
      <c r="G203" s="6"/>
      <c r="H203" s="7"/>
      <c r="I203" s="7"/>
      <c r="J203" s="2"/>
      <c r="K203" s="2"/>
      <c r="L203" s="2"/>
      <c r="M203" s="8"/>
      <c r="N203" s="163" t="str">
        <f t="shared" si="13"/>
        <v/>
      </c>
      <c r="O203" s="126" t="str">
        <f t="shared" si="12"/>
        <v>-</v>
      </c>
      <c r="P203" s="164"/>
      <c r="Q203" s="164"/>
      <c r="R203" s="164"/>
      <c r="S203" s="164"/>
      <c r="T203" s="164"/>
      <c r="U203" s="164"/>
      <c r="V203" s="164"/>
    </row>
    <row r="204" spans="1:25" ht="27" customHeight="1">
      <c r="A204" s="38" t="str">
        <f>IF(ISBLANK(C204)," ",199-COUNTBLANK($C$6:C204))</f>
        <v xml:space="preserve"> </v>
      </c>
      <c r="B204" s="4"/>
      <c r="C204" s="5"/>
      <c r="D204" s="34"/>
      <c r="E204" s="34"/>
      <c r="F204" s="6"/>
      <c r="G204" s="6"/>
      <c r="H204" s="7"/>
      <c r="I204" s="7"/>
      <c r="J204" s="2"/>
      <c r="K204" s="2"/>
      <c r="L204" s="2"/>
      <c r="M204" s="8"/>
      <c r="N204" s="163" t="str">
        <f t="shared" si="13"/>
        <v/>
      </c>
      <c r="O204" s="126" t="str">
        <f t="shared" si="12"/>
        <v>-</v>
      </c>
      <c r="P204" s="164"/>
      <c r="Q204" s="164"/>
      <c r="R204" s="164"/>
      <c r="S204" s="164"/>
      <c r="T204" s="164"/>
      <c r="U204" s="164"/>
      <c r="V204" s="164"/>
    </row>
    <row r="205" spans="1:25" ht="27" customHeight="1">
      <c r="A205" s="38" t="str">
        <f>IF(ISBLANK(C205)," ",200-COUNTBLANK($C$6:C205))</f>
        <v xml:space="preserve"> </v>
      </c>
      <c r="B205" s="4"/>
      <c r="C205" s="5"/>
      <c r="D205" s="34"/>
      <c r="E205" s="34"/>
      <c r="F205" s="6"/>
      <c r="G205" s="6"/>
      <c r="H205" s="7"/>
      <c r="I205" s="7"/>
      <c r="J205" s="2"/>
      <c r="K205" s="2"/>
      <c r="L205" s="2"/>
      <c r="M205" s="8"/>
      <c r="N205" s="163" t="str">
        <f t="shared" si="13"/>
        <v/>
      </c>
      <c r="O205" s="126" t="str">
        <f t="shared" si="12"/>
        <v>-</v>
      </c>
      <c r="P205" s="164"/>
      <c r="Q205" s="164"/>
      <c r="R205" s="164"/>
      <c r="S205" s="164"/>
      <c r="T205" s="164"/>
      <c r="U205" s="164"/>
      <c r="V205" s="164"/>
    </row>
    <row r="206" spans="1:25" ht="27" customHeight="1">
      <c r="A206" s="38" t="str">
        <f>IF(ISBLANK(C206)," ",201-COUNTBLANK($C$6:C206))</f>
        <v xml:space="preserve"> </v>
      </c>
      <c r="B206" s="4"/>
      <c r="C206" s="5"/>
      <c r="D206" s="34"/>
      <c r="E206" s="34"/>
      <c r="F206" s="6"/>
      <c r="G206" s="6"/>
      <c r="H206" s="7"/>
      <c r="I206" s="7"/>
      <c r="J206" s="2"/>
      <c r="K206" s="2"/>
      <c r="L206" s="2"/>
      <c r="M206" s="8"/>
      <c r="N206" s="163" t="str">
        <f t="shared" si="13"/>
        <v/>
      </c>
      <c r="O206" s="126" t="str">
        <f t="shared" si="12"/>
        <v>-</v>
      </c>
      <c r="P206" s="164"/>
      <c r="Q206" s="164"/>
      <c r="R206" s="164"/>
      <c r="S206" s="164"/>
      <c r="T206" s="164"/>
      <c r="U206" s="164"/>
      <c r="V206" s="164"/>
    </row>
    <row r="207" spans="1:25" ht="27" customHeight="1">
      <c r="A207" s="38" t="str">
        <f>IF(ISBLANK(C207)," ",202-COUNTBLANK($C$6:C207))</f>
        <v xml:space="preserve"> </v>
      </c>
      <c r="B207" s="4"/>
      <c r="C207" s="5"/>
      <c r="D207" s="34"/>
      <c r="E207" s="34"/>
      <c r="F207" s="6"/>
      <c r="G207" s="6"/>
      <c r="H207" s="7"/>
      <c r="I207" s="7"/>
      <c r="J207" s="2"/>
      <c r="K207" s="2"/>
      <c r="L207" s="2"/>
      <c r="M207" s="8"/>
      <c r="N207" s="163" t="str">
        <f t="shared" si="13"/>
        <v/>
      </c>
      <c r="O207" s="126" t="str">
        <f t="shared" si="12"/>
        <v>-</v>
      </c>
      <c r="P207" s="164"/>
      <c r="Q207" s="164"/>
      <c r="R207" s="164"/>
      <c r="S207" s="164"/>
      <c r="T207" s="164"/>
      <c r="U207" s="164"/>
      <c r="V207" s="164"/>
    </row>
    <row r="208" spans="1:25" ht="27" customHeight="1">
      <c r="A208" s="38" t="str">
        <f>IF(ISBLANK(C208)," ",203-COUNTBLANK($C$6:C208))</f>
        <v xml:space="preserve"> </v>
      </c>
      <c r="B208" s="4"/>
      <c r="C208" s="5"/>
      <c r="D208" s="34"/>
      <c r="E208" s="34"/>
      <c r="F208" s="6"/>
      <c r="G208" s="6"/>
      <c r="H208" s="7"/>
      <c r="I208" s="7"/>
      <c r="J208" s="2"/>
      <c r="K208" s="2"/>
      <c r="L208" s="2"/>
      <c r="M208" s="8"/>
      <c r="N208" s="163" t="str">
        <f t="shared" si="13"/>
        <v/>
      </c>
      <c r="O208" s="126" t="str">
        <f t="shared" si="12"/>
        <v>-</v>
      </c>
      <c r="P208" s="164"/>
      <c r="Q208" s="164"/>
      <c r="R208" s="164"/>
      <c r="S208" s="164"/>
      <c r="T208" s="164"/>
      <c r="U208" s="164"/>
      <c r="V208" s="164"/>
    </row>
    <row r="209" spans="1:25" ht="27" customHeight="1">
      <c r="A209" s="38" t="str">
        <f>IF(ISBLANK(C209)," ",204-COUNTBLANK($C$6:C209))</f>
        <v xml:space="preserve"> </v>
      </c>
      <c r="B209" s="4"/>
      <c r="C209" s="5"/>
      <c r="D209" s="34"/>
      <c r="E209" s="34"/>
      <c r="F209" s="6"/>
      <c r="G209" s="6"/>
      <c r="H209" s="7"/>
      <c r="I209" s="7"/>
      <c r="J209" s="2"/>
      <c r="K209" s="2"/>
      <c r="L209" s="2"/>
      <c r="M209" s="8"/>
      <c r="N209" s="163" t="str">
        <f t="shared" si="13"/>
        <v/>
      </c>
      <c r="O209" s="126" t="str">
        <f t="shared" si="12"/>
        <v>-</v>
      </c>
      <c r="P209" s="164"/>
      <c r="Q209" s="164"/>
      <c r="R209" s="164"/>
      <c r="S209" s="164"/>
      <c r="T209" s="164"/>
      <c r="U209" s="164"/>
      <c r="V209" s="164"/>
    </row>
    <row r="210" spans="1:25" ht="27" customHeight="1">
      <c r="A210" s="38" t="str">
        <f>IF(ISBLANK(C210)," ",205-COUNTBLANK($C$6:C210))</f>
        <v xml:space="preserve"> </v>
      </c>
      <c r="B210" s="4"/>
      <c r="C210" s="5"/>
      <c r="D210" s="34"/>
      <c r="E210" s="34"/>
      <c r="F210" s="6"/>
      <c r="G210" s="6"/>
      <c r="H210" s="7"/>
      <c r="I210" s="7"/>
      <c r="J210" s="2"/>
      <c r="K210" s="2"/>
      <c r="L210" s="2"/>
      <c r="M210" s="8"/>
      <c r="N210" s="163" t="str">
        <f t="shared" si="13"/>
        <v/>
      </c>
      <c r="O210" s="126" t="str">
        <f t="shared" si="12"/>
        <v>-</v>
      </c>
      <c r="P210" s="164"/>
      <c r="Q210" s="164"/>
      <c r="R210" s="164"/>
      <c r="S210" s="164"/>
      <c r="T210" s="164"/>
      <c r="U210" s="164"/>
      <c r="V210" s="165"/>
    </row>
    <row r="211" spans="1:25" ht="27" customHeight="1">
      <c r="A211" s="38" t="str">
        <f>IF(ISBLANK(C211)," ",206-COUNTBLANK($C$6:C211))</f>
        <v xml:space="preserve"> </v>
      </c>
      <c r="B211" s="4"/>
      <c r="C211" s="5"/>
      <c r="D211" s="34"/>
      <c r="E211" s="34"/>
      <c r="F211" s="6"/>
      <c r="G211" s="6"/>
      <c r="H211" s="7"/>
      <c r="I211" s="7"/>
      <c r="J211" s="2"/>
      <c r="K211" s="2"/>
      <c r="L211" s="2"/>
      <c r="M211" s="8"/>
      <c r="N211" s="163" t="str">
        <f t="shared" si="13"/>
        <v/>
      </c>
      <c r="O211" s="126" t="str">
        <f t="shared" si="12"/>
        <v>-</v>
      </c>
      <c r="P211" s="164"/>
      <c r="Q211" s="164"/>
      <c r="R211" s="164"/>
      <c r="S211" s="164"/>
      <c r="T211" s="164"/>
      <c r="U211" s="164"/>
      <c r="V211" s="165"/>
    </row>
    <row r="212" spans="1:25" ht="27" customHeight="1">
      <c r="A212" s="38" t="str">
        <f>IF(ISBLANK(C212)," ",207-COUNTBLANK($C$6:C212))</f>
        <v xml:space="preserve"> </v>
      </c>
      <c r="B212" s="178"/>
      <c r="C212" s="178"/>
      <c r="D212" s="179"/>
      <c r="E212" s="179"/>
      <c r="F212" s="180"/>
      <c r="G212" s="180"/>
      <c r="H212" s="180"/>
      <c r="I212" s="180"/>
      <c r="J212" s="180"/>
      <c r="K212" s="180"/>
      <c r="L212" s="180"/>
      <c r="M212" s="181"/>
      <c r="N212" s="163" t="str">
        <f t="shared" si="13"/>
        <v/>
      </c>
      <c r="O212" s="126" t="str">
        <f t="shared" si="12"/>
        <v>-</v>
      </c>
      <c r="P212" s="164"/>
      <c r="Q212" s="164"/>
      <c r="R212" s="164"/>
      <c r="S212" s="164"/>
      <c r="T212" s="164"/>
      <c r="U212" s="164"/>
      <c r="V212" s="165"/>
    </row>
    <row r="213" spans="1:25" ht="27" customHeight="1">
      <c r="A213" s="38" t="str">
        <f>IF(ISBLANK(C213)," ",208-COUNTBLANK($C$6:C213))</f>
        <v xml:space="preserve"> </v>
      </c>
      <c r="B213" s="178"/>
      <c r="C213" s="178"/>
      <c r="D213" s="179"/>
      <c r="E213" s="179"/>
      <c r="F213" s="180"/>
      <c r="G213" s="180"/>
      <c r="H213" s="180"/>
      <c r="I213" s="180"/>
      <c r="J213" s="180"/>
      <c r="K213" s="180"/>
      <c r="L213" s="180"/>
      <c r="M213" s="181"/>
      <c r="N213" s="163" t="str">
        <f t="shared" si="13"/>
        <v/>
      </c>
      <c r="O213" s="126" t="str">
        <f t="shared" si="12"/>
        <v>-</v>
      </c>
      <c r="P213" s="164"/>
      <c r="Q213" s="164"/>
      <c r="R213" s="164"/>
      <c r="S213" s="164"/>
      <c r="T213" s="164"/>
      <c r="U213" s="164"/>
      <c r="V213" s="165"/>
    </row>
    <row r="214" spans="1:25" ht="27" customHeight="1">
      <c r="A214" s="182" t="str">
        <f>IF(ISBLANK(C214)," ",209-COUNTBLANK($C$6:C214))</f>
        <v xml:space="preserve"> </v>
      </c>
      <c r="B214" s="183"/>
      <c r="C214" s="183"/>
      <c r="D214" s="184"/>
      <c r="E214" s="184"/>
      <c r="F214" s="185"/>
      <c r="G214" s="185"/>
      <c r="H214" s="180"/>
      <c r="I214" s="180"/>
      <c r="J214" s="185"/>
      <c r="K214" s="185"/>
      <c r="L214" s="185"/>
      <c r="M214" s="186"/>
      <c r="N214" s="163" t="str">
        <f t="shared" si="13"/>
        <v/>
      </c>
      <c r="O214" s="126" t="str">
        <f t="shared" si="12"/>
        <v>-</v>
      </c>
      <c r="P214" s="164"/>
      <c r="Q214" s="164"/>
      <c r="R214" s="164"/>
      <c r="S214" s="164"/>
      <c r="T214" s="164"/>
      <c r="U214" s="164"/>
      <c r="V214" s="166"/>
      <c r="W214" s="164"/>
      <c r="X214" s="164"/>
      <c r="Y214" s="164"/>
    </row>
    <row r="215" spans="1:25" ht="27" customHeight="1">
      <c r="A215" s="172" t="s">
        <v>44</v>
      </c>
      <c r="B215" s="173"/>
      <c r="C215" s="174"/>
      <c r="D215" s="175"/>
      <c r="E215" s="175">
        <f>SUM(E195:E214)</f>
        <v>0</v>
      </c>
      <c r="F215" s="176"/>
      <c r="G215" s="176"/>
      <c r="H215" s="176"/>
      <c r="I215" s="176"/>
      <c r="J215" s="176"/>
      <c r="K215" s="176"/>
      <c r="L215" s="176"/>
      <c r="M215" s="177"/>
      <c r="N215" s="163" t="str">
        <f t="shared" si="13"/>
        <v/>
      </c>
      <c r="O215" s="126"/>
      <c r="P215" s="164"/>
      <c r="Q215" s="164"/>
      <c r="R215" s="164"/>
      <c r="S215" s="164"/>
      <c r="T215" s="164"/>
      <c r="U215" s="164"/>
      <c r="V215" s="166"/>
      <c r="W215" s="164"/>
      <c r="X215" s="164"/>
      <c r="Y215" s="164"/>
    </row>
    <row r="216" spans="1:25" ht="27" customHeight="1">
      <c r="A216" s="187" t="str">
        <f>IF(ISBLANK(C216)," ",211-COUNTBLANK($C$6:C216))</f>
        <v xml:space="preserve"> </v>
      </c>
      <c r="B216" s="188"/>
      <c r="C216" s="188"/>
      <c r="D216" s="189"/>
      <c r="E216" s="189"/>
      <c r="F216" s="190"/>
      <c r="G216" s="190"/>
      <c r="H216" s="190"/>
      <c r="I216" s="190"/>
      <c r="J216" s="190"/>
      <c r="K216" s="190"/>
      <c r="L216" s="190"/>
      <c r="M216" s="191"/>
      <c r="N216" s="163" t="str">
        <f t="shared" si="13"/>
        <v/>
      </c>
      <c r="O216" s="126" t="str">
        <f>IF(D216&gt;=E216,"-","ERR")</f>
        <v>-</v>
      </c>
      <c r="P216" s="164"/>
      <c r="Q216" s="164"/>
      <c r="R216" s="164"/>
      <c r="S216" s="164"/>
      <c r="T216" s="164"/>
      <c r="U216" s="164"/>
      <c r="V216" s="164"/>
    </row>
    <row r="217" spans="1:25" ht="27" customHeight="1">
      <c r="A217" s="192" t="str">
        <f>IF(ISBLANK(C217)," ",212-COUNTBLANK($C$6:C217))</f>
        <v xml:space="preserve"> </v>
      </c>
      <c r="B217" s="178"/>
      <c r="C217" s="178"/>
      <c r="D217" s="193"/>
      <c r="E217" s="193"/>
      <c r="F217" s="180"/>
      <c r="G217" s="180"/>
      <c r="H217" s="180"/>
      <c r="I217" s="180"/>
      <c r="J217" s="180"/>
      <c r="K217" s="180"/>
      <c r="L217" s="180"/>
      <c r="M217" s="181"/>
      <c r="N217" s="163" t="str">
        <f t="shared" si="13"/>
        <v/>
      </c>
      <c r="O217" s="126" t="str">
        <f t="shared" ref="O217:O235" si="14">IF(D217&gt;=E217,"-","ERR")</f>
        <v>-</v>
      </c>
      <c r="P217" s="164"/>
      <c r="Q217" s="164"/>
      <c r="R217" s="164"/>
      <c r="S217" s="164"/>
      <c r="T217" s="164"/>
      <c r="U217" s="164"/>
      <c r="V217" s="164"/>
    </row>
    <row r="218" spans="1:25" ht="27" customHeight="1">
      <c r="A218" s="192" t="str">
        <f>IF(ISBLANK(C218)," ",213-COUNTBLANK($C$6:C218))</f>
        <v xml:space="preserve"> </v>
      </c>
      <c r="B218" s="178"/>
      <c r="C218" s="178"/>
      <c r="D218" s="193"/>
      <c r="E218" s="193"/>
      <c r="F218" s="180"/>
      <c r="G218" s="180"/>
      <c r="H218" s="180"/>
      <c r="I218" s="180"/>
      <c r="J218" s="180"/>
      <c r="K218" s="180"/>
      <c r="L218" s="180"/>
      <c r="M218" s="181"/>
      <c r="N218" s="163" t="str">
        <f t="shared" si="13"/>
        <v/>
      </c>
      <c r="O218" s="126" t="str">
        <f t="shared" si="14"/>
        <v>-</v>
      </c>
      <c r="P218" s="164"/>
      <c r="Q218" s="164"/>
      <c r="R218" s="164"/>
      <c r="S218" s="164"/>
      <c r="T218" s="164"/>
      <c r="U218" s="164"/>
      <c r="V218" s="164"/>
    </row>
    <row r="219" spans="1:25" ht="27" customHeight="1">
      <c r="A219" s="192" t="str">
        <f>IF(ISBLANK(C219)," ",214-COUNTBLANK($C$6:C219))</f>
        <v xml:space="preserve"> </v>
      </c>
      <c r="B219" s="178"/>
      <c r="C219" s="178"/>
      <c r="D219" s="193"/>
      <c r="E219" s="193"/>
      <c r="F219" s="180"/>
      <c r="G219" s="180"/>
      <c r="H219" s="180"/>
      <c r="I219" s="180"/>
      <c r="J219" s="180"/>
      <c r="K219" s="180"/>
      <c r="L219" s="180"/>
      <c r="M219" s="181"/>
      <c r="N219" s="163" t="str">
        <f t="shared" si="13"/>
        <v/>
      </c>
      <c r="O219" s="126" t="str">
        <f t="shared" si="14"/>
        <v>-</v>
      </c>
      <c r="P219" s="164"/>
      <c r="Q219" s="164"/>
      <c r="R219" s="164"/>
      <c r="S219" s="164"/>
      <c r="T219" s="164"/>
      <c r="U219" s="164"/>
      <c r="V219" s="164"/>
    </row>
    <row r="220" spans="1:25" ht="27" customHeight="1">
      <c r="A220" s="192" t="str">
        <f>IF(ISBLANK(C220)," ",215-COUNTBLANK($C$6:C220))</f>
        <v xml:space="preserve"> </v>
      </c>
      <c r="B220" s="178"/>
      <c r="C220" s="178"/>
      <c r="D220" s="193"/>
      <c r="E220" s="193"/>
      <c r="F220" s="180"/>
      <c r="G220" s="180"/>
      <c r="H220" s="180"/>
      <c r="I220" s="180"/>
      <c r="J220" s="180"/>
      <c r="K220" s="180"/>
      <c r="L220" s="180"/>
      <c r="M220" s="181"/>
      <c r="N220" s="163" t="str">
        <f t="shared" si="13"/>
        <v/>
      </c>
      <c r="O220" s="126" t="str">
        <f t="shared" si="14"/>
        <v>-</v>
      </c>
      <c r="P220" s="164"/>
      <c r="Q220" s="164"/>
      <c r="R220" s="164"/>
      <c r="S220" s="164"/>
      <c r="T220" s="164"/>
      <c r="U220" s="164"/>
      <c r="V220" s="164"/>
    </row>
    <row r="221" spans="1:25" ht="27" customHeight="1">
      <c r="A221" s="192" t="str">
        <f>IF(ISBLANK(C221)," ",216-COUNTBLANK($C$6:C221))</f>
        <v xml:space="preserve"> </v>
      </c>
      <c r="B221" s="178"/>
      <c r="C221" s="178"/>
      <c r="D221" s="193"/>
      <c r="E221" s="193"/>
      <c r="F221" s="180"/>
      <c r="G221" s="180"/>
      <c r="H221" s="180"/>
      <c r="I221" s="180"/>
      <c r="J221" s="180"/>
      <c r="K221" s="180"/>
      <c r="L221" s="180"/>
      <c r="M221" s="181"/>
      <c r="N221" s="163" t="str">
        <f t="shared" si="13"/>
        <v/>
      </c>
      <c r="O221" s="126" t="str">
        <f t="shared" si="14"/>
        <v>-</v>
      </c>
      <c r="P221" s="164"/>
      <c r="Q221" s="164"/>
      <c r="R221" s="164"/>
      <c r="S221" s="164"/>
      <c r="T221" s="164"/>
      <c r="U221" s="164"/>
      <c r="V221" s="164"/>
    </row>
    <row r="222" spans="1:25" ht="27" customHeight="1">
      <c r="A222" s="192" t="str">
        <f>IF(ISBLANK(C222)," ",217-COUNTBLANK($C$6:C222))</f>
        <v xml:space="preserve"> </v>
      </c>
      <c r="B222" s="178"/>
      <c r="C222" s="178"/>
      <c r="D222" s="193"/>
      <c r="E222" s="193"/>
      <c r="F222" s="180"/>
      <c r="G222" s="180"/>
      <c r="H222" s="180"/>
      <c r="I222" s="180"/>
      <c r="J222" s="180"/>
      <c r="K222" s="180"/>
      <c r="L222" s="180"/>
      <c r="M222" s="181"/>
      <c r="N222" s="163" t="str">
        <f t="shared" si="13"/>
        <v/>
      </c>
      <c r="O222" s="126" t="str">
        <f t="shared" si="14"/>
        <v>-</v>
      </c>
      <c r="P222" s="164"/>
      <c r="Q222" s="164"/>
      <c r="R222" s="164"/>
      <c r="S222" s="164"/>
      <c r="T222" s="164"/>
      <c r="U222" s="164"/>
      <c r="V222" s="164"/>
    </row>
    <row r="223" spans="1:25" ht="27" customHeight="1">
      <c r="A223" s="192" t="str">
        <f>IF(ISBLANK(C223)," ",218-COUNTBLANK($C$6:C223))</f>
        <v xml:space="preserve"> </v>
      </c>
      <c r="B223" s="178"/>
      <c r="C223" s="178"/>
      <c r="D223" s="193"/>
      <c r="E223" s="193"/>
      <c r="F223" s="180"/>
      <c r="G223" s="180"/>
      <c r="H223" s="180"/>
      <c r="I223" s="180"/>
      <c r="J223" s="180"/>
      <c r="K223" s="180"/>
      <c r="L223" s="180"/>
      <c r="M223" s="181"/>
      <c r="N223" s="163" t="str">
        <f t="shared" si="13"/>
        <v/>
      </c>
      <c r="O223" s="126" t="str">
        <f t="shared" si="14"/>
        <v>-</v>
      </c>
      <c r="P223" s="164"/>
      <c r="Q223" s="164"/>
      <c r="R223" s="164"/>
      <c r="S223" s="164"/>
      <c r="T223" s="164"/>
      <c r="U223" s="164"/>
      <c r="V223" s="164"/>
    </row>
    <row r="224" spans="1:25" ht="27" customHeight="1">
      <c r="A224" s="192" t="str">
        <f>IF(ISBLANK(C224)," ",219-COUNTBLANK($C$6:C224))</f>
        <v xml:space="preserve"> </v>
      </c>
      <c r="B224" s="178"/>
      <c r="C224" s="178"/>
      <c r="D224" s="193"/>
      <c r="E224" s="193"/>
      <c r="F224" s="180"/>
      <c r="G224" s="180"/>
      <c r="H224" s="180"/>
      <c r="I224" s="180"/>
      <c r="J224" s="180"/>
      <c r="K224" s="180"/>
      <c r="L224" s="180"/>
      <c r="M224" s="181"/>
      <c r="N224" s="163" t="str">
        <f t="shared" si="13"/>
        <v/>
      </c>
      <c r="O224" s="126" t="str">
        <f t="shared" si="14"/>
        <v>-</v>
      </c>
      <c r="P224" s="164"/>
      <c r="Q224" s="164"/>
      <c r="R224" s="164"/>
      <c r="S224" s="164"/>
      <c r="T224" s="164"/>
      <c r="U224" s="164"/>
      <c r="V224" s="164"/>
    </row>
    <row r="225" spans="1:25" ht="27" customHeight="1">
      <c r="A225" s="192" t="str">
        <f>IF(ISBLANK(C225)," ",220-COUNTBLANK($C$6:C225))</f>
        <v xml:space="preserve"> </v>
      </c>
      <c r="B225" s="178"/>
      <c r="C225" s="178"/>
      <c r="D225" s="193"/>
      <c r="E225" s="193"/>
      <c r="F225" s="180"/>
      <c r="G225" s="180"/>
      <c r="H225" s="180"/>
      <c r="I225" s="180"/>
      <c r="J225" s="180"/>
      <c r="K225" s="180"/>
      <c r="L225" s="180"/>
      <c r="M225" s="181"/>
      <c r="N225" s="163" t="str">
        <f t="shared" si="13"/>
        <v/>
      </c>
      <c r="O225" s="126" t="str">
        <f t="shared" si="14"/>
        <v>-</v>
      </c>
      <c r="P225" s="164"/>
      <c r="Q225" s="164"/>
      <c r="R225" s="164"/>
      <c r="S225" s="164"/>
      <c r="T225" s="164"/>
      <c r="U225" s="164"/>
      <c r="V225" s="164"/>
    </row>
    <row r="226" spans="1:25" ht="27" customHeight="1">
      <c r="A226" s="192" t="str">
        <f>IF(ISBLANK(C226)," ",221-COUNTBLANK($C$6:C226))</f>
        <v xml:space="preserve"> </v>
      </c>
      <c r="B226" s="178"/>
      <c r="C226" s="178"/>
      <c r="D226" s="193"/>
      <c r="E226" s="193"/>
      <c r="F226" s="180"/>
      <c r="G226" s="180"/>
      <c r="H226" s="180"/>
      <c r="I226" s="180"/>
      <c r="J226" s="180"/>
      <c r="K226" s="180"/>
      <c r="L226" s="180"/>
      <c r="M226" s="181"/>
      <c r="N226" s="163" t="str">
        <f t="shared" si="13"/>
        <v/>
      </c>
      <c r="O226" s="126" t="str">
        <f t="shared" si="14"/>
        <v>-</v>
      </c>
      <c r="P226" s="164"/>
      <c r="Q226" s="164"/>
      <c r="R226" s="164"/>
      <c r="S226" s="164"/>
      <c r="T226" s="164"/>
      <c r="U226" s="164"/>
      <c r="V226" s="164"/>
    </row>
    <row r="227" spans="1:25" ht="27" customHeight="1">
      <c r="A227" s="192" t="str">
        <f>IF(ISBLANK(C227)," ",222-COUNTBLANK($C$6:C227))</f>
        <v xml:space="preserve"> </v>
      </c>
      <c r="B227" s="178"/>
      <c r="C227" s="178"/>
      <c r="D227" s="193"/>
      <c r="E227" s="193"/>
      <c r="F227" s="180"/>
      <c r="G227" s="180"/>
      <c r="H227" s="180"/>
      <c r="I227" s="180"/>
      <c r="J227" s="180"/>
      <c r="K227" s="180"/>
      <c r="L227" s="180"/>
      <c r="M227" s="181"/>
      <c r="N227" s="163" t="str">
        <f t="shared" si="13"/>
        <v/>
      </c>
      <c r="O227" s="126" t="str">
        <f t="shared" si="14"/>
        <v>-</v>
      </c>
      <c r="P227" s="164"/>
      <c r="Q227" s="164"/>
      <c r="R227" s="164"/>
      <c r="S227" s="164"/>
      <c r="T227" s="164"/>
      <c r="U227" s="164"/>
      <c r="V227" s="164"/>
    </row>
    <row r="228" spans="1:25" ht="27" customHeight="1">
      <c r="A228" s="192" t="str">
        <f>IF(ISBLANK(C228)," ",223-COUNTBLANK($C$6:C228))</f>
        <v xml:space="preserve"> </v>
      </c>
      <c r="B228" s="178"/>
      <c r="C228" s="178"/>
      <c r="D228" s="193"/>
      <c r="E228" s="193"/>
      <c r="F228" s="180"/>
      <c r="G228" s="180"/>
      <c r="H228" s="180"/>
      <c r="I228" s="180"/>
      <c r="J228" s="180"/>
      <c r="K228" s="180"/>
      <c r="L228" s="180"/>
      <c r="M228" s="181"/>
      <c r="N228" s="163" t="str">
        <f t="shared" si="13"/>
        <v/>
      </c>
      <c r="O228" s="126" t="str">
        <f t="shared" si="14"/>
        <v>-</v>
      </c>
      <c r="P228" s="164"/>
      <c r="Q228" s="164"/>
      <c r="R228" s="164"/>
      <c r="S228" s="164"/>
      <c r="T228" s="164"/>
      <c r="U228" s="164"/>
      <c r="V228" s="164"/>
    </row>
    <row r="229" spans="1:25" ht="27" customHeight="1">
      <c r="A229" s="192" t="str">
        <f>IF(ISBLANK(C229)," ",224-COUNTBLANK($C$6:C229))</f>
        <v xml:space="preserve"> </v>
      </c>
      <c r="B229" s="178"/>
      <c r="C229" s="178"/>
      <c r="D229" s="193"/>
      <c r="E229" s="193"/>
      <c r="F229" s="180"/>
      <c r="G229" s="180"/>
      <c r="H229" s="180"/>
      <c r="I229" s="180"/>
      <c r="J229" s="180"/>
      <c r="K229" s="180"/>
      <c r="L229" s="180"/>
      <c r="M229" s="181"/>
      <c r="N229" s="163" t="str">
        <f t="shared" si="13"/>
        <v/>
      </c>
      <c r="O229" s="126" t="str">
        <f t="shared" si="14"/>
        <v>-</v>
      </c>
      <c r="P229" s="164"/>
      <c r="Q229" s="164"/>
      <c r="R229" s="164"/>
      <c r="S229" s="164"/>
      <c r="T229" s="164"/>
      <c r="U229" s="164"/>
      <c r="V229" s="164"/>
    </row>
    <row r="230" spans="1:25" ht="27" customHeight="1">
      <c r="A230" s="192" t="str">
        <f>IF(ISBLANK(C230)," ",225-COUNTBLANK($C$6:C230))</f>
        <v xml:space="preserve"> </v>
      </c>
      <c r="B230" s="178"/>
      <c r="C230" s="178"/>
      <c r="D230" s="193"/>
      <c r="E230" s="193"/>
      <c r="F230" s="180"/>
      <c r="G230" s="180"/>
      <c r="H230" s="180"/>
      <c r="I230" s="180"/>
      <c r="J230" s="180"/>
      <c r="K230" s="180"/>
      <c r="L230" s="180"/>
      <c r="M230" s="181"/>
      <c r="N230" s="163" t="str">
        <f t="shared" si="13"/>
        <v/>
      </c>
      <c r="O230" s="126" t="str">
        <f t="shared" si="14"/>
        <v>-</v>
      </c>
      <c r="P230" s="164"/>
      <c r="Q230" s="164"/>
      <c r="R230" s="164"/>
      <c r="S230" s="164"/>
      <c r="T230" s="164"/>
      <c r="U230" s="164"/>
      <c r="V230" s="164"/>
    </row>
    <row r="231" spans="1:25" ht="27" customHeight="1">
      <c r="A231" s="192" t="str">
        <f>IF(ISBLANK(C231)," ",226-COUNTBLANK($C$6:C231))</f>
        <v xml:space="preserve"> </v>
      </c>
      <c r="B231" s="178"/>
      <c r="C231" s="178"/>
      <c r="D231" s="193"/>
      <c r="E231" s="193"/>
      <c r="F231" s="180"/>
      <c r="G231" s="180"/>
      <c r="H231" s="180"/>
      <c r="I231" s="180"/>
      <c r="J231" s="180"/>
      <c r="K231" s="180"/>
      <c r="L231" s="180"/>
      <c r="M231" s="181"/>
      <c r="N231" s="163" t="str">
        <f t="shared" si="13"/>
        <v/>
      </c>
      <c r="O231" s="126" t="str">
        <f t="shared" si="14"/>
        <v>-</v>
      </c>
      <c r="P231" s="164"/>
      <c r="Q231" s="164"/>
      <c r="R231" s="164"/>
      <c r="S231" s="164"/>
      <c r="T231" s="164"/>
      <c r="U231" s="164"/>
      <c r="V231" s="165"/>
    </row>
    <row r="232" spans="1:25" ht="27" customHeight="1">
      <c r="A232" s="192" t="str">
        <f>IF(ISBLANK(C232)," ",227-COUNTBLANK($C$6:C232))</f>
        <v xml:space="preserve"> </v>
      </c>
      <c r="B232" s="178"/>
      <c r="C232" s="178"/>
      <c r="D232" s="193"/>
      <c r="E232" s="193"/>
      <c r="F232" s="180"/>
      <c r="G232" s="180"/>
      <c r="H232" s="180"/>
      <c r="I232" s="180"/>
      <c r="J232" s="180"/>
      <c r="K232" s="180"/>
      <c r="L232" s="180"/>
      <c r="M232" s="181"/>
      <c r="N232" s="163" t="str">
        <f t="shared" si="13"/>
        <v/>
      </c>
      <c r="O232" s="126" t="str">
        <f t="shared" si="14"/>
        <v>-</v>
      </c>
      <c r="P232" s="164"/>
      <c r="Q232" s="164"/>
      <c r="R232" s="164"/>
      <c r="S232" s="164"/>
      <c r="T232" s="164"/>
      <c r="U232" s="164"/>
      <c r="V232" s="165"/>
    </row>
    <row r="233" spans="1:25" ht="27" customHeight="1">
      <c r="A233" s="192" t="str">
        <f>IF(ISBLANK(C233)," ",228-COUNTBLANK($C$6:C233))</f>
        <v xml:space="preserve"> </v>
      </c>
      <c r="B233" s="178"/>
      <c r="C233" s="178"/>
      <c r="D233" s="193"/>
      <c r="E233" s="193"/>
      <c r="F233" s="180"/>
      <c r="G233" s="180"/>
      <c r="H233" s="180"/>
      <c r="I233" s="180"/>
      <c r="J233" s="180"/>
      <c r="K233" s="180"/>
      <c r="L233" s="180"/>
      <c r="M233" s="181"/>
      <c r="N233" s="163" t="str">
        <f>CONCATENATE(C233,H233)</f>
        <v/>
      </c>
      <c r="O233" s="126" t="str">
        <f t="shared" si="14"/>
        <v>-</v>
      </c>
      <c r="P233" s="164"/>
      <c r="Q233" s="164"/>
      <c r="R233" s="164"/>
      <c r="S233" s="164"/>
      <c r="T233" s="164"/>
      <c r="U233" s="164"/>
      <c r="V233" s="165"/>
    </row>
    <row r="234" spans="1:25" ht="27" customHeight="1">
      <c r="A234" s="192" t="str">
        <f>IF(ISBLANK(C234)," ",229-COUNTBLANK($C$6:C234))</f>
        <v xml:space="preserve"> </v>
      </c>
      <c r="B234" s="178"/>
      <c r="C234" s="178"/>
      <c r="D234" s="193"/>
      <c r="E234" s="193"/>
      <c r="F234" s="180"/>
      <c r="G234" s="180"/>
      <c r="H234" s="180"/>
      <c r="I234" s="180"/>
      <c r="J234" s="180"/>
      <c r="K234" s="180"/>
      <c r="L234" s="180"/>
      <c r="M234" s="181"/>
      <c r="N234" s="163" t="str">
        <f>CONCATENATE(C234,H234)</f>
        <v/>
      </c>
      <c r="O234" s="126" t="str">
        <f t="shared" si="14"/>
        <v>-</v>
      </c>
      <c r="P234" s="164"/>
      <c r="Q234" s="164"/>
      <c r="R234" s="164"/>
      <c r="S234" s="164"/>
      <c r="T234" s="164"/>
      <c r="U234" s="164"/>
      <c r="V234" s="165"/>
    </row>
    <row r="235" spans="1:25" ht="27" customHeight="1">
      <c r="A235" s="192" t="str">
        <f>IF(ISBLANK(C235)," ",230-COUNTBLANK($C$6:C235))</f>
        <v xml:space="preserve"> </v>
      </c>
      <c r="B235" s="178"/>
      <c r="C235" s="178"/>
      <c r="D235" s="193"/>
      <c r="E235" s="193"/>
      <c r="F235" s="180"/>
      <c r="G235" s="180"/>
      <c r="H235" s="180"/>
      <c r="I235" s="180"/>
      <c r="J235" s="180"/>
      <c r="K235" s="180"/>
      <c r="L235" s="180"/>
      <c r="M235" s="181"/>
      <c r="N235" s="163" t="str">
        <f>CONCATENATE(C235,H235)</f>
        <v/>
      </c>
      <c r="O235" s="126" t="str">
        <f t="shared" si="14"/>
        <v>-</v>
      </c>
      <c r="P235" s="164"/>
      <c r="Q235" s="164"/>
      <c r="R235" s="164"/>
      <c r="S235" s="164"/>
      <c r="T235" s="164"/>
      <c r="U235" s="164"/>
      <c r="V235" s="166"/>
      <c r="W235" s="164"/>
      <c r="X235" s="164"/>
      <c r="Y235" s="164"/>
    </row>
    <row r="236" spans="1:25" ht="27" customHeight="1">
      <c r="A236" s="172" t="s">
        <v>44</v>
      </c>
      <c r="B236" s="173"/>
      <c r="C236" s="174"/>
      <c r="D236" s="194"/>
      <c r="E236" s="194">
        <f>SUM(E216:E235)</f>
        <v>0</v>
      </c>
      <c r="F236" s="176"/>
      <c r="G236" s="176"/>
      <c r="H236" s="176"/>
      <c r="I236" s="176"/>
      <c r="J236" s="176"/>
      <c r="K236" s="176"/>
      <c r="L236" s="176"/>
      <c r="M236" s="177"/>
      <c r="N236" s="163" t="str">
        <f>CONCATENATE(C236,H236)</f>
        <v/>
      </c>
      <c r="O236" s="126"/>
      <c r="P236" s="164"/>
      <c r="Q236" s="164"/>
      <c r="R236" s="164"/>
      <c r="S236" s="164"/>
      <c r="T236" s="164"/>
      <c r="U236" s="164"/>
      <c r="V236" s="166"/>
      <c r="W236" s="164"/>
      <c r="X236" s="164"/>
      <c r="Y236" s="164"/>
    </row>
    <row r="237" spans="1:25" ht="27" customHeight="1">
      <c r="A237" s="187" t="str">
        <f>IF(ISBLANK(C237)," ",232-COUNTBLANK($C$6:C237))</f>
        <v xml:space="preserve"> </v>
      </c>
      <c r="B237" s="188"/>
      <c r="C237" s="188"/>
      <c r="D237" s="189"/>
      <c r="E237" s="189"/>
      <c r="F237" s="190"/>
      <c r="G237" s="190"/>
      <c r="H237" s="190"/>
      <c r="I237" s="190"/>
      <c r="J237" s="190"/>
      <c r="K237" s="190"/>
      <c r="L237" s="190"/>
      <c r="M237" s="191"/>
      <c r="N237" s="163" t="str">
        <f>CONCATENATE(C237,H237)</f>
        <v/>
      </c>
      <c r="O237" s="126" t="str">
        <f>IF(D237&gt;=E237,"-","ERR")</f>
        <v>-</v>
      </c>
      <c r="P237" s="164"/>
      <c r="Q237" s="164"/>
      <c r="R237" s="164"/>
      <c r="S237" s="164"/>
      <c r="T237" s="164"/>
      <c r="U237" s="164"/>
      <c r="V237" s="164"/>
    </row>
    <row r="238" spans="1:25" ht="27" customHeight="1">
      <c r="A238" s="192" t="str">
        <f>IF(ISBLANK(C238)," ",233-COUNTBLANK($C$6:C238))</f>
        <v xml:space="preserve"> </v>
      </c>
      <c r="B238" s="178"/>
      <c r="C238" s="178"/>
      <c r="D238" s="193"/>
      <c r="E238" s="193"/>
      <c r="F238" s="180"/>
      <c r="G238" s="180"/>
      <c r="H238" s="180"/>
      <c r="I238" s="180"/>
      <c r="J238" s="180"/>
      <c r="K238" s="180"/>
      <c r="L238" s="180"/>
      <c r="M238" s="181"/>
      <c r="N238" s="163" t="str">
        <f t="shared" ref="N238:N257" si="15">CONCATENATE(C238,H238)</f>
        <v/>
      </c>
      <c r="O238" s="126" t="str">
        <f t="shared" ref="O238:O256" si="16">IF(D238&gt;=E238,"-","ERR")</f>
        <v>-</v>
      </c>
      <c r="P238" s="164"/>
      <c r="Q238" s="164"/>
      <c r="R238" s="164"/>
      <c r="S238" s="164"/>
      <c r="T238" s="164"/>
      <c r="U238" s="164"/>
      <c r="V238" s="164"/>
    </row>
    <row r="239" spans="1:25" ht="27" customHeight="1">
      <c r="A239" s="192" t="str">
        <f>IF(ISBLANK(C239)," ",234-COUNTBLANK($C$6:C239))</f>
        <v xml:space="preserve"> </v>
      </c>
      <c r="B239" s="178"/>
      <c r="C239" s="178"/>
      <c r="D239" s="193"/>
      <c r="E239" s="193"/>
      <c r="F239" s="180"/>
      <c r="G239" s="180"/>
      <c r="H239" s="180"/>
      <c r="I239" s="180"/>
      <c r="J239" s="180"/>
      <c r="K239" s="180"/>
      <c r="L239" s="180"/>
      <c r="M239" s="181"/>
      <c r="N239" s="163" t="str">
        <f t="shared" si="15"/>
        <v/>
      </c>
      <c r="O239" s="126" t="str">
        <f t="shared" si="16"/>
        <v>-</v>
      </c>
      <c r="P239" s="164"/>
      <c r="Q239" s="164"/>
      <c r="R239" s="164"/>
      <c r="S239" s="164"/>
      <c r="T239" s="164"/>
      <c r="U239" s="164"/>
      <c r="V239" s="164"/>
    </row>
    <row r="240" spans="1:25" ht="27" customHeight="1">
      <c r="A240" s="192" t="str">
        <f>IF(ISBLANK(C240)," ",235-COUNTBLANK($C$6:C240))</f>
        <v xml:space="preserve"> </v>
      </c>
      <c r="B240" s="178"/>
      <c r="C240" s="178"/>
      <c r="D240" s="193"/>
      <c r="E240" s="193"/>
      <c r="F240" s="180"/>
      <c r="G240" s="180"/>
      <c r="H240" s="180"/>
      <c r="I240" s="180"/>
      <c r="J240" s="180"/>
      <c r="K240" s="180"/>
      <c r="L240" s="180"/>
      <c r="M240" s="181"/>
      <c r="N240" s="163" t="str">
        <f t="shared" si="15"/>
        <v/>
      </c>
      <c r="O240" s="126" t="str">
        <f t="shared" si="16"/>
        <v>-</v>
      </c>
      <c r="P240" s="164"/>
      <c r="Q240" s="164"/>
      <c r="R240" s="164"/>
      <c r="S240" s="164"/>
      <c r="T240" s="164"/>
      <c r="U240" s="164"/>
      <c r="V240" s="164"/>
    </row>
    <row r="241" spans="1:25" ht="27" customHeight="1">
      <c r="A241" s="192" t="str">
        <f>IF(ISBLANK(C241)," ",236-COUNTBLANK($C$6:C241))</f>
        <v xml:space="preserve"> </v>
      </c>
      <c r="B241" s="178"/>
      <c r="C241" s="178"/>
      <c r="D241" s="193"/>
      <c r="E241" s="193"/>
      <c r="F241" s="180"/>
      <c r="G241" s="180"/>
      <c r="H241" s="180"/>
      <c r="I241" s="180"/>
      <c r="J241" s="180"/>
      <c r="K241" s="180"/>
      <c r="L241" s="180"/>
      <c r="M241" s="181"/>
      <c r="N241" s="163" t="str">
        <f t="shared" si="15"/>
        <v/>
      </c>
      <c r="O241" s="126" t="str">
        <f t="shared" si="16"/>
        <v>-</v>
      </c>
      <c r="P241" s="164"/>
      <c r="Q241" s="164"/>
      <c r="R241" s="164"/>
      <c r="S241" s="164"/>
      <c r="T241" s="164"/>
      <c r="U241" s="164"/>
      <c r="V241" s="164"/>
    </row>
    <row r="242" spans="1:25" ht="27" customHeight="1">
      <c r="A242" s="192" t="str">
        <f>IF(ISBLANK(C242)," ",237-COUNTBLANK($C$6:C242))</f>
        <v xml:space="preserve"> </v>
      </c>
      <c r="B242" s="178"/>
      <c r="C242" s="178"/>
      <c r="D242" s="193"/>
      <c r="E242" s="193"/>
      <c r="F242" s="180"/>
      <c r="G242" s="180"/>
      <c r="H242" s="180"/>
      <c r="I242" s="180"/>
      <c r="J242" s="180"/>
      <c r="K242" s="180"/>
      <c r="L242" s="180"/>
      <c r="M242" s="181"/>
      <c r="N242" s="163" t="str">
        <f t="shared" si="15"/>
        <v/>
      </c>
      <c r="O242" s="126" t="str">
        <f t="shared" si="16"/>
        <v>-</v>
      </c>
      <c r="P242" s="164"/>
      <c r="Q242" s="164"/>
      <c r="R242" s="164"/>
      <c r="S242" s="164"/>
      <c r="T242" s="164"/>
      <c r="U242" s="164"/>
      <c r="V242" s="164"/>
    </row>
    <row r="243" spans="1:25" ht="27" customHeight="1">
      <c r="A243" s="192" t="str">
        <f>IF(ISBLANK(C243)," ",238-COUNTBLANK($C$6:C243))</f>
        <v xml:space="preserve"> </v>
      </c>
      <c r="B243" s="178"/>
      <c r="C243" s="178"/>
      <c r="D243" s="193"/>
      <c r="E243" s="193"/>
      <c r="F243" s="180"/>
      <c r="G243" s="180"/>
      <c r="H243" s="180"/>
      <c r="I243" s="180"/>
      <c r="J243" s="180"/>
      <c r="K243" s="180"/>
      <c r="L243" s="180"/>
      <c r="M243" s="181"/>
      <c r="N243" s="163" t="str">
        <f t="shared" si="15"/>
        <v/>
      </c>
      <c r="O243" s="126" t="str">
        <f t="shared" si="16"/>
        <v>-</v>
      </c>
      <c r="P243" s="164"/>
      <c r="Q243" s="164"/>
      <c r="R243" s="164"/>
      <c r="S243" s="164"/>
      <c r="T243" s="164"/>
      <c r="U243" s="164"/>
      <c r="V243" s="164"/>
    </row>
    <row r="244" spans="1:25" ht="27" customHeight="1">
      <c r="A244" s="192" t="str">
        <f>IF(ISBLANK(C244)," ",239-COUNTBLANK($C$6:C244))</f>
        <v xml:space="preserve"> </v>
      </c>
      <c r="B244" s="178"/>
      <c r="C244" s="178"/>
      <c r="D244" s="193"/>
      <c r="E244" s="193"/>
      <c r="F244" s="180"/>
      <c r="G244" s="180"/>
      <c r="H244" s="180"/>
      <c r="I244" s="180"/>
      <c r="J244" s="180"/>
      <c r="K244" s="180"/>
      <c r="L244" s="180"/>
      <c r="M244" s="181"/>
      <c r="N244" s="163" t="str">
        <f t="shared" si="15"/>
        <v/>
      </c>
      <c r="O244" s="126" t="str">
        <f t="shared" si="16"/>
        <v>-</v>
      </c>
      <c r="P244" s="164"/>
      <c r="Q244" s="164"/>
      <c r="R244" s="164"/>
      <c r="S244" s="164"/>
      <c r="T244" s="164"/>
      <c r="U244" s="164"/>
      <c r="V244" s="164"/>
    </row>
    <row r="245" spans="1:25" ht="27" customHeight="1">
      <c r="A245" s="192" t="str">
        <f>IF(ISBLANK(C245)," ",240-COUNTBLANK($C$6:C245))</f>
        <v xml:space="preserve"> </v>
      </c>
      <c r="B245" s="178"/>
      <c r="C245" s="178"/>
      <c r="D245" s="193"/>
      <c r="E245" s="193"/>
      <c r="F245" s="180"/>
      <c r="G245" s="180"/>
      <c r="H245" s="180"/>
      <c r="I245" s="180"/>
      <c r="J245" s="180"/>
      <c r="K245" s="180"/>
      <c r="L245" s="180"/>
      <c r="M245" s="181"/>
      <c r="N245" s="163" t="str">
        <f t="shared" si="15"/>
        <v/>
      </c>
      <c r="O245" s="126" t="str">
        <f t="shared" si="16"/>
        <v>-</v>
      </c>
      <c r="P245" s="164"/>
      <c r="Q245" s="164"/>
      <c r="R245" s="164"/>
      <c r="S245" s="164"/>
      <c r="T245" s="164"/>
      <c r="U245" s="164"/>
      <c r="V245" s="164"/>
    </row>
    <row r="246" spans="1:25" ht="27" customHeight="1">
      <c r="A246" s="192" t="str">
        <f>IF(ISBLANK(C246)," ",241-COUNTBLANK($C$6:C246))</f>
        <v xml:space="preserve"> </v>
      </c>
      <c r="B246" s="178"/>
      <c r="C246" s="178"/>
      <c r="D246" s="193"/>
      <c r="E246" s="193"/>
      <c r="F246" s="180"/>
      <c r="G246" s="180"/>
      <c r="H246" s="180"/>
      <c r="I246" s="180"/>
      <c r="J246" s="180"/>
      <c r="K246" s="180"/>
      <c r="L246" s="180"/>
      <c r="M246" s="181"/>
      <c r="N246" s="163" t="str">
        <f t="shared" si="15"/>
        <v/>
      </c>
      <c r="O246" s="126" t="str">
        <f t="shared" si="16"/>
        <v>-</v>
      </c>
      <c r="P246" s="164"/>
      <c r="Q246" s="164"/>
      <c r="R246" s="164"/>
      <c r="S246" s="164"/>
      <c r="T246" s="164"/>
      <c r="U246" s="164"/>
      <c r="V246" s="164"/>
    </row>
    <row r="247" spans="1:25" ht="27" customHeight="1">
      <c r="A247" s="192" t="str">
        <f>IF(ISBLANK(C247)," ",242-COUNTBLANK($C$6:C247))</f>
        <v xml:space="preserve"> </v>
      </c>
      <c r="B247" s="178"/>
      <c r="C247" s="178"/>
      <c r="D247" s="193"/>
      <c r="E247" s="193"/>
      <c r="F247" s="180"/>
      <c r="G247" s="180"/>
      <c r="H247" s="180"/>
      <c r="I247" s="180"/>
      <c r="J247" s="180"/>
      <c r="K247" s="180"/>
      <c r="L247" s="180"/>
      <c r="M247" s="181"/>
      <c r="N247" s="163" t="str">
        <f t="shared" si="15"/>
        <v/>
      </c>
      <c r="O247" s="126" t="str">
        <f t="shared" si="16"/>
        <v>-</v>
      </c>
      <c r="P247" s="164"/>
      <c r="Q247" s="164"/>
      <c r="R247" s="164"/>
      <c r="S247" s="164"/>
      <c r="T247" s="164"/>
      <c r="U247" s="164"/>
      <c r="V247" s="164"/>
    </row>
    <row r="248" spans="1:25" ht="27" customHeight="1">
      <c r="A248" s="192" t="str">
        <f>IF(ISBLANK(C248)," ",243-COUNTBLANK($C$6:C248))</f>
        <v xml:space="preserve"> </v>
      </c>
      <c r="B248" s="178"/>
      <c r="C248" s="178"/>
      <c r="D248" s="193"/>
      <c r="E248" s="193"/>
      <c r="F248" s="180"/>
      <c r="G248" s="180"/>
      <c r="H248" s="180"/>
      <c r="I248" s="180"/>
      <c r="J248" s="180"/>
      <c r="K248" s="180"/>
      <c r="L248" s="180"/>
      <c r="M248" s="181"/>
      <c r="N248" s="163" t="str">
        <f t="shared" si="15"/>
        <v/>
      </c>
      <c r="O248" s="126" t="str">
        <f t="shared" si="16"/>
        <v>-</v>
      </c>
      <c r="P248" s="164"/>
      <c r="Q248" s="164"/>
      <c r="R248" s="164"/>
      <c r="S248" s="164"/>
      <c r="T248" s="164"/>
      <c r="U248" s="164"/>
      <c r="V248" s="164"/>
    </row>
    <row r="249" spans="1:25" ht="27" customHeight="1">
      <c r="A249" s="192" t="str">
        <f>IF(ISBLANK(C249)," ",244-COUNTBLANK($C$6:C249))</f>
        <v xml:space="preserve"> </v>
      </c>
      <c r="B249" s="178"/>
      <c r="C249" s="178"/>
      <c r="D249" s="193"/>
      <c r="E249" s="193"/>
      <c r="F249" s="180"/>
      <c r="G249" s="180"/>
      <c r="H249" s="180"/>
      <c r="I249" s="180"/>
      <c r="J249" s="180"/>
      <c r="K249" s="180"/>
      <c r="L249" s="180"/>
      <c r="M249" s="181"/>
      <c r="N249" s="163" t="str">
        <f t="shared" si="15"/>
        <v/>
      </c>
      <c r="O249" s="126" t="str">
        <f t="shared" si="16"/>
        <v>-</v>
      </c>
      <c r="P249" s="164"/>
      <c r="Q249" s="164"/>
      <c r="R249" s="164"/>
      <c r="S249" s="164"/>
      <c r="T249" s="164"/>
      <c r="U249" s="164"/>
      <c r="V249" s="164"/>
    </row>
    <row r="250" spans="1:25" ht="27" customHeight="1">
      <c r="A250" s="192" t="str">
        <f>IF(ISBLANK(C250)," ",245-COUNTBLANK($C$6:C250))</f>
        <v xml:space="preserve"> </v>
      </c>
      <c r="B250" s="178"/>
      <c r="C250" s="178"/>
      <c r="D250" s="193"/>
      <c r="E250" s="193"/>
      <c r="F250" s="180"/>
      <c r="G250" s="180"/>
      <c r="H250" s="180"/>
      <c r="I250" s="180"/>
      <c r="J250" s="180"/>
      <c r="K250" s="180"/>
      <c r="L250" s="180"/>
      <c r="M250" s="181"/>
      <c r="N250" s="163" t="str">
        <f t="shared" si="15"/>
        <v/>
      </c>
      <c r="O250" s="126" t="str">
        <f t="shared" si="16"/>
        <v>-</v>
      </c>
      <c r="P250" s="164"/>
      <c r="Q250" s="164"/>
      <c r="R250" s="164"/>
      <c r="S250" s="164"/>
      <c r="T250" s="164"/>
      <c r="U250" s="164"/>
      <c r="V250" s="164"/>
    </row>
    <row r="251" spans="1:25" ht="27" customHeight="1">
      <c r="A251" s="192" t="str">
        <f>IF(ISBLANK(C251)," ",246-COUNTBLANK($C$6:C251))</f>
        <v xml:space="preserve"> </v>
      </c>
      <c r="B251" s="178"/>
      <c r="C251" s="178"/>
      <c r="D251" s="193"/>
      <c r="E251" s="193"/>
      <c r="F251" s="180"/>
      <c r="G251" s="180"/>
      <c r="H251" s="180"/>
      <c r="I251" s="180"/>
      <c r="J251" s="180"/>
      <c r="K251" s="180"/>
      <c r="L251" s="180"/>
      <c r="M251" s="181"/>
      <c r="N251" s="163" t="str">
        <f t="shared" si="15"/>
        <v/>
      </c>
      <c r="O251" s="126" t="str">
        <f t="shared" si="16"/>
        <v>-</v>
      </c>
      <c r="P251" s="164"/>
      <c r="Q251" s="164"/>
      <c r="R251" s="164"/>
      <c r="S251" s="164"/>
      <c r="T251" s="164"/>
      <c r="U251" s="164"/>
      <c r="V251" s="164"/>
    </row>
    <row r="252" spans="1:25" ht="27" customHeight="1">
      <c r="A252" s="192" t="str">
        <f>IF(ISBLANK(C252)," ",247-COUNTBLANK($C$6:C252))</f>
        <v xml:space="preserve"> </v>
      </c>
      <c r="B252" s="178"/>
      <c r="C252" s="178"/>
      <c r="D252" s="193"/>
      <c r="E252" s="193"/>
      <c r="F252" s="180"/>
      <c r="G252" s="180"/>
      <c r="H252" s="180"/>
      <c r="I252" s="180"/>
      <c r="J252" s="180"/>
      <c r="K252" s="180"/>
      <c r="L252" s="180"/>
      <c r="M252" s="181"/>
      <c r="N252" s="163" t="str">
        <f t="shared" si="15"/>
        <v/>
      </c>
      <c r="O252" s="126" t="str">
        <f t="shared" si="16"/>
        <v>-</v>
      </c>
      <c r="P252" s="164"/>
      <c r="Q252" s="164"/>
      <c r="R252" s="164"/>
      <c r="S252" s="164"/>
      <c r="T252" s="164"/>
      <c r="U252" s="164"/>
      <c r="V252" s="165"/>
    </row>
    <row r="253" spans="1:25" ht="27" customHeight="1">
      <c r="A253" s="192" t="str">
        <f>IF(ISBLANK(C253)," ",248-COUNTBLANK($C$6:C253))</f>
        <v xml:space="preserve"> </v>
      </c>
      <c r="B253" s="178"/>
      <c r="C253" s="178"/>
      <c r="D253" s="193"/>
      <c r="E253" s="193"/>
      <c r="F253" s="180"/>
      <c r="G253" s="180"/>
      <c r="H253" s="180"/>
      <c r="I253" s="180"/>
      <c r="J253" s="180"/>
      <c r="K253" s="180"/>
      <c r="L253" s="180"/>
      <c r="M253" s="181"/>
      <c r="N253" s="163" t="str">
        <f t="shared" si="15"/>
        <v/>
      </c>
      <c r="O253" s="126" t="str">
        <f t="shared" si="16"/>
        <v>-</v>
      </c>
      <c r="P253" s="164"/>
      <c r="Q253" s="164"/>
      <c r="R253" s="164"/>
      <c r="S253" s="164"/>
      <c r="T253" s="164"/>
      <c r="U253" s="164"/>
      <c r="V253" s="165"/>
    </row>
    <row r="254" spans="1:25" ht="27" customHeight="1">
      <c r="A254" s="192" t="str">
        <f>IF(ISBLANK(C254)," ",249-COUNTBLANK($C$6:C254))</f>
        <v xml:space="preserve"> </v>
      </c>
      <c r="B254" s="178"/>
      <c r="C254" s="178"/>
      <c r="D254" s="193"/>
      <c r="E254" s="193"/>
      <c r="F254" s="180"/>
      <c r="G254" s="180"/>
      <c r="H254" s="180"/>
      <c r="I254" s="180"/>
      <c r="J254" s="180"/>
      <c r="K254" s="180"/>
      <c r="L254" s="180"/>
      <c r="M254" s="181"/>
      <c r="N254" s="163" t="str">
        <f t="shared" si="15"/>
        <v/>
      </c>
      <c r="O254" s="126" t="str">
        <f t="shared" si="16"/>
        <v>-</v>
      </c>
      <c r="P254" s="164"/>
      <c r="Q254" s="164"/>
      <c r="R254" s="164"/>
      <c r="S254" s="164"/>
      <c r="T254" s="164"/>
      <c r="U254" s="164"/>
      <c r="V254" s="165"/>
    </row>
    <row r="255" spans="1:25" ht="27" customHeight="1">
      <c r="A255" s="192" t="str">
        <f>IF(ISBLANK(C255)," ",250-COUNTBLANK($C$6:C255))</f>
        <v xml:space="preserve"> </v>
      </c>
      <c r="B255" s="178"/>
      <c r="C255" s="178"/>
      <c r="D255" s="193"/>
      <c r="E255" s="193"/>
      <c r="F255" s="180"/>
      <c r="G255" s="180"/>
      <c r="H255" s="180"/>
      <c r="I255" s="180"/>
      <c r="J255" s="180"/>
      <c r="K255" s="180"/>
      <c r="L255" s="180"/>
      <c r="M255" s="181"/>
      <c r="N255" s="163" t="str">
        <f t="shared" si="15"/>
        <v/>
      </c>
      <c r="O255" s="126" t="str">
        <f t="shared" si="16"/>
        <v>-</v>
      </c>
      <c r="P255" s="164"/>
      <c r="Q255" s="164"/>
      <c r="R255" s="164"/>
      <c r="S255" s="164"/>
      <c r="T255" s="164"/>
      <c r="U255" s="164"/>
      <c r="V255" s="165"/>
    </row>
    <row r="256" spans="1:25" ht="27" customHeight="1">
      <c r="A256" s="192" t="str">
        <f>IF(ISBLANK(C256)," ",251-COUNTBLANK($C$6:C256))</f>
        <v xml:space="preserve"> </v>
      </c>
      <c r="B256" s="178"/>
      <c r="C256" s="178"/>
      <c r="D256" s="193"/>
      <c r="E256" s="193"/>
      <c r="F256" s="180"/>
      <c r="G256" s="180"/>
      <c r="H256" s="180"/>
      <c r="I256" s="180"/>
      <c r="J256" s="180"/>
      <c r="K256" s="180"/>
      <c r="L256" s="180"/>
      <c r="M256" s="181"/>
      <c r="N256" s="163" t="str">
        <f t="shared" si="15"/>
        <v/>
      </c>
      <c r="O256" s="126" t="str">
        <f t="shared" si="16"/>
        <v>-</v>
      </c>
      <c r="P256" s="164"/>
      <c r="Q256" s="164"/>
      <c r="R256" s="164"/>
      <c r="S256" s="164"/>
      <c r="T256" s="164"/>
      <c r="U256" s="164"/>
      <c r="V256" s="166"/>
      <c r="W256" s="164"/>
      <c r="X256" s="164"/>
      <c r="Y256" s="164"/>
    </row>
    <row r="257" spans="1:25" ht="27" customHeight="1">
      <c r="A257" s="172" t="s">
        <v>44</v>
      </c>
      <c r="B257" s="173"/>
      <c r="C257" s="174"/>
      <c r="D257" s="194"/>
      <c r="E257" s="194">
        <f>SUM(E237:E256)</f>
        <v>0</v>
      </c>
      <c r="F257" s="176"/>
      <c r="G257" s="176"/>
      <c r="H257" s="176"/>
      <c r="I257" s="176"/>
      <c r="J257" s="176"/>
      <c r="K257" s="176"/>
      <c r="L257" s="176"/>
      <c r="M257" s="177"/>
      <c r="N257" s="163" t="str">
        <f t="shared" si="15"/>
        <v/>
      </c>
      <c r="O257" s="126"/>
      <c r="P257" s="164"/>
      <c r="Q257" s="164"/>
      <c r="R257" s="164"/>
      <c r="S257" s="164"/>
      <c r="T257" s="164"/>
      <c r="U257" s="164"/>
      <c r="V257" s="166"/>
      <c r="W257" s="164"/>
      <c r="X257" s="164"/>
      <c r="Y257" s="164"/>
    </row>
    <row r="258" spans="1:25" ht="27" customHeight="1">
      <c r="A258" s="187" t="str">
        <f>IF(ISBLANK(C258)," ",253-COUNTBLANK($C$6:C258))</f>
        <v xml:space="preserve"> </v>
      </c>
      <c r="B258" s="188"/>
      <c r="C258" s="188"/>
      <c r="D258" s="189"/>
      <c r="E258" s="189"/>
      <c r="F258" s="190"/>
      <c r="G258" s="190"/>
      <c r="H258" s="190"/>
      <c r="I258" s="190"/>
      <c r="J258" s="190"/>
      <c r="K258" s="190"/>
      <c r="L258" s="190"/>
      <c r="M258" s="191"/>
      <c r="N258" s="163" t="str">
        <f>CONCATENATE(C258,H258)</f>
        <v/>
      </c>
      <c r="O258" s="126" t="str">
        <f>IF(D258&gt;=E258,"-","ERR")</f>
        <v>-</v>
      </c>
      <c r="P258" s="164"/>
      <c r="Q258" s="164"/>
      <c r="R258" s="164"/>
      <c r="S258" s="164"/>
      <c r="T258" s="164"/>
      <c r="U258" s="164"/>
      <c r="V258" s="164"/>
    </row>
    <row r="259" spans="1:25" ht="27" customHeight="1">
      <c r="A259" s="192" t="str">
        <f>IF(ISBLANK(C259)," ",254-COUNTBLANK($C$6:C259))</f>
        <v xml:space="preserve"> </v>
      </c>
      <c r="B259" s="178"/>
      <c r="C259" s="178"/>
      <c r="D259" s="193"/>
      <c r="E259" s="193"/>
      <c r="F259" s="180"/>
      <c r="G259" s="180"/>
      <c r="H259" s="180"/>
      <c r="I259" s="180"/>
      <c r="J259" s="180"/>
      <c r="K259" s="180"/>
      <c r="L259" s="180"/>
      <c r="M259" s="181"/>
      <c r="N259" s="163" t="str">
        <f t="shared" ref="N259:N278" si="17">CONCATENATE(C259,H259)</f>
        <v/>
      </c>
      <c r="O259" s="126" t="str">
        <f t="shared" ref="O259:O277" si="18">IF(D259&gt;=E259,"-","ERR")</f>
        <v>-</v>
      </c>
      <c r="P259" s="164"/>
      <c r="Q259" s="164"/>
      <c r="R259" s="164"/>
      <c r="S259" s="164"/>
      <c r="T259" s="164"/>
      <c r="U259" s="164"/>
      <c r="V259" s="164"/>
    </row>
    <row r="260" spans="1:25" ht="27" customHeight="1">
      <c r="A260" s="192" t="str">
        <f>IF(ISBLANK(C260)," ",255-COUNTBLANK($C$6:C260))</f>
        <v xml:space="preserve"> </v>
      </c>
      <c r="B260" s="178"/>
      <c r="C260" s="178"/>
      <c r="D260" s="193"/>
      <c r="E260" s="193"/>
      <c r="F260" s="180"/>
      <c r="G260" s="180"/>
      <c r="H260" s="180"/>
      <c r="I260" s="180"/>
      <c r="J260" s="180"/>
      <c r="K260" s="180"/>
      <c r="L260" s="180"/>
      <c r="M260" s="181"/>
      <c r="N260" s="163" t="str">
        <f t="shared" si="17"/>
        <v/>
      </c>
      <c r="O260" s="126" t="str">
        <f t="shared" si="18"/>
        <v>-</v>
      </c>
      <c r="P260" s="164"/>
      <c r="Q260" s="164"/>
      <c r="R260" s="164"/>
      <c r="S260" s="164"/>
      <c r="T260" s="164"/>
      <c r="U260" s="164"/>
      <c r="V260" s="164"/>
    </row>
    <row r="261" spans="1:25" ht="27" customHeight="1">
      <c r="A261" s="192" t="str">
        <f>IF(ISBLANK(C261)," ",256-COUNTBLANK($C$6:C261))</f>
        <v xml:space="preserve"> </v>
      </c>
      <c r="B261" s="178"/>
      <c r="C261" s="178"/>
      <c r="D261" s="193"/>
      <c r="E261" s="193"/>
      <c r="F261" s="180"/>
      <c r="G261" s="180"/>
      <c r="H261" s="180"/>
      <c r="I261" s="180"/>
      <c r="J261" s="180"/>
      <c r="K261" s="180"/>
      <c r="L261" s="180"/>
      <c r="M261" s="181"/>
      <c r="N261" s="163" t="str">
        <f t="shared" si="17"/>
        <v/>
      </c>
      <c r="O261" s="126" t="str">
        <f t="shared" si="18"/>
        <v>-</v>
      </c>
      <c r="P261" s="164"/>
      <c r="Q261" s="164"/>
      <c r="R261" s="164"/>
      <c r="S261" s="164"/>
      <c r="T261" s="164"/>
      <c r="U261" s="164"/>
      <c r="V261" s="164"/>
    </row>
    <row r="262" spans="1:25" ht="27" customHeight="1">
      <c r="A262" s="192" t="str">
        <f>IF(ISBLANK(C262)," ",257-COUNTBLANK($C$6:C262))</f>
        <v xml:space="preserve"> </v>
      </c>
      <c r="B262" s="178"/>
      <c r="C262" s="178"/>
      <c r="D262" s="193"/>
      <c r="E262" s="193"/>
      <c r="F262" s="180"/>
      <c r="G262" s="180"/>
      <c r="H262" s="180"/>
      <c r="I262" s="180"/>
      <c r="J262" s="180"/>
      <c r="K262" s="180"/>
      <c r="L262" s="180"/>
      <c r="M262" s="181"/>
      <c r="N262" s="163" t="str">
        <f t="shared" si="17"/>
        <v/>
      </c>
      <c r="O262" s="126" t="str">
        <f t="shared" si="18"/>
        <v>-</v>
      </c>
      <c r="P262" s="164"/>
      <c r="Q262" s="164"/>
      <c r="R262" s="164"/>
      <c r="S262" s="164"/>
      <c r="T262" s="164"/>
      <c r="U262" s="164"/>
      <c r="V262" s="164"/>
    </row>
    <row r="263" spans="1:25" ht="27" customHeight="1">
      <c r="A263" s="192" t="str">
        <f>IF(ISBLANK(C263)," ",258-COUNTBLANK($C$6:C263))</f>
        <v xml:space="preserve"> </v>
      </c>
      <c r="B263" s="178"/>
      <c r="C263" s="178"/>
      <c r="D263" s="193"/>
      <c r="E263" s="193"/>
      <c r="F263" s="180"/>
      <c r="G263" s="180"/>
      <c r="H263" s="180"/>
      <c r="I263" s="180"/>
      <c r="J263" s="180"/>
      <c r="K263" s="180"/>
      <c r="L263" s="180"/>
      <c r="M263" s="181"/>
      <c r="N263" s="163" t="str">
        <f t="shared" si="17"/>
        <v/>
      </c>
      <c r="O263" s="126" t="str">
        <f t="shared" si="18"/>
        <v>-</v>
      </c>
      <c r="P263" s="164"/>
      <c r="Q263" s="164"/>
      <c r="R263" s="164"/>
      <c r="S263" s="164"/>
      <c r="T263" s="164"/>
      <c r="U263" s="164"/>
      <c r="V263" s="164"/>
    </row>
    <row r="264" spans="1:25" ht="27" customHeight="1">
      <c r="A264" s="192" t="str">
        <f>IF(ISBLANK(C264)," ",259-COUNTBLANK($C$6:C264))</f>
        <v xml:space="preserve"> </v>
      </c>
      <c r="B264" s="178"/>
      <c r="C264" s="178"/>
      <c r="D264" s="193"/>
      <c r="E264" s="193"/>
      <c r="F264" s="180"/>
      <c r="G264" s="180"/>
      <c r="H264" s="180"/>
      <c r="I264" s="180"/>
      <c r="J264" s="180"/>
      <c r="K264" s="180"/>
      <c r="L264" s="180"/>
      <c r="M264" s="181"/>
      <c r="N264" s="163" t="str">
        <f t="shared" si="17"/>
        <v/>
      </c>
      <c r="O264" s="126" t="str">
        <f t="shared" si="18"/>
        <v>-</v>
      </c>
      <c r="P264" s="164"/>
      <c r="Q264" s="164"/>
      <c r="R264" s="164"/>
      <c r="S264" s="164"/>
      <c r="T264" s="164"/>
      <c r="U264" s="164"/>
      <c r="V264" s="164"/>
    </row>
    <row r="265" spans="1:25" ht="27" customHeight="1">
      <c r="A265" s="192" t="str">
        <f>IF(ISBLANK(C265)," ",260-COUNTBLANK($C$6:C265))</f>
        <v xml:space="preserve"> </v>
      </c>
      <c r="B265" s="178"/>
      <c r="C265" s="178"/>
      <c r="D265" s="193"/>
      <c r="E265" s="193"/>
      <c r="F265" s="180"/>
      <c r="G265" s="180"/>
      <c r="H265" s="180"/>
      <c r="I265" s="180"/>
      <c r="J265" s="180"/>
      <c r="K265" s="180"/>
      <c r="L265" s="180"/>
      <c r="M265" s="181"/>
      <c r="N265" s="163" t="str">
        <f t="shared" si="17"/>
        <v/>
      </c>
      <c r="O265" s="126" t="str">
        <f t="shared" si="18"/>
        <v>-</v>
      </c>
      <c r="P265" s="164"/>
      <c r="Q265" s="164"/>
      <c r="R265" s="164"/>
      <c r="S265" s="164"/>
      <c r="T265" s="164"/>
      <c r="U265" s="164"/>
      <c r="V265" s="164"/>
    </row>
    <row r="266" spans="1:25" ht="27" customHeight="1">
      <c r="A266" s="192" t="str">
        <f>IF(ISBLANK(C266)," ",261-COUNTBLANK($C$6:C266))</f>
        <v xml:space="preserve"> </v>
      </c>
      <c r="B266" s="178"/>
      <c r="C266" s="178"/>
      <c r="D266" s="193"/>
      <c r="E266" s="193"/>
      <c r="F266" s="180"/>
      <c r="G266" s="180"/>
      <c r="H266" s="180"/>
      <c r="I266" s="180"/>
      <c r="J266" s="180"/>
      <c r="K266" s="180"/>
      <c r="L266" s="180"/>
      <c r="M266" s="181"/>
      <c r="N266" s="163" t="str">
        <f t="shared" si="17"/>
        <v/>
      </c>
      <c r="O266" s="126" t="str">
        <f t="shared" si="18"/>
        <v>-</v>
      </c>
      <c r="P266" s="164"/>
      <c r="Q266" s="164"/>
      <c r="R266" s="164"/>
      <c r="S266" s="164"/>
      <c r="T266" s="164"/>
      <c r="U266" s="164"/>
      <c r="V266" s="164"/>
    </row>
    <row r="267" spans="1:25" ht="27" customHeight="1">
      <c r="A267" s="192" t="str">
        <f>IF(ISBLANK(C267)," ",262-COUNTBLANK($C$6:C267))</f>
        <v xml:space="preserve"> </v>
      </c>
      <c r="B267" s="178"/>
      <c r="C267" s="178"/>
      <c r="D267" s="193"/>
      <c r="E267" s="193"/>
      <c r="F267" s="180"/>
      <c r="G267" s="180"/>
      <c r="H267" s="180"/>
      <c r="I267" s="180"/>
      <c r="J267" s="180"/>
      <c r="K267" s="180"/>
      <c r="L267" s="180"/>
      <c r="M267" s="181"/>
      <c r="N267" s="163" t="str">
        <f t="shared" si="17"/>
        <v/>
      </c>
      <c r="O267" s="126" t="str">
        <f t="shared" si="18"/>
        <v>-</v>
      </c>
      <c r="P267" s="164"/>
      <c r="Q267" s="164"/>
      <c r="R267" s="164"/>
      <c r="S267" s="164"/>
      <c r="T267" s="164"/>
      <c r="U267" s="164"/>
      <c r="V267" s="164"/>
    </row>
    <row r="268" spans="1:25" ht="27" customHeight="1">
      <c r="A268" s="192" t="str">
        <f>IF(ISBLANK(C268)," ",263-COUNTBLANK($C$6:C268))</f>
        <v xml:space="preserve"> </v>
      </c>
      <c r="B268" s="178"/>
      <c r="C268" s="178"/>
      <c r="D268" s="193"/>
      <c r="E268" s="193"/>
      <c r="F268" s="180"/>
      <c r="G268" s="180"/>
      <c r="H268" s="180"/>
      <c r="I268" s="180"/>
      <c r="J268" s="180"/>
      <c r="K268" s="180"/>
      <c r="L268" s="180"/>
      <c r="M268" s="181"/>
      <c r="N268" s="163" t="str">
        <f t="shared" si="17"/>
        <v/>
      </c>
      <c r="O268" s="126" t="str">
        <f t="shared" si="18"/>
        <v>-</v>
      </c>
      <c r="P268" s="164"/>
      <c r="Q268" s="164"/>
      <c r="R268" s="164"/>
      <c r="S268" s="164"/>
      <c r="T268" s="164"/>
      <c r="U268" s="164"/>
      <c r="V268" s="164"/>
    </row>
    <row r="269" spans="1:25" ht="27" customHeight="1">
      <c r="A269" s="192" t="str">
        <f>IF(ISBLANK(C269)," ",264-COUNTBLANK($C$6:C269))</f>
        <v xml:space="preserve"> </v>
      </c>
      <c r="B269" s="178"/>
      <c r="C269" s="178"/>
      <c r="D269" s="193"/>
      <c r="E269" s="193"/>
      <c r="F269" s="180"/>
      <c r="G269" s="180"/>
      <c r="H269" s="180"/>
      <c r="I269" s="180"/>
      <c r="J269" s="180"/>
      <c r="K269" s="180"/>
      <c r="L269" s="180"/>
      <c r="M269" s="181"/>
      <c r="N269" s="163" t="str">
        <f t="shared" si="17"/>
        <v/>
      </c>
      <c r="O269" s="126" t="str">
        <f t="shared" si="18"/>
        <v>-</v>
      </c>
      <c r="P269" s="164"/>
      <c r="Q269" s="164"/>
      <c r="R269" s="164"/>
      <c r="S269" s="164"/>
      <c r="T269" s="164"/>
      <c r="U269" s="164"/>
      <c r="V269" s="164"/>
    </row>
    <row r="270" spans="1:25" ht="27" customHeight="1">
      <c r="A270" s="192" t="str">
        <f>IF(ISBLANK(C270)," ",265-COUNTBLANK($C$6:C270))</f>
        <v xml:space="preserve"> </v>
      </c>
      <c r="B270" s="178"/>
      <c r="C270" s="178"/>
      <c r="D270" s="193"/>
      <c r="E270" s="193"/>
      <c r="F270" s="180"/>
      <c r="G270" s="180"/>
      <c r="H270" s="180"/>
      <c r="I270" s="180"/>
      <c r="J270" s="180"/>
      <c r="K270" s="180"/>
      <c r="L270" s="180"/>
      <c r="M270" s="181"/>
      <c r="N270" s="163" t="str">
        <f t="shared" si="17"/>
        <v/>
      </c>
      <c r="O270" s="126" t="str">
        <f t="shared" si="18"/>
        <v>-</v>
      </c>
      <c r="P270" s="164"/>
      <c r="Q270" s="164"/>
      <c r="R270" s="164"/>
      <c r="S270" s="164"/>
      <c r="T270" s="164"/>
      <c r="U270" s="164"/>
      <c r="V270" s="164"/>
    </row>
    <row r="271" spans="1:25" ht="27" customHeight="1">
      <c r="A271" s="192" t="str">
        <f>IF(ISBLANK(C271)," ",266-COUNTBLANK($C$6:C271))</f>
        <v xml:space="preserve"> </v>
      </c>
      <c r="B271" s="178"/>
      <c r="C271" s="178"/>
      <c r="D271" s="193"/>
      <c r="E271" s="193"/>
      <c r="F271" s="180"/>
      <c r="G271" s="180"/>
      <c r="H271" s="180"/>
      <c r="I271" s="180"/>
      <c r="J271" s="180"/>
      <c r="K271" s="180"/>
      <c r="L271" s="180"/>
      <c r="M271" s="181"/>
      <c r="N271" s="163" t="str">
        <f t="shared" si="17"/>
        <v/>
      </c>
      <c r="O271" s="126" t="str">
        <f t="shared" si="18"/>
        <v>-</v>
      </c>
      <c r="P271" s="164"/>
      <c r="Q271" s="164"/>
      <c r="R271" s="164"/>
      <c r="S271" s="164"/>
      <c r="T271" s="164"/>
      <c r="U271" s="164"/>
      <c r="V271" s="164"/>
    </row>
    <row r="272" spans="1:25" ht="27" customHeight="1">
      <c r="A272" s="192" t="str">
        <f>IF(ISBLANK(C272)," ",267-COUNTBLANK($C$6:C272))</f>
        <v xml:space="preserve"> </v>
      </c>
      <c r="B272" s="178"/>
      <c r="C272" s="178"/>
      <c r="D272" s="193"/>
      <c r="E272" s="193"/>
      <c r="F272" s="180"/>
      <c r="G272" s="180"/>
      <c r="H272" s="180"/>
      <c r="I272" s="180"/>
      <c r="J272" s="180"/>
      <c r="K272" s="180"/>
      <c r="L272" s="180"/>
      <c r="M272" s="181"/>
      <c r="N272" s="163" t="str">
        <f t="shared" si="17"/>
        <v/>
      </c>
      <c r="O272" s="126" t="str">
        <f t="shared" si="18"/>
        <v>-</v>
      </c>
      <c r="P272" s="164"/>
      <c r="Q272" s="164"/>
      <c r="R272" s="164"/>
      <c r="S272" s="164"/>
      <c r="T272" s="164"/>
      <c r="U272" s="164"/>
      <c r="V272" s="164"/>
    </row>
    <row r="273" spans="1:25" ht="27" customHeight="1">
      <c r="A273" s="192" t="str">
        <f>IF(ISBLANK(C273)," ",268-COUNTBLANK($C$6:C273))</f>
        <v xml:space="preserve"> </v>
      </c>
      <c r="B273" s="178"/>
      <c r="C273" s="178"/>
      <c r="D273" s="193"/>
      <c r="E273" s="193"/>
      <c r="F273" s="180"/>
      <c r="G273" s="180"/>
      <c r="H273" s="180"/>
      <c r="I273" s="180"/>
      <c r="J273" s="180"/>
      <c r="K273" s="180"/>
      <c r="L273" s="180"/>
      <c r="M273" s="181"/>
      <c r="N273" s="163" t="str">
        <f t="shared" si="17"/>
        <v/>
      </c>
      <c r="O273" s="126" t="str">
        <f t="shared" si="18"/>
        <v>-</v>
      </c>
      <c r="P273" s="164"/>
      <c r="Q273" s="164"/>
      <c r="R273" s="164"/>
      <c r="S273" s="164"/>
      <c r="T273" s="164"/>
      <c r="U273" s="164"/>
      <c r="V273" s="165"/>
    </row>
    <row r="274" spans="1:25" ht="27" customHeight="1">
      <c r="A274" s="192" t="str">
        <f>IF(ISBLANK(C274)," ",269-COUNTBLANK($C$6:C274))</f>
        <v xml:space="preserve"> </v>
      </c>
      <c r="B274" s="178"/>
      <c r="C274" s="178"/>
      <c r="D274" s="193"/>
      <c r="E274" s="193"/>
      <c r="F274" s="180"/>
      <c r="G274" s="180"/>
      <c r="H274" s="180"/>
      <c r="I274" s="180"/>
      <c r="J274" s="180"/>
      <c r="K274" s="180"/>
      <c r="L274" s="180"/>
      <c r="M274" s="181"/>
      <c r="N274" s="163" t="str">
        <f t="shared" si="17"/>
        <v/>
      </c>
      <c r="O274" s="126" t="str">
        <f t="shared" si="18"/>
        <v>-</v>
      </c>
      <c r="P274" s="164"/>
      <c r="Q274" s="164"/>
      <c r="R274" s="164"/>
      <c r="S274" s="164"/>
      <c r="T274" s="164"/>
      <c r="U274" s="164"/>
      <c r="V274" s="165"/>
    </row>
    <row r="275" spans="1:25" ht="27" customHeight="1">
      <c r="A275" s="192" t="str">
        <f>IF(ISBLANK(C275)," ",270-COUNTBLANK($C$6:C275))</f>
        <v xml:space="preserve"> </v>
      </c>
      <c r="B275" s="178"/>
      <c r="C275" s="178"/>
      <c r="D275" s="193"/>
      <c r="E275" s="193"/>
      <c r="F275" s="180"/>
      <c r="G275" s="180"/>
      <c r="H275" s="180"/>
      <c r="I275" s="180"/>
      <c r="J275" s="180"/>
      <c r="K275" s="180"/>
      <c r="L275" s="180"/>
      <c r="M275" s="181"/>
      <c r="N275" s="163" t="str">
        <f t="shared" si="17"/>
        <v/>
      </c>
      <c r="O275" s="126" t="str">
        <f t="shared" si="18"/>
        <v>-</v>
      </c>
      <c r="P275" s="164"/>
      <c r="Q275" s="164"/>
      <c r="R275" s="164"/>
      <c r="S275" s="164"/>
      <c r="T275" s="164"/>
      <c r="U275" s="164"/>
      <c r="V275" s="165"/>
    </row>
    <row r="276" spans="1:25" ht="27" customHeight="1">
      <c r="A276" s="192" t="str">
        <f>IF(ISBLANK(C276)," ",271-COUNTBLANK($C$6:C276))</f>
        <v xml:space="preserve"> </v>
      </c>
      <c r="B276" s="178"/>
      <c r="C276" s="178"/>
      <c r="D276" s="193"/>
      <c r="E276" s="193"/>
      <c r="F276" s="180"/>
      <c r="G276" s="180"/>
      <c r="H276" s="180"/>
      <c r="I276" s="180"/>
      <c r="J276" s="180"/>
      <c r="K276" s="180"/>
      <c r="L276" s="180"/>
      <c r="M276" s="181"/>
      <c r="N276" s="163" t="str">
        <f t="shared" si="17"/>
        <v/>
      </c>
      <c r="O276" s="126" t="str">
        <f t="shared" si="18"/>
        <v>-</v>
      </c>
      <c r="P276" s="164"/>
      <c r="Q276" s="164"/>
      <c r="R276" s="164"/>
      <c r="S276" s="164"/>
      <c r="T276" s="164"/>
      <c r="U276" s="164"/>
      <c r="V276" s="165"/>
    </row>
    <row r="277" spans="1:25" ht="27" customHeight="1">
      <c r="A277" s="192" t="str">
        <f>IF(ISBLANK(C277)," ",272-COUNTBLANK($C$6:C277))</f>
        <v xml:space="preserve"> </v>
      </c>
      <c r="B277" s="178"/>
      <c r="C277" s="178"/>
      <c r="D277" s="193"/>
      <c r="E277" s="193"/>
      <c r="F277" s="180"/>
      <c r="G277" s="180"/>
      <c r="H277" s="180"/>
      <c r="I277" s="180"/>
      <c r="J277" s="180"/>
      <c r="K277" s="180"/>
      <c r="L277" s="180"/>
      <c r="M277" s="181"/>
      <c r="N277" s="163" t="str">
        <f t="shared" si="17"/>
        <v/>
      </c>
      <c r="O277" s="126" t="str">
        <f t="shared" si="18"/>
        <v>-</v>
      </c>
      <c r="P277" s="164"/>
      <c r="Q277" s="164"/>
      <c r="R277" s="164"/>
      <c r="S277" s="164"/>
      <c r="T277" s="164"/>
      <c r="U277" s="164"/>
      <c r="V277" s="166"/>
      <c r="W277" s="164"/>
      <c r="X277" s="164"/>
      <c r="Y277" s="164"/>
    </row>
    <row r="278" spans="1:25" ht="27" customHeight="1">
      <c r="A278" s="172" t="s">
        <v>44</v>
      </c>
      <c r="B278" s="173"/>
      <c r="C278" s="174"/>
      <c r="D278" s="194"/>
      <c r="E278" s="194">
        <f>SUM(E258:E277)</f>
        <v>0</v>
      </c>
      <c r="F278" s="176"/>
      <c r="G278" s="176"/>
      <c r="H278" s="176"/>
      <c r="I278" s="176"/>
      <c r="J278" s="176"/>
      <c r="K278" s="176"/>
      <c r="L278" s="176"/>
      <c r="M278" s="177"/>
      <c r="N278" s="163" t="str">
        <f t="shared" si="17"/>
        <v/>
      </c>
      <c r="O278" s="126"/>
      <c r="P278" s="164"/>
      <c r="Q278" s="164"/>
      <c r="R278" s="164"/>
      <c r="S278" s="164"/>
      <c r="T278" s="164"/>
      <c r="U278" s="164"/>
      <c r="V278" s="166"/>
      <c r="W278" s="164"/>
      <c r="X278" s="164"/>
      <c r="Y278" s="164"/>
    </row>
    <row r="279" spans="1:25" ht="27" customHeight="1">
      <c r="A279" s="187" t="str">
        <f>IF(ISBLANK(C279)," ",274-COUNTBLANK($C$6:C279))</f>
        <v xml:space="preserve"> </v>
      </c>
      <c r="B279" s="188"/>
      <c r="C279" s="188"/>
      <c r="D279" s="189"/>
      <c r="E279" s="189"/>
      <c r="F279" s="190"/>
      <c r="G279" s="190"/>
      <c r="H279" s="190"/>
      <c r="I279" s="190"/>
      <c r="J279" s="190"/>
      <c r="K279" s="190"/>
      <c r="L279" s="190"/>
      <c r="M279" s="191"/>
      <c r="N279" s="163" t="str">
        <f>CONCATENATE(C279,H279)</f>
        <v/>
      </c>
      <c r="O279" s="126" t="str">
        <f>IF(D279&gt;=E279,"-","ERR")</f>
        <v>-</v>
      </c>
      <c r="P279" s="164"/>
      <c r="Q279" s="164"/>
      <c r="R279" s="164"/>
      <c r="S279" s="164"/>
      <c r="T279" s="164"/>
      <c r="U279" s="164"/>
      <c r="V279" s="164"/>
    </row>
    <row r="280" spans="1:25" ht="27" customHeight="1">
      <c r="A280" s="192" t="str">
        <f>IF(ISBLANK(C280)," ",275-COUNTBLANK($C$6:C280))</f>
        <v xml:space="preserve"> </v>
      </c>
      <c r="B280" s="178"/>
      <c r="C280" s="178"/>
      <c r="D280" s="193"/>
      <c r="E280" s="193"/>
      <c r="F280" s="180"/>
      <c r="G280" s="180"/>
      <c r="H280" s="180"/>
      <c r="I280" s="180"/>
      <c r="J280" s="180"/>
      <c r="K280" s="180"/>
      <c r="L280" s="180"/>
      <c r="M280" s="181"/>
      <c r="N280" s="163" t="str">
        <f t="shared" ref="N280:N299" si="19">CONCATENATE(C280,H280)</f>
        <v/>
      </c>
      <c r="O280" s="126" t="str">
        <f t="shared" ref="O280:O298" si="20">IF(D280&gt;=E280,"-","ERR")</f>
        <v>-</v>
      </c>
      <c r="P280" s="164"/>
      <c r="Q280" s="164"/>
      <c r="R280" s="164"/>
      <c r="S280" s="164"/>
      <c r="T280" s="164"/>
      <c r="U280" s="164"/>
      <c r="V280" s="164"/>
    </row>
    <row r="281" spans="1:25" ht="27" customHeight="1">
      <c r="A281" s="192" t="str">
        <f>IF(ISBLANK(C281)," ",276-COUNTBLANK($C$6:C281))</f>
        <v xml:space="preserve"> </v>
      </c>
      <c r="B281" s="178"/>
      <c r="C281" s="178"/>
      <c r="D281" s="193"/>
      <c r="E281" s="193"/>
      <c r="F281" s="180"/>
      <c r="G281" s="180"/>
      <c r="H281" s="180"/>
      <c r="I281" s="180"/>
      <c r="J281" s="180"/>
      <c r="K281" s="180"/>
      <c r="L281" s="180"/>
      <c r="M281" s="181"/>
      <c r="N281" s="163" t="str">
        <f t="shared" si="19"/>
        <v/>
      </c>
      <c r="O281" s="126" t="str">
        <f t="shared" si="20"/>
        <v>-</v>
      </c>
      <c r="P281" s="164"/>
      <c r="Q281" s="164"/>
      <c r="R281" s="164"/>
      <c r="S281" s="164"/>
      <c r="T281" s="164"/>
      <c r="U281" s="164"/>
      <c r="V281" s="164"/>
    </row>
    <row r="282" spans="1:25" ht="27" customHeight="1">
      <c r="A282" s="192" t="str">
        <f>IF(ISBLANK(C282)," ",277-COUNTBLANK($C$6:C282))</f>
        <v xml:space="preserve"> </v>
      </c>
      <c r="B282" s="178"/>
      <c r="C282" s="178"/>
      <c r="D282" s="193"/>
      <c r="E282" s="193"/>
      <c r="F282" s="180"/>
      <c r="G282" s="180"/>
      <c r="H282" s="180"/>
      <c r="I282" s="180"/>
      <c r="J282" s="180"/>
      <c r="K282" s="180"/>
      <c r="L282" s="180"/>
      <c r="M282" s="181"/>
      <c r="N282" s="163" t="str">
        <f t="shared" si="19"/>
        <v/>
      </c>
      <c r="O282" s="126" t="str">
        <f t="shared" si="20"/>
        <v>-</v>
      </c>
      <c r="P282" s="164"/>
      <c r="Q282" s="164"/>
      <c r="R282" s="164"/>
      <c r="S282" s="164"/>
      <c r="T282" s="164"/>
      <c r="U282" s="164"/>
      <c r="V282" s="164"/>
    </row>
    <row r="283" spans="1:25" ht="27" customHeight="1">
      <c r="A283" s="192" t="str">
        <f>IF(ISBLANK(C283)," ",278-COUNTBLANK($C$6:C283))</f>
        <v xml:space="preserve"> </v>
      </c>
      <c r="B283" s="178"/>
      <c r="C283" s="178"/>
      <c r="D283" s="193"/>
      <c r="E283" s="193"/>
      <c r="F283" s="180"/>
      <c r="G283" s="180"/>
      <c r="H283" s="180"/>
      <c r="I283" s="180"/>
      <c r="J283" s="180"/>
      <c r="K283" s="180"/>
      <c r="L283" s="180"/>
      <c r="M283" s="181"/>
      <c r="N283" s="163" t="str">
        <f t="shared" si="19"/>
        <v/>
      </c>
      <c r="O283" s="126" t="str">
        <f t="shared" si="20"/>
        <v>-</v>
      </c>
      <c r="P283" s="164"/>
      <c r="Q283" s="164"/>
      <c r="R283" s="164"/>
      <c r="S283" s="164"/>
      <c r="T283" s="164"/>
      <c r="U283" s="164"/>
      <c r="V283" s="164"/>
    </row>
    <row r="284" spans="1:25" ht="27" customHeight="1">
      <c r="A284" s="192" t="str">
        <f>IF(ISBLANK(C284)," ",279-COUNTBLANK($C$6:C284))</f>
        <v xml:space="preserve"> </v>
      </c>
      <c r="B284" s="178"/>
      <c r="C284" s="178"/>
      <c r="D284" s="193"/>
      <c r="E284" s="193"/>
      <c r="F284" s="180"/>
      <c r="G284" s="180"/>
      <c r="H284" s="180"/>
      <c r="I284" s="180"/>
      <c r="J284" s="180"/>
      <c r="K284" s="180"/>
      <c r="L284" s="180"/>
      <c r="M284" s="181"/>
      <c r="N284" s="163" t="str">
        <f t="shared" si="19"/>
        <v/>
      </c>
      <c r="O284" s="126" t="str">
        <f t="shared" si="20"/>
        <v>-</v>
      </c>
      <c r="P284" s="164"/>
      <c r="Q284" s="164"/>
      <c r="R284" s="164"/>
      <c r="S284" s="164"/>
      <c r="T284" s="164"/>
      <c r="U284" s="164"/>
      <c r="V284" s="164"/>
    </row>
    <row r="285" spans="1:25" ht="27" customHeight="1">
      <c r="A285" s="192" t="str">
        <f>IF(ISBLANK(C285)," ",280-COUNTBLANK($C$6:C285))</f>
        <v xml:space="preserve"> </v>
      </c>
      <c r="B285" s="178"/>
      <c r="C285" s="178"/>
      <c r="D285" s="193"/>
      <c r="E285" s="193"/>
      <c r="F285" s="180"/>
      <c r="G285" s="180"/>
      <c r="H285" s="180"/>
      <c r="I285" s="180"/>
      <c r="J285" s="180"/>
      <c r="K285" s="180"/>
      <c r="L285" s="180"/>
      <c r="M285" s="181"/>
      <c r="N285" s="163" t="str">
        <f t="shared" si="19"/>
        <v/>
      </c>
      <c r="O285" s="126" t="str">
        <f t="shared" si="20"/>
        <v>-</v>
      </c>
      <c r="P285" s="164"/>
      <c r="Q285" s="164"/>
      <c r="R285" s="164"/>
      <c r="S285" s="164"/>
      <c r="T285" s="164"/>
      <c r="U285" s="164"/>
      <c r="V285" s="164"/>
    </row>
    <row r="286" spans="1:25" ht="27" customHeight="1">
      <c r="A286" s="192" t="str">
        <f>IF(ISBLANK(C286)," ",281-COUNTBLANK($C$6:C286))</f>
        <v xml:space="preserve"> </v>
      </c>
      <c r="B286" s="178"/>
      <c r="C286" s="178"/>
      <c r="D286" s="193"/>
      <c r="E286" s="193"/>
      <c r="F286" s="180"/>
      <c r="G286" s="180"/>
      <c r="H286" s="180"/>
      <c r="I286" s="180"/>
      <c r="J286" s="180"/>
      <c r="K286" s="180"/>
      <c r="L286" s="180"/>
      <c r="M286" s="181"/>
      <c r="N286" s="163" t="str">
        <f t="shared" si="19"/>
        <v/>
      </c>
      <c r="O286" s="126" t="str">
        <f t="shared" si="20"/>
        <v>-</v>
      </c>
      <c r="P286" s="164"/>
      <c r="Q286" s="164"/>
      <c r="R286" s="164"/>
      <c r="S286" s="164"/>
      <c r="T286" s="164"/>
      <c r="U286" s="164"/>
      <c r="V286" s="164"/>
    </row>
    <row r="287" spans="1:25" ht="27" customHeight="1">
      <c r="A287" s="192" t="str">
        <f>IF(ISBLANK(C287)," ",282-COUNTBLANK($C$6:C287))</f>
        <v xml:space="preserve"> </v>
      </c>
      <c r="B287" s="178"/>
      <c r="C287" s="178"/>
      <c r="D287" s="193"/>
      <c r="E287" s="193"/>
      <c r="F287" s="180"/>
      <c r="G287" s="180"/>
      <c r="H287" s="180"/>
      <c r="I287" s="180"/>
      <c r="J287" s="180"/>
      <c r="K287" s="180"/>
      <c r="L287" s="180"/>
      <c r="M287" s="181"/>
      <c r="N287" s="163" t="str">
        <f t="shared" si="19"/>
        <v/>
      </c>
      <c r="O287" s="126" t="str">
        <f t="shared" si="20"/>
        <v>-</v>
      </c>
      <c r="P287" s="164"/>
      <c r="Q287" s="164"/>
      <c r="R287" s="164"/>
      <c r="S287" s="164"/>
      <c r="T287" s="164"/>
      <c r="U287" s="164"/>
      <c r="V287" s="164"/>
    </row>
    <row r="288" spans="1:25" ht="27" customHeight="1">
      <c r="A288" s="192" t="str">
        <f>IF(ISBLANK(C288)," ",283-COUNTBLANK($C$6:C288))</f>
        <v xml:space="preserve"> </v>
      </c>
      <c r="B288" s="178"/>
      <c r="C288" s="178"/>
      <c r="D288" s="193"/>
      <c r="E288" s="193"/>
      <c r="F288" s="180"/>
      <c r="G288" s="180"/>
      <c r="H288" s="180"/>
      <c r="I288" s="180"/>
      <c r="J288" s="180"/>
      <c r="K288" s="180"/>
      <c r="L288" s="180"/>
      <c r="M288" s="181"/>
      <c r="N288" s="163" t="str">
        <f t="shared" si="19"/>
        <v/>
      </c>
      <c r="O288" s="126" t="str">
        <f t="shared" si="20"/>
        <v>-</v>
      </c>
      <c r="P288" s="164"/>
      <c r="Q288" s="164"/>
      <c r="R288" s="164"/>
      <c r="S288" s="164"/>
      <c r="T288" s="164"/>
      <c r="U288" s="164"/>
      <c r="V288" s="164"/>
    </row>
    <row r="289" spans="1:25" ht="27" customHeight="1">
      <c r="A289" s="192" t="str">
        <f>IF(ISBLANK(C289)," ",284-COUNTBLANK($C$6:C289))</f>
        <v xml:space="preserve"> </v>
      </c>
      <c r="B289" s="178"/>
      <c r="C289" s="178"/>
      <c r="D289" s="193"/>
      <c r="E289" s="193"/>
      <c r="F289" s="180"/>
      <c r="G289" s="180"/>
      <c r="H289" s="180"/>
      <c r="I289" s="180"/>
      <c r="J289" s="180"/>
      <c r="K289" s="180"/>
      <c r="L289" s="180"/>
      <c r="M289" s="181"/>
      <c r="N289" s="163" t="str">
        <f t="shared" si="19"/>
        <v/>
      </c>
      <c r="O289" s="126" t="str">
        <f t="shared" si="20"/>
        <v>-</v>
      </c>
      <c r="P289" s="164"/>
      <c r="Q289" s="164"/>
      <c r="R289" s="164"/>
      <c r="S289" s="164"/>
      <c r="T289" s="164"/>
      <c r="U289" s="164"/>
      <c r="V289" s="164"/>
    </row>
    <row r="290" spans="1:25" ht="27" customHeight="1">
      <c r="A290" s="192" t="str">
        <f>IF(ISBLANK(C290)," ",285-COUNTBLANK($C$6:C290))</f>
        <v xml:space="preserve"> </v>
      </c>
      <c r="B290" s="178"/>
      <c r="C290" s="178"/>
      <c r="D290" s="193"/>
      <c r="E290" s="193"/>
      <c r="F290" s="180"/>
      <c r="G290" s="180"/>
      <c r="H290" s="180"/>
      <c r="I290" s="180"/>
      <c r="J290" s="180"/>
      <c r="K290" s="180"/>
      <c r="L290" s="180"/>
      <c r="M290" s="181"/>
      <c r="N290" s="163" t="str">
        <f t="shared" si="19"/>
        <v/>
      </c>
      <c r="O290" s="126" t="str">
        <f t="shared" si="20"/>
        <v>-</v>
      </c>
      <c r="P290" s="164"/>
      <c r="Q290" s="164"/>
      <c r="R290" s="164"/>
      <c r="S290" s="164"/>
      <c r="T290" s="164"/>
      <c r="U290" s="164"/>
      <c r="V290" s="164"/>
    </row>
    <row r="291" spans="1:25" ht="27" customHeight="1">
      <c r="A291" s="192" t="str">
        <f>IF(ISBLANK(C291)," ",286-COUNTBLANK($C$6:C291))</f>
        <v xml:space="preserve"> </v>
      </c>
      <c r="B291" s="178"/>
      <c r="C291" s="178"/>
      <c r="D291" s="193"/>
      <c r="E291" s="193"/>
      <c r="F291" s="180"/>
      <c r="G291" s="180"/>
      <c r="H291" s="180"/>
      <c r="I291" s="180"/>
      <c r="J291" s="180"/>
      <c r="K291" s="180"/>
      <c r="L291" s="180"/>
      <c r="M291" s="181"/>
      <c r="N291" s="163" t="str">
        <f t="shared" si="19"/>
        <v/>
      </c>
      <c r="O291" s="126" t="str">
        <f t="shared" si="20"/>
        <v>-</v>
      </c>
      <c r="P291" s="164"/>
      <c r="Q291" s="164"/>
      <c r="R291" s="164"/>
      <c r="S291" s="164"/>
      <c r="T291" s="164"/>
      <c r="U291" s="164"/>
      <c r="V291" s="164"/>
    </row>
    <row r="292" spans="1:25" ht="27" customHeight="1">
      <c r="A292" s="192" t="str">
        <f>IF(ISBLANK(C292)," ",287-COUNTBLANK($C$6:C292))</f>
        <v xml:space="preserve"> </v>
      </c>
      <c r="B292" s="178"/>
      <c r="C292" s="178"/>
      <c r="D292" s="193"/>
      <c r="E292" s="193"/>
      <c r="F292" s="180"/>
      <c r="G292" s="180"/>
      <c r="H292" s="180"/>
      <c r="I292" s="180"/>
      <c r="J292" s="180"/>
      <c r="K292" s="180"/>
      <c r="L292" s="180"/>
      <c r="M292" s="181"/>
      <c r="N292" s="163" t="str">
        <f t="shared" si="19"/>
        <v/>
      </c>
      <c r="O292" s="126" t="str">
        <f t="shared" si="20"/>
        <v>-</v>
      </c>
      <c r="P292" s="164"/>
      <c r="Q292" s="164"/>
      <c r="R292" s="164"/>
      <c r="S292" s="164"/>
      <c r="T292" s="164"/>
      <c r="U292" s="164"/>
      <c r="V292" s="164"/>
    </row>
    <row r="293" spans="1:25" ht="27" customHeight="1">
      <c r="A293" s="192" t="str">
        <f>IF(ISBLANK(C293)," ",288-COUNTBLANK($C$6:C293))</f>
        <v xml:space="preserve"> </v>
      </c>
      <c r="B293" s="178"/>
      <c r="C293" s="178"/>
      <c r="D293" s="193"/>
      <c r="E293" s="193"/>
      <c r="F293" s="180"/>
      <c r="G293" s="180"/>
      <c r="H293" s="180"/>
      <c r="I293" s="180"/>
      <c r="J293" s="180"/>
      <c r="K293" s="180"/>
      <c r="L293" s="180"/>
      <c r="M293" s="181"/>
      <c r="N293" s="163" t="str">
        <f t="shared" si="19"/>
        <v/>
      </c>
      <c r="O293" s="126" t="str">
        <f t="shared" si="20"/>
        <v>-</v>
      </c>
      <c r="P293" s="164"/>
      <c r="Q293" s="164"/>
      <c r="R293" s="164"/>
      <c r="S293" s="164"/>
      <c r="T293" s="164"/>
      <c r="U293" s="164"/>
      <c r="V293" s="164"/>
    </row>
    <row r="294" spans="1:25" ht="27" customHeight="1">
      <c r="A294" s="192" t="str">
        <f>IF(ISBLANK(C294)," ",289-COUNTBLANK($C$6:C294))</f>
        <v xml:space="preserve"> </v>
      </c>
      <c r="B294" s="178"/>
      <c r="C294" s="178"/>
      <c r="D294" s="193"/>
      <c r="E294" s="193"/>
      <c r="F294" s="180"/>
      <c r="G294" s="180"/>
      <c r="H294" s="180"/>
      <c r="I294" s="180"/>
      <c r="J294" s="180"/>
      <c r="K294" s="180"/>
      <c r="L294" s="180"/>
      <c r="M294" s="181"/>
      <c r="N294" s="163" t="str">
        <f t="shared" si="19"/>
        <v/>
      </c>
      <c r="O294" s="126" t="str">
        <f t="shared" si="20"/>
        <v>-</v>
      </c>
      <c r="P294" s="164"/>
      <c r="Q294" s="164"/>
      <c r="R294" s="164"/>
      <c r="S294" s="164"/>
      <c r="T294" s="164"/>
      <c r="U294" s="164"/>
      <c r="V294" s="165"/>
    </row>
    <row r="295" spans="1:25" ht="27" customHeight="1">
      <c r="A295" s="192" t="str">
        <f>IF(ISBLANK(C295)," ",290-COUNTBLANK($C$6:C295))</f>
        <v xml:space="preserve"> </v>
      </c>
      <c r="B295" s="178"/>
      <c r="C295" s="178"/>
      <c r="D295" s="193"/>
      <c r="E295" s="193"/>
      <c r="F295" s="180"/>
      <c r="G295" s="180"/>
      <c r="H295" s="180"/>
      <c r="I295" s="180"/>
      <c r="J295" s="180"/>
      <c r="K295" s="180"/>
      <c r="L295" s="180"/>
      <c r="M295" s="181"/>
      <c r="N295" s="163" t="str">
        <f t="shared" si="19"/>
        <v/>
      </c>
      <c r="O295" s="126" t="str">
        <f t="shared" si="20"/>
        <v>-</v>
      </c>
      <c r="P295" s="164"/>
      <c r="Q295" s="164"/>
      <c r="R295" s="164"/>
      <c r="S295" s="164"/>
      <c r="T295" s="164"/>
      <c r="U295" s="164"/>
      <c r="V295" s="165"/>
    </row>
    <row r="296" spans="1:25" ht="27" customHeight="1">
      <c r="A296" s="192" t="str">
        <f>IF(ISBLANK(C296)," ",291-COUNTBLANK($C$6:C296))</f>
        <v xml:space="preserve"> </v>
      </c>
      <c r="B296" s="178"/>
      <c r="C296" s="178"/>
      <c r="D296" s="193"/>
      <c r="E296" s="193"/>
      <c r="F296" s="180"/>
      <c r="G296" s="180"/>
      <c r="H296" s="180"/>
      <c r="I296" s="180"/>
      <c r="J296" s="180"/>
      <c r="K296" s="180"/>
      <c r="L296" s="180"/>
      <c r="M296" s="181"/>
      <c r="N296" s="163" t="str">
        <f t="shared" si="19"/>
        <v/>
      </c>
      <c r="O296" s="126" t="str">
        <f t="shared" si="20"/>
        <v>-</v>
      </c>
      <c r="P296" s="164"/>
      <c r="Q296" s="164"/>
      <c r="R296" s="164"/>
      <c r="S296" s="164"/>
      <c r="T296" s="164"/>
      <c r="U296" s="164"/>
      <c r="V296" s="165"/>
    </row>
    <row r="297" spans="1:25" ht="27" customHeight="1">
      <c r="A297" s="192" t="str">
        <f>IF(ISBLANK(C297)," ",292-COUNTBLANK($C$6:C297))</f>
        <v xml:space="preserve"> </v>
      </c>
      <c r="B297" s="178"/>
      <c r="C297" s="178"/>
      <c r="D297" s="193"/>
      <c r="E297" s="193"/>
      <c r="F297" s="180"/>
      <c r="G297" s="180"/>
      <c r="H297" s="180"/>
      <c r="I297" s="180"/>
      <c r="J297" s="180"/>
      <c r="K297" s="180"/>
      <c r="L297" s="180"/>
      <c r="M297" s="181"/>
      <c r="N297" s="163" t="str">
        <f t="shared" si="19"/>
        <v/>
      </c>
      <c r="O297" s="126" t="str">
        <f t="shared" si="20"/>
        <v>-</v>
      </c>
      <c r="P297" s="164"/>
      <c r="Q297" s="164"/>
      <c r="R297" s="164"/>
      <c r="S297" s="164"/>
      <c r="T297" s="164"/>
      <c r="U297" s="164"/>
      <c r="V297" s="165"/>
    </row>
    <row r="298" spans="1:25" ht="27" customHeight="1">
      <c r="A298" s="192" t="str">
        <f>IF(ISBLANK(C298)," ",293-COUNTBLANK($C$6:C298))</f>
        <v xml:space="preserve"> </v>
      </c>
      <c r="B298" s="178"/>
      <c r="C298" s="178"/>
      <c r="D298" s="193"/>
      <c r="E298" s="193"/>
      <c r="F298" s="180"/>
      <c r="G298" s="180"/>
      <c r="H298" s="180"/>
      <c r="I298" s="180"/>
      <c r="J298" s="180"/>
      <c r="K298" s="180"/>
      <c r="L298" s="180"/>
      <c r="M298" s="181"/>
      <c r="N298" s="163" t="str">
        <f t="shared" si="19"/>
        <v/>
      </c>
      <c r="O298" s="126" t="str">
        <f t="shared" si="20"/>
        <v>-</v>
      </c>
      <c r="P298" s="164"/>
      <c r="Q298" s="164"/>
      <c r="R298" s="164"/>
      <c r="S298" s="164"/>
      <c r="T298" s="164"/>
      <c r="U298" s="164"/>
      <c r="V298" s="166"/>
      <c r="W298" s="164"/>
      <c r="X298" s="164"/>
      <c r="Y298" s="164"/>
    </row>
    <row r="299" spans="1:25" ht="27" customHeight="1">
      <c r="A299" s="172" t="s">
        <v>44</v>
      </c>
      <c r="B299" s="173"/>
      <c r="C299" s="174"/>
      <c r="D299" s="194"/>
      <c r="E299" s="194">
        <f>SUM(E279:E298)</f>
        <v>0</v>
      </c>
      <c r="F299" s="176"/>
      <c r="G299" s="176"/>
      <c r="H299" s="176"/>
      <c r="I299" s="176"/>
      <c r="J299" s="176"/>
      <c r="K299" s="176"/>
      <c r="L299" s="176"/>
      <c r="M299" s="177"/>
      <c r="N299" s="163" t="str">
        <f t="shared" si="19"/>
        <v/>
      </c>
      <c r="O299" s="126"/>
      <c r="P299" s="164"/>
      <c r="Q299" s="164"/>
      <c r="R299" s="164"/>
      <c r="S299" s="164"/>
      <c r="T299" s="164"/>
      <c r="U299" s="164"/>
      <c r="V299" s="166"/>
      <c r="W299" s="164"/>
      <c r="X299" s="164"/>
      <c r="Y299" s="164"/>
    </row>
    <row r="300" spans="1:25" ht="27" customHeight="1">
      <c r="A300" s="187" t="str">
        <f>IF(ISBLANK(C300)," ",295-COUNTBLANK($C$6:C300))</f>
        <v xml:space="preserve"> </v>
      </c>
      <c r="B300" s="188"/>
      <c r="C300" s="188"/>
      <c r="D300" s="189"/>
      <c r="E300" s="189"/>
      <c r="F300" s="190"/>
      <c r="G300" s="190"/>
      <c r="H300" s="190"/>
      <c r="I300" s="190"/>
      <c r="J300" s="190"/>
      <c r="K300" s="190"/>
      <c r="L300" s="190"/>
      <c r="M300" s="191"/>
      <c r="N300" s="163" t="str">
        <f>CONCATENATE(C300,H300)</f>
        <v/>
      </c>
      <c r="O300" s="126" t="str">
        <f>IF(D300&gt;=E300,"-","ERR")</f>
        <v>-</v>
      </c>
      <c r="P300" s="164"/>
      <c r="Q300" s="164"/>
      <c r="R300" s="164"/>
      <c r="S300" s="164"/>
      <c r="T300" s="164"/>
      <c r="U300" s="164"/>
      <c r="V300" s="164"/>
    </row>
    <row r="301" spans="1:25" ht="27" customHeight="1">
      <c r="A301" s="192" t="str">
        <f>IF(ISBLANK(C301)," ",296-COUNTBLANK($C$6:C301))</f>
        <v xml:space="preserve"> </v>
      </c>
      <c r="B301" s="178"/>
      <c r="C301" s="178"/>
      <c r="D301" s="193"/>
      <c r="E301" s="193"/>
      <c r="F301" s="180"/>
      <c r="G301" s="180"/>
      <c r="H301" s="180"/>
      <c r="I301" s="180"/>
      <c r="J301" s="180"/>
      <c r="K301" s="180"/>
      <c r="L301" s="180"/>
      <c r="M301" s="181"/>
      <c r="N301" s="163" t="str">
        <f t="shared" ref="N301:N320" si="21">CONCATENATE(C301,H301)</f>
        <v/>
      </c>
      <c r="O301" s="126" t="str">
        <f t="shared" ref="O301:O319" si="22">IF(D301&gt;=E301,"-","ERR")</f>
        <v>-</v>
      </c>
      <c r="P301" s="164"/>
      <c r="Q301" s="164"/>
      <c r="R301" s="164"/>
      <c r="S301" s="164"/>
      <c r="T301" s="164"/>
      <c r="U301" s="164"/>
      <c r="V301" s="164"/>
    </row>
    <row r="302" spans="1:25" ht="27" customHeight="1">
      <c r="A302" s="192" t="str">
        <f>IF(ISBLANK(C302)," ",297-COUNTBLANK($C$6:C302))</f>
        <v xml:space="preserve"> </v>
      </c>
      <c r="B302" s="178"/>
      <c r="C302" s="178"/>
      <c r="D302" s="193"/>
      <c r="E302" s="193"/>
      <c r="F302" s="180"/>
      <c r="G302" s="180"/>
      <c r="H302" s="180"/>
      <c r="I302" s="180"/>
      <c r="J302" s="180"/>
      <c r="K302" s="180"/>
      <c r="L302" s="180"/>
      <c r="M302" s="181"/>
      <c r="N302" s="163" t="str">
        <f t="shared" si="21"/>
        <v/>
      </c>
      <c r="O302" s="126" t="str">
        <f t="shared" si="22"/>
        <v>-</v>
      </c>
      <c r="P302" s="164"/>
      <c r="Q302" s="164"/>
      <c r="R302" s="164"/>
      <c r="S302" s="164"/>
      <c r="T302" s="164"/>
      <c r="U302" s="164"/>
      <c r="V302" s="164"/>
    </row>
    <row r="303" spans="1:25" ht="27" customHeight="1">
      <c r="A303" s="192" t="str">
        <f>IF(ISBLANK(C303)," ",298-COUNTBLANK($C$6:C303))</f>
        <v xml:space="preserve"> </v>
      </c>
      <c r="B303" s="178"/>
      <c r="C303" s="178"/>
      <c r="D303" s="193"/>
      <c r="E303" s="193"/>
      <c r="F303" s="180"/>
      <c r="G303" s="180"/>
      <c r="H303" s="180"/>
      <c r="I303" s="180"/>
      <c r="J303" s="180"/>
      <c r="K303" s="180"/>
      <c r="L303" s="180"/>
      <c r="M303" s="181"/>
      <c r="N303" s="163" t="str">
        <f t="shared" si="21"/>
        <v/>
      </c>
      <c r="O303" s="126" t="str">
        <f t="shared" si="22"/>
        <v>-</v>
      </c>
      <c r="P303" s="164"/>
      <c r="Q303" s="164"/>
      <c r="R303" s="164"/>
      <c r="S303" s="164"/>
      <c r="T303" s="164"/>
      <c r="U303" s="164"/>
      <c r="V303" s="164"/>
    </row>
    <row r="304" spans="1:25" ht="27" customHeight="1">
      <c r="A304" s="192" t="str">
        <f>IF(ISBLANK(C304)," ",299-COUNTBLANK($C$6:C304))</f>
        <v xml:space="preserve"> </v>
      </c>
      <c r="B304" s="178"/>
      <c r="C304" s="178"/>
      <c r="D304" s="193"/>
      <c r="E304" s="193"/>
      <c r="F304" s="180"/>
      <c r="G304" s="180"/>
      <c r="H304" s="180"/>
      <c r="I304" s="180"/>
      <c r="J304" s="180"/>
      <c r="K304" s="180"/>
      <c r="L304" s="180"/>
      <c r="M304" s="181"/>
      <c r="N304" s="163" t="str">
        <f t="shared" si="21"/>
        <v/>
      </c>
      <c r="O304" s="126" t="str">
        <f t="shared" si="22"/>
        <v>-</v>
      </c>
      <c r="P304" s="164"/>
      <c r="Q304" s="164"/>
      <c r="R304" s="164"/>
      <c r="S304" s="164"/>
      <c r="T304" s="164"/>
      <c r="U304" s="164"/>
      <c r="V304" s="164"/>
    </row>
    <row r="305" spans="1:25" ht="27" customHeight="1">
      <c r="A305" s="192" t="str">
        <f>IF(ISBLANK(C305)," ",300-COUNTBLANK($C$6:C305))</f>
        <v xml:space="preserve"> </v>
      </c>
      <c r="B305" s="178"/>
      <c r="C305" s="178"/>
      <c r="D305" s="193"/>
      <c r="E305" s="193"/>
      <c r="F305" s="180"/>
      <c r="G305" s="180"/>
      <c r="H305" s="180"/>
      <c r="I305" s="180"/>
      <c r="J305" s="180"/>
      <c r="K305" s="180"/>
      <c r="L305" s="180"/>
      <c r="M305" s="181"/>
      <c r="N305" s="163" t="str">
        <f t="shared" si="21"/>
        <v/>
      </c>
      <c r="O305" s="126" t="str">
        <f t="shared" si="22"/>
        <v>-</v>
      </c>
      <c r="P305" s="164"/>
      <c r="Q305" s="164"/>
      <c r="R305" s="164"/>
      <c r="S305" s="164"/>
      <c r="T305" s="164"/>
      <c r="U305" s="164"/>
      <c r="V305" s="164"/>
    </row>
    <row r="306" spans="1:25" ht="27" customHeight="1">
      <c r="A306" s="192" t="str">
        <f>IF(ISBLANK(C306)," ",301-COUNTBLANK($C$6:C306))</f>
        <v xml:space="preserve"> </v>
      </c>
      <c r="B306" s="178"/>
      <c r="C306" s="178"/>
      <c r="D306" s="193"/>
      <c r="E306" s="193"/>
      <c r="F306" s="180"/>
      <c r="G306" s="180"/>
      <c r="H306" s="180"/>
      <c r="I306" s="180"/>
      <c r="J306" s="180"/>
      <c r="K306" s="180"/>
      <c r="L306" s="180"/>
      <c r="M306" s="181"/>
      <c r="N306" s="163" t="str">
        <f t="shared" si="21"/>
        <v/>
      </c>
      <c r="O306" s="126" t="str">
        <f t="shared" si="22"/>
        <v>-</v>
      </c>
      <c r="P306" s="164"/>
      <c r="Q306" s="164"/>
      <c r="R306" s="164"/>
      <c r="S306" s="164"/>
      <c r="T306" s="164"/>
      <c r="U306" s="164"/>
      <c r="V306" s="164"/>
    </row>
    <row r="307" spans="1:25" ht="27" customHeight="1">
      <c r="A307" s="192" t="str">
        <f>IF(ISBLANK(C307)," ",302-COUNTBLANK($C$6:C307))</f>
        <v xml:space="preserve"> </v>
      </c>
      <c r="B307" s="178"/>
      <c r="C307" s="178"/>
      <c r="D307" s="193"/>
      <c r="E307" s="193"/>
      <c r="F307" s="180"/>
      <c r="G307" s="180"/>
      <c r="H307" s="180"/>
      <c r="I307" s="180"/>
      <c r="J307" s="180"/>
      <c r="K307" s="180"/>
      <c r="L307" s="180"/>
      <c r="M307" s="181"/>
      <c r="N307" s="163" t="str">
        <f t="shared" si="21"/>
        <v/>
      </c>
      <c r="O307" s="126" t="str">
        <f t="shared" si="22"/>
        <v>-</v>
      </c>
      <c r="P307" s="164"/>
      <c r="Q307" s="164"/>
      <c r="R307" s="164"/>
      <c r="S307" s="164"/>
      <c r="T307" s="164"/>
      <c r="U307" s="164"/>
      <c r="V307" s="164"/>
    </row>
    <row r="308" spans="1:25" ht="27" customHeight="1">
      <c r="A308" s="192" t="str">
        <f>IF(ISBLANK(C308)," ",303-COUNTBLANK($C$6:C308))</f>
        <v xml:space="preserve"> </v>
      </c>
      <c r="B308" s="178"/>
      <c r="C308" s="178"/>
      <c r="D308" s="193"/>
      <c r="E308" s="193"/>
      <c r="F308" s="180"/>
      <c r="G308" s="180"/>
      <c r="H308" s="180"/>
      <c r="I308" s="180"/>
      <c r="J308" s="180"/>
      <c r="K308" s="180"/>
      <c r="L308" s="180"/>
      <c r="M308" s="181"/>
      <c r="N308" s="163" t="str">
        <f t="shared" si="21"/>
        <v/>
      </c>
      <c r="O308" s="126" t="str">
        <f t="shared" si="22"/>
        <v>-</v>
      </c>
      <c r="P308" s="164"/>
      <c r="Q308" s="164"/>
      <c r="R308" s="164"/>
      <c r="S308" s="164"/>
      <c r="T308" s="164"/>
      <c r="U308" s="164"/>
      <c r="V308" s="164"/>
    </row>
    <row r="309" spans="1:25" ht="27" customHeight="1">
      <c r="A309" s="192" t="str">
        <f>IF(ISBLANK(C309)," ",304-COUNTBLANK($C$6:C309))</f>
        <v xml:space="preserve"> </v>
      </c>
      <c r="B309" s="178"/>
      <c r="C309" s="178"/>
      <c r="D309" s="193"/>
      <c r="E309" s="193"/>
      <c r="F309" s="180"/>
      <c r="G309" s="180"/>
      <c r="H309" s="180"/>
      <c r="I309" s="180"/>
      <c r="J309" s="180"/>
      <c r="K309" s="180"/>
      <c r="L309" s="180"/>
      <c r="M309" s="181"/>
      <c r="N309" s="163" t="str">
        <f t="shared" si="21"/>
        <v/>
      </c>
      <c r="O309" s="126" t="str">
        <f t="shared" si="22"/>
        <v>-</v>
      </c>
      <c r="P309" s="164"/>
      <c r="Q309" s="164"/>
      <c r="R309" s="164"/>
      <c r="S309" s="164"/>
      <c r="T309" s="164"/>
      <c r="U309" s="164"/>
      <c r="V309" s="164"/>
    </row>
    <row r="310" spans="1:25" ht="27" customHeight="1">
      <c r="A310" s="192" t="str">
        <f>IF(ISBLANK(C310)," ",305-COUNTBLANK($C$6:C310))</f>
        <v xml:space="preserve"> </v>
      </c>
      <c r="B310" s="178"/>
      <c r="C310" s="178"/>
      <c r="D310" s="193"/>
      <c r="E310" s="193"/>
      <c r="F310" s="180"/>
      <c r="G310" s="180"/>
      <c r="H310" s="180"/>
      <c r="I310" s="180"/>
      <c r="J310" s="180"/>
      <c r="K310" s="180"/>
      <c r="L310" s="180"/>
      <c r="M310" s="181"/>
      <c r="N310" s="163" t="str">
        <f t="shared" si="21"/>
        <v/>
      </c>
      <c r="O310" s="126" t="str">
        <f t="shared" si="22"/>
        <v>-</v>
      </c>
      <c r="P310" s="164"/>
      <c r="Q310" s="164"/>
      <c r="R310" s="164"/>
      <c r="S310" s="164"/>
      <c r="T310" s="164"/>
      <c r="U310" s="164"/>
      <c r="V310" s="164"/>
    </row>
    <row r="311" spans="1:25" ht="27" customHeight="1">
      <c r="A311" s="192" t="str">
        <f>IF(ISBLANK(C311)," ",306-COUNTBLANK($C$6:C311))</f>
        <v xml:space="preserve"> </v>
      </c>
      <c r="B311" s="178"/>
      <c r="C311" s="178"/>
      <c r="D311" s="193"/>
      <c r="E311" s="193"/>
      <c r="F311" s="180"/>
      <c r="G311" s="180"/>
      <c r="H311" s="180"/>
      <c r="I311" s="180"/>
      <c r="J311" s="180"/>
      <c r="K311" s="180"/>
      <c r="L311" s="180"/>
      <c r="M311" s="181"/>
      <c r="N311" s="163" t="str">
        <f t="shared" si="21"/>
        <v/>
      </c>
      <c r="O311" s="126" t="str">
        <f t="shared" si="22"/>
        <v>-</v>
      </c>
      <c r="P311" s="164"/>
      <c r="Q311" s="164"/>
      <c r="R311" s="164"/>
      <c r="S311" s="164"/>
      <c r="T311" s="164"/>
      <c r="U311" s="164"/>
      <c r="V311" s="164"/>
    </row>
    <row r="312" spans="1:25" ht="27" customHeight="1">
      <c r="A312" s="192" t="str">
        <f>IF(ISBLANK(C312)," ",307-COUNTBLANK($C$6:C312))</f>
        <v xml:space="preserve"> </v>
      </c>
      <c r="B312" s="178"/>
      <c r="C312" s="178"/>
      <c r="D312" s="193"/>
      <c r="E312" s="193"/>
      <c r="F312" s="180"/>
      <c r="G312" s="180"/>
      <c r="H312" s="180"/>
      <c r="I312" s="180"/>
      <c r="J312" s="180"/>
      <c r="K312" s="180"/>
      <c r="L312" s="180"/>
      <c r="M312" s="181"/>
      <c r="N312" s="163" t="str">
        <f t="shared" si="21"/>
        <v/>
      </c>
      <c r="O312" s="126" t="str">
        <f t="shared" si="22"/>
        <v>-</v>
      </c>
      <c r="P312" s="164"/>
      <c r="Q312" s="164"/>
      <c r="R312" s="164"/>
      <c r="S312" s="164"/>
      <c r="T312" s="164"/>
      <c r="U312" s="164"/>
      <c r="V312" s="164"/>
    </row>
    <row r="313" spans="1:25" ht="27" customHeight="1">
      <c r="A313" s="192" t="str">
        <f>IF(ISBLANK(C313)," ",308-COUNTBLANK($C$6:C313))</f>
        <v xml:space="preserve"> </v>
      </c>
      <c r="B313" s="178"/>
      <c r="C313" s="178"/>
      <c r="D313" s="193"/>
      <c r="E313" s="193"/>
      <c r="F313" s="180"/>
      <c r="G313" s="180"/>
      <c r="H313" s="180"/>
      <c r="I313" s="180"/>
      <c r="J313" s="180"/>
      <c r="K313" s="180"/>
      <c r="L313" s="180"/>
      <c r="M313" s="181"/>
      <c r="N313" s="163" t="str">
        <f t="shared" si="21"/>
        <v/>
      </c>
      <c r="O313" s="126" t="str">
        <f t="shared" si="22"/>
        <v>-</v>
      </c>
      <c r="P313" s="164"/>
      <c r="Q313" s="164"/>
      <c r="R313" s="164"/>
      <c r="S313" s="164"/>
      <c r="T313" s="164"/>
      <c r="U313" s="164"/>
      <c r="V313" s="164"/>
    </row>
    <row r="314" spans="1:25" ht="27" customHeight="1">
      <c r="A314" s="192" t="str">
        <f>IF(ISBLANK(C314)," ",309-COUNTBLANK($C$6:C314))</f>
        <v xml:space="preserve"> </v>
      </c>
      <c r="B314" s="178"/>
      <c r="C314" s="178"/>
      <c r="D314" s="193"/>
      <c r="E314" s="193"/>
      <c r="F314" s="180"/>
      <c r="G314" s="180"/>
      <c r="H314" s="180"/>
      <c r="I314" s="180"/>
      <c r="J314" s="180"/>
      <c r="K314" s="180"/>
      <c r="L314" s="180"/>
      <c r="M314" s="181"/>
      <c r="N314" s="163" t="str">
        <f t="shared" si="21"/>
        <v/>
      </c>
      <c r="O314" s="126" t="str">
        <f t="shared" si="22"/>
        <v>-</v>
      </c>
      <c r="P314" s="164"/>
      <c r="Q314" s="164"/>
      <c r="R314" s="164"/>
      <c r="S314" s="164"/>
      <c r="T314" s="164"/>
      <c r="U314" s="164"/>
      <c r="V314" s="164"/>
    </row>
    <row r="315" spans="1:25" ht="27" customHeight="1">
      <c r="A315" s="192" t="str">
        <f>IF(ISBLANK(C315)," ",310-COUNTBLANK($C$6:C315))</f>
        <v xml:space="preserve"> </v>
      </c>
      <c r="B315" s="178"/>
      <c r="C315" s="178"/>
      <c r="D315" s="193"/>
      <c r="E315" s="193"/>
      <c r="F315" s="180"/>
      <c r="G315" s="180"/>
      <c r="H315" s="180"/>
      <c r="I315" s="180"/>
      <c r="J315" s="180"/>
      <c r="K315" s="180"/>
      <c r="L315" s="180"/>
      <c r="M315" s="181"/>
      <c r="N315" s="163" t="str">
        <f t="shared" si="21"/>
        <v/>
      </c>
      <c r="O315" s="126" t="str">
        <f t="shared" si="22"/>
        <v>-</v>
      </c>
      <c r="P315" s="164"/>
      <c r="Q315" s="164"/>
      <c r="R315" s="164"/>
      <c r="S315" s="164"/>
      <c r="T315" s="164"/>
      <c r="U315" s="164"/>
      <c r="V315" s="165"/>
    </row>
    <row r="316" spans="1:25" ht="27" customHeight="1">
      <c r="A316" s="192" t="str">
        <f>IF(ISBLANK(C316)," ",311-COUNTBLANK($C$6:C316))</f>
        <v xml:space="preserve"> </v>
      </c>
      <c r="B316" s="178"/>
      <c r="C316" s="178"/>
      <c r="D316" s="193"/>
      <c r="E316" s="193"/>
      <c r="F316" s="180"/>
      <c r="G316" s="180"/>
      <c r="H316" s="180"/>
      <c r="I316" s="180"/>
      <c r="J316" s="180"/>
      <c r="K316" s="180"/>
      <c r="L316" s="180"/>
      <c r="M316" s="181"/>
      <c r="N316" s="163" t="str">
        <f t="shared" si="21"/>
        <v/>
      </c>
      <c r="O316" s="126" t="str">
        <f t="shared" si="22"/>
        <v>-</v>
      </c>
      <c r="P316" s="164"/>
      <c r="Q316" s="164"/>
      <c r="R316" s="164"/>
      <c r="S316" s="164"/>
      <c r="T316" s="164"/>
      <c r="U316" s="164"/>
      <c r="V316" s="165"/>
    </row>
    <row r="317" spans="1:25" ht="27" customHeight="1">
      <c r="A317" s="192" t="str">
        <f>IF(ISBLANK(C317)," ",312-COUNTBLANK($C$6:C317))</f>
        <v xml:space="preserve"> </v>
      </c>
      <c r="B317" s="178"/>
      <c r="C317" s="178"/>
      <c r="D317" s="193"/>
      <c r="E317" s="193"/>
      <c r="F317" s="180"/>
      <c r="G317" s="180"/>
      <c r="H317" s="180"/>
      <c r="I317" s="180"/>
      <c r="J317" s="180"/>
      <c r="K317" s="180"/>
      <c r="L317" s="180"/>
      <c r="M317" s="181"/>
      <c r="N317" s="163" t="str">
        <f t="shared" si="21"/>
        <v/>
      </c>
      <c r="O317" s="126" t="str">
        <f t="shared" si="22"/>
        <v>-</v>
      </c>
      <c r="P317" s="164"/>
      <c r="Q317" s="164"/>
      <c r="R317" s="164"/>
      <c r="S317" s="164"/>
      <c r="T317" s="164"/>
      <c r="U317" s="164"/>
      <c r="V317" s="165"/>
    </row>
    <row r="318" spans="1:25" ht="27" customHeight="1">
      <c r="A318" s="192" t="str">
        <f>IF(ISBLANK(C318)," ",313-COUNTBLANK($C$6:C318))</f>
        <v xml:space="preserve"> </v>
      </c>
      <c r="B318" s="178"/>
      <c r="C318" s="178"/>
      <c r="D318" s="193"/>
      <c r="E318" s="193"/>
      <c r="F318" s="180"/>
      <c r="G318" s="180"/>
      <c r="H318" s="180"/>
      <c r="I318" s="180"/>
      <c r="J318" s="180"/>
      <c r="K318" s="180"/>
      <c r="L318" s="180"/>
      <c r="M318" s="181"/>
      <c r="N318" s="163" t="str">
        <f t="shared" si="21"/>
        <v/>
      </c>
      <c r="O318" s="126" t="str">
        <f t="shared" si="22"/>
        <v>-</v>
      </c>
      <c r="P318" s="164"/>
      <c r="Q318" s="164"/>
      <c r="R318" s="164"/>
      <c r="S318" s="164"/>
      <c r="T318" s="164"/>
      <c r="U318" s="164"/>
      <c r="V318" s="165"/>
    </row>
    <row r="319" spans="1:25" ht="27" customHeight="1">
      <c r="A319" s="192" t="str">
        <f>IF(ISBLANK(C319)," ",314-COUNTBLANK($C$6:C319))</f>
        <v xml:space="preserve"> </v>
      </c>
      <c r="B319" s="178"/>
      <c r="C319" s="178"/>
      <c r="D319" s="193"/>
      <c r="E319" s="193"/>
      <c r="F319" s="180"/>
      <c r="G319" s="180"/>
      <c r="H319" s="180"/>
      <c r="I319" s="180"/>
      <c r="J319" s="180"/>
      <c r="K319" s="180"/>
      <c r="L319" s="180"/>
      <c r="M319" s="181"/>
      <c r="N319" s="163" t="str">
        <f t="shared" si="21"/>
        <v/>
      </c>
      <c r="O319" s="126" t="str">
        <f t="shared" si="22"/>
        <v>-</v>
      </c>
      <c r="P319" s="164"/>
      <c r="Q319" s="164"/>
      <c r="R319" s="164"/>
      <c r="S319" s="164"/>
      <c r="T319" s="164"/>
      <c r="U319" s="164"/>
      <c r="V319" s="166"/>
      <c r="W319" s="164"/>
      <c r="X319" s="164"/>
      <c r="Y319" s="164"/>
    </row>
    <row r="320" spans="1:25" ht="27" customHeight="1">
      <c r="A320" s="172" t="s">
        <v>44</v>
      </c>
      <c r="B320" s="173"/>
      <c r="C320" s="174"/>
      <c r="D320" s="194"/>
      <c r="E320" s="194">
        <f>SUM(E300:E319)</f>
        <v>0</v>
      </c>
      <c r="F320" s="176"/>
      <c r="G320" s="176"/>
      <c r="H320" s="176"/>
      <c r="I320" s="176"/>
      <c r="J320" s="176"/>
      <c r="K320" s="176"/>
      <c r="L320" s="176"/>
      <c r="M320" s="177"/>
      <c r="N320" s="163" t="str">
        <f t="shared" si="21"/>
        <v/>
      </c>
      <c r="O320" s="126"/>
      <c r="P320" s="164"/>
      <c r="Q320" s="164"/>
      <c r="R320" s="164"/>
      <c r="S320" s="164"/>
      <c r="T320" s="164"/>
      <c r="U320" s="164"/>
      <c r="V320" s="166"/>
      <c r="W320" s="164"/>
      <c r="X320" s="164"/>
      <c r="Y320" s="164"/>
    </row>
    <row r="321" spans="1:22" ht="27" customHeight="1">
      <c r="A321" s="187" t="str">
        <f>IF(ISBLANK(C321)," ",316-COUNTBLANK($C$6:C321))</f>
        <v xml:space="preserve"> </v>
      </c>
      <c r="B321" s="188"/>
      <c r="C321" s="188"/>
      <c r="D321" s="189"/>
      <c r="E321" s="189"/>
      <c r="F321" s="190"/>
      <c r="G321" s="190"/>
      <c r="H321" s="190"/>
      <c r="I321" s="190"/>
      <c r="J321" s="190"/>
      <c r="K321" s="190"/>
      <c r="L321" s="190"/>
      <c r="M321" s="191"/>
      <c r="N321" s="163" t="str">
        <f>CONCATENATE(C321,H321)</f>
        <v/>
      </c>
      <c r="O321" s="126" t="str">
        <f>IF(D321&gt;=E321,"-","ERR")</f>
        <v>-</v>
      </c>
      <c r="P321" s="164"/>
      <c r="Q321" s="164"/>
      <c r="R321" s="164"/>
      <c r="S321" s="164"/>
      <c r="T321" s="164"/>
      <c r="U321" s="164"/>
      <c r="V321" s="164"/>
    </row>
    <row r="322" spans="1:22" ht="27" customHeight="1">
      <c r="A322" s="192" t="str">
        <f>IF(ISBLANK(C322)," ",317-COUNTBLANK($C$6:C322))</f>
        <v xml:space="preserve"> </v>
      </c>
      <c r="B322" s="178"/>
      <c r="C322" s="178"/>
      <c r="D322" s="193"/>
      <c r="E322" s="193"/>
      <c r="F322" s="180"/>
      <c r="G322" s="180"/>
      <c r="H322" s="180"/>
      <c r="I322" s="180"/>
      <c r="J322" s="180"/>
      <c r="K322" s="180"/>
      <c r="L322" s="180"/>
      <c r="M322" s="181"/>
      <c r="N322" s="163" t="str">
        <f t="shared" ref="N322:N341" si="23">CONCATENATE(C322,H322)</f>
        <v/>
      </c>
      <c r="O322" s="126" t="str">
        <f t="shared" ref="O322:O340" si="24">IF(D322&gt;=E322,"-","ERR")</f>
        <v>-</v>
      </c>
      <c r="P322" s="164"/>
      <c r="Q322" s="164"/>
      <c r="R322" s="164"/>
      <c r="S322" s="164"/>
      <c r="T322" s="164"/>
      <c r="U322" s="164"/>
      <c r="V322" s="164"/>
    </row>
    <row r="323" spans="1:22" ht="27" customHeight="1">
      <c r="A323" s="192" t="str">
        <f>IF(ISBLANK(C323)," ",318-COUNTBLANK($C$6:C323))</f>
        <v xml:space="preserve"> </v>
      </c>
      <c r="B323" s="178"/>
      <c r="C323" s="178"/>
      <c r="D323" s="193"/>
      <c r="E323" s="193"/>
      <c r="F323" s="180"/>
      <c r="G323" s="180"/>
      <c r="H323" s="180"/>
      <c r="I323" s="180"/>
      <c r="J323" s="180"/>
      <c r="K323" s="180"/>
      <c r="L323" s="180"/>
      <c r="M323" s="181"/>
      <c r="N323" s="163" t="str">
        <f t="shared" si="23"/>
        <v/>
      </c>
      <c r="O323" s="126" t="str">
        <f t="shared" si="24"/>
        <v>-</v>
      </c>
      <c r="P323" s="164"/>
      <c r="Q323" s="164"/>
      <c r="R323" s="164"/>
      <c r="S323" s="164"/>
      <c r="T323" s="164"/>
      <c r="U323" s="164"/>
      <c r="V323" s="164"/>
    </row>
    <row r="324" spans="1:22" ht="27" customHeight="1">
      <c r="A324" s="192" t="str">
        <f>IF(ISBLANK(C324)," ",319-COUNTBLANK($C$6:C324))</f>
        <v xml:space="preserve"> </v>
      </c>
      <c r="B324" s="178"/>
      <c r="C324" s="178"/>
      <c r="D324" s="193"/>
      <c r="E324" s="193"/>
      <c r="F324" s="180"/>
      <c r="G324" s="180"/>
      <c r="H324" s="180"/>
      <c r="I324" s="180"/>
      <c r="J324" s="180"/>
      <c r="K324" s="180"/>
      <c r="L324" s="180"/>
      <c r="M324" s="181"/>
      <c r="N324" s="163" t="str">
        <f t="shared" si="23"/>
        <v/>
      </c>
      <c r="O324" s="126" t="str">
        <f t="shared" si="24"/>
        <v>-</v>
      </c>
      <c r="P324" s="164"/>
      <c r="Q324" s="164"/>
      <c r="R324" s="164"/>
      <c r="S324" s="164"/>
      <c r="T324" s="164"/>
      <c r="U324" s="164"/>
      <c r="V324" s="164"/>
    </row>
    <row r="325" spans="1:22" ht="27" customHeight="1">
      <c r="A325" s="192" t="str">
        <f>IF(ISBLANK(C325)," ",320-COUNTBLANK($C$6:C325))</f>
        <v xml:space="preserve"> </v>
      </c>
      <c r="B325" s="178"/>
      <c r="C325" s="178"/>
      <c r="D325" s="193"/>
      <c r="E325" s="193"/>
      <c r="F325" s="180"/>
      <c r="G325" s="180"/>
      <c r="H325" s="180"/>
      <c r="I325" s="180"/>
      <c r="J325" s="180"/>
      <c r="K325" s="180"/>
      <c r="L325" s="180"/>
      <c r="M325" s="181"/>
      <c r="N325" s="163" t="str">
        <f t="shared" si="23"/>
        <v/>
      </c>
      <c r="O325" s="126" t="str">
        <f t="shared" si="24"/>
        <v>-</v>
      </c>
      <c r="P325" s="164"/>
      <c r="Q325" s="164"/>
      <c r="R325" s="164"/>
      <c r="S325" s="164"/>
      <c r="T325" s="164"/>
      <c r="U325" s="164"/>
      <c r="V325" s="164"/>
    </row>
    <row r="326" spans="1:22" ht="27" customHeight="1">
      <c r="A326" s="192" t="str">
        <f>IF(ISBLANK(C326)," ",321-COUNTBLANK($C$6:C326))</f>
        <v xml:space="preserve"> </v>
      </c>
      <c r="B326" s="178"/>
      <c r="C326" s="178"/>
      <c r="D326" s="193"/>
      <c r="E326" s="193"/>
      <c r="F326" s="180"/>
      <c r="G326" s="180"/>
      <c r="H326" s="180"/>
      <c r="I326" s="180"/>
      <c r="J326" s="180"/>
      <c r="K326" s="180"/>
      <c r="L326" s="180"/>
      <c r="M326" s="181"/>
      <c r="N326" s="163" t="str">
        <f t="shared" si="23"/>
        <v/>
      </c>
      <c r="O326" s="126" t="str">
        <f t="shared" si="24"/>
        <v>-</v>
      </c>
      <c r="P326" s="164"/>
      <c r="Q326" s="164"/>
      <c r="R326" s="164"/>
      <c r="S326" s="164"/>
      <c r="T326" s="164"/>
      <c r="U326" s="164"/>
      <c r="V326" s="164"/>
    </row>
    <row r="327" spans="1:22" ht="27" customHeight="1">
      <c r="A327" s="192" t="str">
        <f>IF(ISBLANK(C327)," ",322-COUNTBLANK($C$6:C327))</f>
        <v xml:space="preserve"> </v>
      </c>
      <c r="B327" s="178"/>
      <c r="C327" s="178"/>
      <c r="D327" s="193"/>
      <c r="E327" s="193"/>
      <c r="F327" s="180"/>
      <c r="G327" s="180"/>
      <c r="H327" s="180"/>
      <c r="I327" s="180"/>
      <c r="J327" s="180"/>
      <c r="K327" s="180"/>
      <c r="L327" s="180"/>
      <c r="M327" s="181"/>
      <c r="N327" s="163" t="str">
        <f t="shared" si="23"/>
        <v/>
      </c>
      <c r="O327" s="126" t="str">
        <f t="shared" si="24"/>
        <v>-</v>
      </c>
      <c r="P327" s="164"/>
      <c r="Q327" s="164"/>
      <c r="R327" s="164"/>
      <c r="S327" s="164"/>
      <c r="T327" s="164"/>
      <c r="U327" s="164"/>
      <c r="V327" s="164"/>
    </row>
    <row r="328" spans="1:22" ht="27" customHeight="1">
      <c r="A328" s="192" t="str">
        <f>IF(ISBLANK(C328)," ",323-COUNTBLANK($C$6:C328))</f>
        <v xml:space="preserve"> </v>
      </c>
      <c r="B328" s="178"/>
      <c r="C328" s="178"/>
      <c r="D328" s="193"/>
      <c r="E328" s="193"/>
      <c r="F328" s="180"/>
      <c r="G328" s="180"/>
      <c r="H328" s="180"/>
      <c r="I328" s="180"/>
      <c r="J328" s="180"/>
      <c r="K328" s="180"/>
      <c r="L328" s="180"/>
      <c r="M328" s="181"/>
      <c r="N328" s="163" t="str">
        <f t="shared" si="23"/>
        <v/>
      </c>
      <c r="O328" s="126" t="str">
        <f t="shared" si="24"/>
        <v>-</v>
      </c>
      <c r="P328" s="164"/>
      <c r="Q328" s="164"/>
      <c r="R328" s="164"/>
      <c r="S328" s="164"/>
      <c r="T328" s="164"/>
      <c r="U328" s="164"/>
      <c r="V328" s="164"/>
    </row>
    <row r="329" spans="1:22" ht="27" customHeight="1">
      <c r="A329" s="192" t="str">
        <f>IF(ISBLANK(C329)," ",324-COUNTBLANK($C$6:C329))</f>
        <v xml:space="preserve"> </v>
      </c>
      <c r="B329" s="178"/>
      <c r="C329" s="178"/>
      <c r="D329" s="193"/>
      <c r="E329" s="193"/>
      <c r="F329" s="180"/>
      <c r="G329" s="180"/>
      <c r="H329" s="180"/>
      <c r="I329" s="180"/>
      <c r="J329" s="180"/>
      <c r="K329" s="180"/>
      <c r="L329" s="180"/>
      <c r="M329" s="181"/>
      <c r="N329" s="163" t="str">
        <f t="shared" si="23"/>
        <v/>
      </c>
      <c r="O329" s="126" t="str">
        <f t="shared" si="24"/>
        <v>-</v>
      </c>
      <c r="P329" s="164"/>
      <c r="Q329" s="164"/>
      <c r="R329" s="164"/>
      <c r="S329" s="164"/>
      <c r="T329" s="164"/>
      <c r="U329" s="164"/>
      <c r="V329" s="164"/>
    </row>
    <row r="330" spans="1:22" ht="27" customHeight="1">
      <c r="A330" s="192" t="str">
        <f>IF(ISBLANK(C330)," ",325-COUNTBLANK($C$6:C330))</f>
        <v xml:space="preserve"> </v>
      </c>
      <c r="B330" s="178"/>
      <c r="C330" s="178"/>
      <c r="D330" s="193"/>
      <c r="E330" s="193"/>
      <c r="F330" s="180"/>
      <c r="G330" s="180"/>
      <c r="H330" s="180"/>
      <c r="I330" s="180"/>
      <c r="J330" s="180"/>
      <c r="K330" s="180"/>
      <c r="L330" s="180"/>
      <c r="M330" s="181"/>
      <c r="N330" s="163" t="str">
        <f t="shared" si="23"/>
        <v/>
      </c>
      <c r="O330" s="126" t="str">
        <f t="shared" si="24"/>
        <v>-</v>
      </c>
      <c r="P330" s="164"/>
      <c r="Q330" s="164"/>
      <c r="R330" s="164"/>
      <c r="S330" s="164"/>
      <c r="T330" s="164"/>
      <c r="U330" s="164"/>
      <c r="V330" s="164"/>
    </row>
    <row r="331" spans="1:22" ht="27" customHeight="1">
      <c r="A331" s="192" t="str">
        <f>IF(ISBLANK(C331)," ",326-COUNTBLANK($C$6:C331))</f>
        <v xml:space="preserve"> </v>
      </c>
      <c r="B331" s="178"/>
      <c r="C331" s="178"/>
      <c r="D331" s="193"/>
      <c r="E331" s="193"/>
      <c r="F331" s="180"/>
      <c r="G331" s="180"/>
      <c r="H331" s="180"/>
      <c r="I331" s="180"/>
      <c r="J331" s="180"/>
      <c r="K331" s="180"/>
      <c r="L331" s="180"/>
      <c r="M331" s="181"/>
      <c r="N331" s="163" t="str">
        <f t="shared" si="23"/>
        <v/>
      </c>
      <c r="O331" s="126" t="str">
        <f t="shared" si="24"/>
        <v>-</v>
      </c>
      <c r="P331" s="164"/>
      <c r="Q331" s="164"/>
      <c r="R331" s="164"/>
      <c r="S331" s="164"/>
      <c r="T331" s="164"/>
      <c r="U331" s="164"/>
      <c r="V331" s="164"/>
    </row>
    <row r="332" spans="1:22" ht="27" customHeight="1">
      <c r="A332" s="192" t="str">
        <f>IF(ISBLANK(C332)," ",327-COUNTBLANK($C$6:C332))</f>
        <v xml:space="preserve"> </v>
      </c>
      <c r="B332" s="178"/>
      <c r="C332" s="178"/>
      <c r="D332" s="193"/>
      <c r="E332" s="193"/>
      <c r="F332" s="180"/>
      <c r="G332" s="180"/>
      <c r="H332" s="180"/>
      <c r="I332" s="180"/>
      <c r="J332" s="180"/>
      <c r="K332" s="180"/>
      <c r="L332" s="180"/>
      <c r="M332" s="181"/>
      <c r="N332" s="163" t="str">
        <f t="shared" si="23"/>
        <v/>
      </c>
      <c r="O332" s="126" t="str">
        <f t="shared" si="24"/>
        <v>-</v>
      </c>
      <c r="P332" s="164"/>
      <c r="Q332" s="164"/>
      <c r="R332" s="164"/>
      <c r="S332" s="164"/>
      <c r="T332" s="164"/>
      <c r="U332" s="164"/>
      <c r="V332" s="164"/>
    </row>
    <row r="333" spans="1:22" ht="27" customHeight="1">
      <c r="A333" s="192" t="str">
        <f>IF(ISBLANK(C333)," ",328-COUNTBLANK($C$6:C333))</f>
        <v xml:space="preserve"> </v>
      </c>
      <c r="B333" s="178"/>
      <c r="C333" s="178"/>
      <c r="D333" s="193"/>
      <c r="E333" s="193"/>
      <c r="F333" s="180"/>
      <c r="G333" s="180"/>
      <c r="H333" s="180"/>
      <c r="I333" s="180"/>
      <c r="J333" s="180"/>
      <c r="K333" s="180"/>
      <c r="L333" s="180"/>
      <c r="M333" s="181"/>
      <c r="N333" s="163" t="str">
        <f t="shared" si="23"/>
        <v/>
      </c>
      <c r="O333" s="126" t="str">
        <f t="shared" si="24"/>
        <v>-</v>
      </c>
      <c r="P333" s="164"/>
      <c r="Q333" s="164"/>
      <c r="R333" s="164"/>
      <c r="S333" s="164"/>
      <c r="T333" s="164"/>
      <c r="U333" s="164"/>
      <c r="V333" s="164"/>
    </row>
    <row r="334" spans="1:22" ht="27" customHeight="1">
      <c r="A334" s="192" t="str">
        <f>IF(ISBLANK(C334)," ",329-COUNTBLANK($C$6:C334))</f>
        <v xml:space="preserve"> </v>
      </c>
      <c r="B334" s="178"/>
      <c r="C334" s="178"/>
      <c r="D334" s="193"/>
      <c r="E334" s="193"/>
      <c r="F334" s="180"/>
      <c r="G334" s="180"/>
      <c r="H334" s="180"/>
      <c r="I334" s="180"/>
      <c r="J334" s="180"/>
      <c r="K334" s="180"/>
      <c r="L334" s="180"/>
      <c r="M334" s="181"/>
      <c r="N334" s="163" t="str">
        <f t="shared" si="23"/>
        <v/>
      </c>
      <c r="O334" s="126" t="str">
        <f t="shared" si="24"/>
        <v>-</v>
      </c>
      <c r="P334" s="164"/>
      <c r="Q334" s="164"/>
      <c r="R334" s="164"/>
      <c r="S334" s="164"/>
      <c r="T334" s="164"/>
      <c r="U334" s="164"/>
      <c r="V334" s="164"/>
    </row>
    <row r="335" spans="1:22" ht="27" customHeight="1">
      <c r="A335" s="192" t="str">
        <f>IF(ISBLANK(C335)," ",330-COUNTBLANK($C$6:C335))</f>
        <v xml:space="preserve"> </v>
      </c>
      <c r="B335" s="178"/>
      <c r="C335" s="178"/>
      <c r="D335" s="193"/>
      <c r="E335" s="193"/>
      <c r="F335" s="180"/>
      <c r="G335" s="180"/>
      <c r="H335" s="180"/>
      <c r="I335" s="180"/>
      <c r="J335" s="180"/>
      <c r="K335" s="180"/>
      <c r="L335" s="180"/>
      <c r="M335" s="181"/>
      <c r="N335" s="163" t="str">
        <f t="shared" si="23"/>
        <v/>
      </c>
      <c r="O335" s="126" t="str">
        <f t="shared" si="24"/>
        <v>-</v>
      </c>
      <c r="P335" s="164"/>
      <c r="Q335" s="164"/>
      <c r="R335" s="164"/>
      <c r="S335" s="164"/>
      <c r="T335" s="164"/>
      <c r="U335" s="164"/>
      <c r="V335" s="164"/>
    </row>
    <row r="336" spans="1:22" ht="27" customHeight="1">
      <c r="A336" s="192" t="str">
        <f>IF(ISBLANK(C336)," ",331-COUNTBLANK($C$6:C336))</f>
        <v xml:space="preserve"> </v>
      </c>
      <c r="B336" s="178"/>
      <c r="C336" s="178"/>
      <c r="D336" s="193"/>
      <c r="E336" s="193"/>
      <c r="F336" s="180"/>
      <c r="G336" s="180"/>
      <c r="H336" s="180"/>
      <c r="I336" s="180"/>
      <c r="J336" s="180"/>
      <c r="K336" s="180"/>
      <c r="L336" s="180"/>
      <c r="M336" s="181"/>
      <c r="N336" s="163" t="str">
        <f t="shared" si="23"/>
        <v/>
      </c>
      <c r="O336" s="126" t="str">
        <f t="shared" si="24"/>
        <v>-</v>
      </c>
      <c r="P336" s="164"/>
      <c r="Q336" s="164"/>
      <c r="R336" s="164"/>
      <c r="S336" s="164"/>
      <c r="T336" s="164"/>
      <c r="U336" s="164"/>
      <c r="V336" s="165"/>
    </row>
    <row r="337" spans="1:25" ht="27" customHeight="1">
      <c r="A337" s="192" t="str">
        <f>IF(ISBLANK(C337)," ",332-COUNTBLANK($C$6:C337))</f>
        <v xml:space="preserve"> </v>
      </c>
      <c r="B337" s="178"/>
      <c r="C337" s="178"/>
      <c r="D337" s="193"/>
      <c r="E337" s="193"/>
      <c r="F337" s="180"/>
      <c r="G337" s="180"/>
      <c r="H337" s="180"/>
      <c r="I337" s="180"/>
      <c r="J337" s="180"/>
      <c r="K337" s="180"/>
      <c r="L337" s="180"/>
      <c r="M337" s="181"/>
      <c r="N337" s="163" t="str">
        <f t="shared" si="23"/>
        <v/>
      </c>
      <c r="O337" s="126" t="str">
        <f t="shared" si="24"/>
        <v>-</v>
      </c>
      <c r="P337" s="164"/>
      <c r="Q337" s="164"/>
      <c r="R337" s="164"/>
      <c r="S337" s="164"/>
      <c r="T337" s="164"/>
      <c r="U337" s="164"/>
      <c r="V337" s="165"/>
    </row>
    <row r="338" spans="1:25" ht="27" customHeight="1">
      <c r="A338" s="192" t="str">
        <f>IF(ISBLANK(C338)," ",333-COUNTBLANK($C$6:C338))</f>
        <v xml:space="preserve"> </v>
      </c>
      <c r="B338" s="178"/>
      <c r="C338" s="178"/>
      <c r="D338" s="193"/>
      <c r="E338" s="193"/>
      <c r="F338" s="180"/>
      <c r="G338" s="180"/>
      <c r="H338" s="180"/>
      <c r="I338" s="180"/>
      <c r="J338" s="180"/>
      <c r="K338" s="180"/>
      <c r="L338" s="180"/>
      <c r="M338" s="181"/>
      <c r="N338" s="163" t="str">
        <f t="shared" si="23"/>
        <v/>
      </c>
      <c r="O338" s="126" t="str">
        <f t="shared" si="24"/>
        <v>-</v>
      </c>
      <c r="P338" s="164"/>
      <c r="Q338" s="164"/>
      <c r="R338" s="164"/>
      <c r="S338" s="164"/>
      <c r="T338" s="164"/>
      <c r="U338" s="164"/>
      <c r="V338" s="165"/>
    </row>
    <row r="339" spans="1:25" ht="27" customHeight="1">
      <c r="A339" s="192" t="str">
        <f>IF(ISBLANK(C339)," ",334-COUNTBLANK($C$6:C339))</f>
        <v xml:space="preserve"> </v>
      </c>
      <c r="B339" s="178"/>
      <c r="C339" s="178"/>
      <c r="D339" s="193"/>
      <c r="E339" s="193"/>
      <c r="F339" s="180"/>
      <c r="G339" s="180"/>
      <c r="H339" s="180"/>
      <c r="I339" s="180"/>
      <c r="J339" s="180"/>
      <c r="K339" s="180"/>
      <c r="L339" s="180"/>
      <c r="M339" s="181"/>
      <c r="N339" s="163" t="str">
        <f t="shared" si="23"/>
        <v/>
      </c>
      <c r="O339" s="126" t="str">
        <f t="shared" si="24"/>
        <v>-</v>
      </c>
      <c r="P339" s="164"/>
      <c r="Q339" s="164"/>
      <c r="R339" s="164"/>
      <c r="S339" s="164"/>
      <c r="T339" s="164"/>
      <c r="U339" s="164"/>
      <c r="V339" s="165"/>
    </row>
    <row r="340" spans="1:25" ht="27" customHeight="1">
      <c r="A340" s="192" t="str">
        <f>IF(ISBLANK(C340)," ",335-COUNTBLANK($C$6:C340))</f>
        <v xml:space="preserve"> </v>
      </c>
      <c r="B340" s="178"/>
      <c r="C340" s="178"/>
      <c r="D340" s="193"/>
      <c r="E340" s="193"/>
      <c r="F340" s="180"/>
      <c r="G340" s="180"/>
      <c r="H340" s="180"/>
      <c r="I340" s="180"/>
      <c r="J340" s="180"/>
      <c r="K340" s="180"/>
      <c r="L340" s="180"/>
      <c r="M340" s="181"/>
      <c r="N340" s="163" t="str">
        <f t="shared" si="23"/>
        <v/>
      </c>
      <c r="O340" s="126" t="str">
        <f t="shared" si="24"/>
        <v>-</v>
      </c>
      <c r="P340" s="164"/>
      <c r="Q340" s="164"/>
      <c r="R340" s="164"/>
      <c r="S340" s="164"/>
      <c r="T340" s="164"/>
      <c r="U340" s="164"/>
      <c r="V340" s="166"/>
      <c r="W340" s="164"/>
      <c r="X340" s="164"/>
      <c r="Y340" s="164"/>
    </row>
    <row r="341" spans="1:25" ht="27" customHeight="1">
      <c r="A341" s="172" t="s">
        <v>44</v>
      </c>
      <c r="B341" s="173"/>
      <c r="C341" s="174"/>
      <c r="D341" s="194"/>
      <c r="E341" s="194">
        <f>SUM(E321:E340)</f>
        <v>0</v>
      </c>
      <c r="F341" s="176"/>
      <c r="G341" s="176"/>
      <c r="H341" s="176"/>
      <c r="I341" s="176"/>
      <c r="J341" s="176"/>
      <c r="K341" s="176"/>
      <c r="L341" s="176"/>
      <c r="M341" s="177"/>
      <c r="N341" s="163" t="str">
        <f t="shared" si="23"/>
        <v/>
      </c>
      <c r="O341" s="126"/>
      <c r="P341" s="164"/>
      <c r="Q341" s="164"/>
      <c r="R341" s="164"/>
      <c r="S341" s="164"/>
      <c r="T341" s="164"/>
      <c r="U341" s="164"/>
      <c r="V341" s="166"/>
      <c r="W341" s="164"/>
      <c r="X341" s="164"/>
      <c r="Y341" s="164"/>
    </row>
    <row r="342" spans="1:25" ht="27" customHeight="1">
      <c r="A342" s="187" t="str">
        <f>IF(ISBLANK(C342)," ",337-COUNTBLANK($C$6:C342))</f>
        <v xml:space="preserve"> </v>
      </c>
      <c r="B342" s="188"/>
      <c r="C342" s="188"/>
      <c r="D342" s="189"/>
      <c r="E342" s="189"/>
      <c r="F342" s="190"/>
      <c r="G342" s="190"/>
      <c r="H342" s="190"/>
      <c r="I342" s="190"/>
      <c r="J342" s="190"/>
      <c r="K342" s="190"/>
      <c r="L342" s="190"/>
      <c r="M342" s="191"/>
      <c r="N342" s="163" t="str">
        <f>CONCATENATE(C342,H342)</f>
        <v/>
      </c>
      <c r="O342" s="126" t="str">
        <f>IF(D342&gt;=E342,"-","ERR")</f>
        <v>-</v>
      </c>
      <c r="P342" s="164"/>
      <c r="Q342" s="164"/>
      <c r="R342" s="164"/>
      <c r="S342" s="164"/>
      <c r="T342" s="164"/>
      <c r="U342" s="164"/>
      <c r="V342" s="164"/>
    </row>
    <row r="343" spans="1:25" ht="27" customHeight="1">
      <c r="A343" s="192" t="str">
        <f>IF(ISBLANK(C343)," ",338-COUNTBLANK($C$6:C343))</f>
        <v xml:space="preserve"> </v>
      </c>
      <c r="B343" s="178"/>
      <c r="C343" s="178"/>
      <c r="D343" s="193"/>
      <c r="E343" s="193"/>
      <c r="F343" s="180"/>
      <c r="G343" s="180"/>
      <c r="H343" s="180"/>
      <c r="I343" s="180"/>
      <c r="J343" s="180"/>
      <c r="K343" s="180"/>
      <c r="L343" s="180"/>
      <c r="M343" s="181"/>
      <c r="N343" s="163" t="str">
        <f t="shared" ref="N343:N362" si="25">CONCATENATE(C343,H343)</f>
        <v/>
      </c>
      <c r="O343" s="126" t="str">
        <f t="shared" ref="O343:O361" si="26">IF(D343&gt;=E343,"-","ERR")</f>
        <v>-</v>
      </c>
      <c r="P343" s="164"/>
      <c r="Q343" s="164"/>
      <c r="R343" s="164"/>
      <c r="S343" s="164"/>
      <c r="T343" s="164"/>
      <c r="U343" s="164"/>
      <c r="V343" s="164"/>
    </row>
    <row r="344" spans="1:25" ht="27" customHeight="1">
      <c r="A344" s="192" t="str">
        <f>IF(ISBLANK(C344)," ",339-COUNTBLANK($C$6:C344))</f>
        <v xml:space="preserve"> </v>
      </c>
      <c r="B344" s="178"/>
      <c r="C344" s="178"/>
      <c r="D344" s="193"/>
      <c r="E344" s="193"/>
      <c r="F344" s="180"/>
      <c r="G344" s="180"/>
      <c r="H344" s="180"/>
      <c r="I344" s="180"/>
      <c r="J344" s="180"/>
      <c r="K344" s="180"/>
      <c r="L344" s="180"/>
      <c r="M344" s="181"/>
      <c r="N344" s="163" t="str">
        <f t="shared" si="25"/>
        <v/>
      </c>
      <c r="O344" s="126" t="str">
        <f t="shared" si="26"/>
        <v>-</v>
      </c>
      <c r="P344" s="164"/>
      <c r="Q344" s="164"/>
      <c r="R344" s="164"/>
      <c r="S344" s="164"/>
      <c r="T344" s="164"/>
      <c r="U344" s="164"/>
      <c r="V344" s="164"/>
    </row>
    <row r="345" spans="1:25" ht="27" customHeight="1">
      <c r="A345" s="192" t="str">
        <f>IF(ISBLANK(C345)," ",340-COUNTBLANK($C$6:C345))</f>
        <v xml:space="preserve"> </v>
      </c>
      <c r="B345" s="178"/>
      <c r="C345" s="178"/>
      <c r="D345" s="193"/>
      <c r="E345" s="193"/>
      <c r="F345" s="180"/>
      <c r="G345" s="180"/>
      <c r="H345" s="180"/>
      <c r="I345" s="180"/>
      <c r="J345" s="180"/>
      <c r="K345" s="180"/>
      <c r="L345" s="180"/>
      <c r="M345" s="181"/>
      <c r="N345" s="163" t="str">
        <f t="shared" si="25"/>
        <v/>
      </c>
      <c r="O345" s="126" t="str">
        <f t="shared" si="26"/>
        <v>-</v>
      </c>
      <c r="P345" s="164"/>
      <c r="Q345" s="164"/>
      <c r="R345" s="164"/>
      <c r="S345" s="164"/>
      <c r="T345" s="164"/>
      <c r="U345" s="164"/>
      <c r="V345" s="164"/>
    </row>
    <row r="346" spans="1:25" ht="27" customHeight="1">
      <c r="A346" s="192" t="str">
        <f>IF(ISBLANK(C346)," ",341-COUNTBLANK($C$6:C346))</f>
        <v xml:space="preserve"> </v>
      </c>
      <c r="B346" s="178"/>
      <c r="C346" s="178"/>
      <c r="D346" s="193"/>
      <c r="E346" s="193"/>
      <c r="F346" s="180"/>
      <c r="G346" s="180"/>
      <c r="H346" s="180"/>
      <c r="I346" s="180"/>
      <c r="J346" s="180"/>
      <c r="K346" s="180"/>
      <c r="L346" s="180"/>
      <c r="M346" s="181"/>
      <c r="N346" s="163" t="str">
        <f t="shared" si="25"/>
        <v/>
      </c>
      <c r="O346" s="126" t="str">
        <f t="shared" si="26"/>
        <v>-</v>
      </c>
      <c r="P346" s="164"/>
      <c r="Q346" s="164"/>
      <c r="R346" s="164"/>
      <c r="S346" s="164"/>
      <c r="T346" s="164"/>
      <c r="U346" s="164"/>
      <c r="V346" s="164"/>
    </row>
    <row r="347" spans="1:25" ht="27" customHeight="1">
      <c r="A347" s="192" t="str">
        <f>IF(ISBLANK(C347)," ",342-COUNTBLANK($C$6:C347))</f>
        <v xml:space="preserve"> </v>
      </c>
      <c r="B347" s="178"/>
      <c r="C347" s="178"/>
      <c r="D347" s="193"/>
      <c r="E347" s="193"/>
      <c r="F347" s="180"/>
      <c r="G347" s="180"/>
      <c r="H347" s="180"/>
      <c r="I347" s="180"/>
      <c r="J347" s="180"/>
      <c r="K347" s="180"/>
      <c r="L347" s="180"/>
      <c r="M347" s="181"/>
      <c r="N347" s="163" t="str">
        <f t="shared" si="25"/>
        <v/>
      </c>
      <c r="O347" s="126" t="str">
        <f t="shared" si="26"/>
        <v>-</v>
      </c>
      <c r="P347" s="164"/>
      <c r="Q347" s="164"/>
      <c r="R347" s="164"/>
      <c r="S347" s="164"/>
      <c r="T347" s="164"/>
      <c r="U347" s="164"/>
      <c r="V347" s="164"/>
    </row>
    <row r="348" spans="1:25" ht="27" customHeight="1">
      <c r="A348" s="192" t="str">
        <f>IF(ISBLANK(C348)," ",343-COUNTBLANK($C$6:C348))</f>
        <v xml:space="preserve"> </v>
      </c>
      <c r="B348" s="178"/>
      <c r="C348" s="178"/>
      <c r="D348" s="193"/>
      <c r="E348" s="193"/>
      <c r="F348" s="180"/>
      <c r="G348" s="180"/>
      <c r="H348" s="180"/>
      <c r="I348" s="180"/>
      <c r="J348" s="180"/>
      <c r="K348" s="180"/>
      <c r="L348" s="180"/>
      <c r="M348" s="181"/>
      <c r="N348" s="163" t="str">
        <f t="shared" si="25"/>
        <v/>
      </c>
      <c r="O348" s="126" t="str">
        <f t="shared" si="26"/>
        <v>-</v>
      </c>
      <c r="P348" s="164"/>
      <c r="Q348" s="164"/>
      <c r="R348" s="164"/>
      <c r="S348" s="164"/>
      <c r="T348" s="164"/>
      <c r="U348" s="164"/>
      <c r="V348" s="164"/>
    </row>
    <row r="349" spans="1:25" ht="27" customHeight="1">
      <c r="A349" s="192" t="str">
        <f>IF(ISBLANK(C349)," ",344-COUNTBLANK($C$6:C349))</f>
        <v xml:space="preserve"> </v>
      </c>
      <c r="B349" s="178"/>
      <c r="C349" s="178"/>
      <c r="D349" s="193"/>
      <c r="E349" s="193"/>
      <c r="F349" s="180"/>
      <c r="G349" s="180"/>
      <c r="H349" s="180"/>
      <c r="I349" s="180"/>
      <c r="J349" s="180"/>
      <c r="K349" s="180"/>
      <c r="L349" s="180"/>
      <c r="M349" s="181"/>
      <c r="N349" s="163" t="str">
        <f t="shared" si="25"/>
        <v/>
      </c>
      <c r="O349" s="126" t="str">
        <f t="shared" si="26"/>
        <v>-</v>
      </c>
      <c r="P349" s="164"/>
      <c r="Q349" s="164"/>
      <c r="R349" s="164"/>
      <c r="S349" s="164"/>
      <c r="T349" s="164"/>
      <c r="U349" s="164"/>
      <c r="V349" s="164"/>
    </row>
    <row r="350" spans="1:25" ht="27" customHeight="1">
      <c r="A350" s="192" t="str">
        <f>IF(ISBLANK(C350)," ",345-COUNTBLANK($C$6:C350))</f>
        <v xml:space="preserve"> </v>
      </c>
      <c r="B350" s="178"/>
      <c r="C350" s="178"/>
      <c r="D350" s="193"/>
      <c r="E350" s="193"/>
      <c r="F350" s="180"/>
      <c r="G350" s="180"/>
      <c r="H350" s="180"/>
      <c r="I350" s="180"/>
      <c r="J350" s="180"/>
      <c r="K350" s="180"/>
      <c r="L350" s="180"/>
      <c r="M350" s="181"/>
      <c r="N350" s="163" t="str">
        <f t="shared" si="25"/>
        <v/>
      </c>
      <c r="O350" s="126" t="str">
        <f t="shared" si="26"/>
        <v>-</v>
      </c>
      <c r="P350" s="164"/>
      <c r="Q350" s="164"/>
      <c r="R350" s="164"/>
      <c r="S350" s="164"/>
      <c r="T350" s="164"/>
      <c r="U350" s="164"/>
      <c r="V350" s="164"/>
    </row>
    <row r="351" spans="1:25" ht="27" customHeight="1">
      <c r="A351" s="192" t="str">
        <f>IF(ISBLANK(C351)," ",346-COUNTBLANK($C$6:C351))</f>
        <v xml:space="preserve"> </v>
      </c>
      <c r="B351" s="178"/>
      <c r="C351" s="178"/>
      <c r="D351" s="193"/>
      <c r="E351" s="193"/>
      <c r="F351" s="180"/>
      <c r="G351" s="180"/>
      <c r="H351" s="180"/>
      <c r="I351" s="180"/>
      <c r="J351" s="180"/>
      <c r="K351" s="180"/>
      <c r="L351" s="180"/>
      <c r="M351" s="181"/>
      <c r="N351" s="163" t="str">
        <f t="shared" si="25"/>
        <v/>
      </c>
      <c r="O351" s="126" t="str">
        <f t="shared" si="26"/>
        <v>-</v>
      </c>
      <c r="P351" s="164"/>
      <c r="Q351" s="164"/>
      <c r="R351" s="164"/>
      <c r="S351" s="164"/>
      <c r="T351" s="164"/>
      <c r="U351" s="164"/>
      <c r="V351" s="164"/>
    </row>
    <row r="352" spans="1:25" ht="27" customHeight="1">
      <c r="A352" s="192" t="str">
        <f>IF(ISBLANK(C352)," ",347-COUNTBLANK($C$6:C352))</f>
        <v xml:space="preserve"> </v>
      </c>
      <c r="B352" s="178"/>
      <c r="C352" s="178"/>
      <c r="D352" s="193"/>
      <c r="E352" s="193"/>
      <c r="F352" s="180"/>
      <c r="G352" s="180"/>
      <c r="H352" s="180"/>
      <c r="I352" s="180"/>
      <c r="J352" s="180"/>
      <c r="K352" s="180"/>
      <c r="L352" s="180"/>
      <c r="M352" s="181"/>
      <c r="N352" s="163" t="str">
        <f t="shared" si="25"/>
        <v/>
      </c>
      <c r="O352" s="126" t="str">
        <f t="shared" si="26"/>
        <v>-</v>
      </c>
      <c r="P352" s="164"/>
      <c r="Q352" s="164"/>
      <c r="R352" s="164"/>
      <c r="S352" s="164"/>
      <c r="T352" s="164"/>
      <c r="U352" s="164"/>
      <c r="V352" s="164"/>
    </row>
    <row r="353" spans="1:25" ht="27" customHeight="1">
      <c r="A353" s="192" t="str">
        <f>IF(ISBLANK(C353)," ",348-COUNTBLANK($C$6:C353))</f>
        <v xml:space="preserve"> </v>
      </c>
      <c r="B353" s="178"/>
      <c r="C353" s="178"/>
      <c r="D353" s="193"/>
      <c r="E353" s="193"/>
      <c r="F353" s="180"/>
      <c r="G353" s="180"/>
      <c r="H353" s="180"/>
      <c r="I353" s="180"/>
      <c r="J353" s="180"/>
      <c r="K353" s="180"/>
      <c r="L353" s="180"/>
      <c r="M353" s="181"/>
      <c r="N353" s="163" t="str">
        <f t="shared" si="25"/>
        <v/>
      </c>
      <c r="O353" s="126" t="str">
        <f t="shared" si="26"/>
        <v>-</v>
      </c>
      <c r="P353" s="164"/>
      <c r="Q353" s="164"/>
      <c r="R353" s="164"/>
      <c r="S353" s="164"/>
      <c r="T353" s="164"/>
      <c r="U353" s="164"/>
      <c r="V353" s="164"/>
    </row>
    <row r="354" spans="1:25" ht="27" customHeight="1">
      <c r="A354" s="192" t="str">
        <f>IF(ISBLANK(C354)," ",349-COUNTBLANK($C$6:C354))</f>
        <v xml:space="preserve"> </v>
      </c>
      <c r="B354" s="178"/>
      <c r="C354" s="178"/>
      <c r="D354" s="193"/>
      <c r="E354" s="193"/>
      <c r="F354" s="180"/>
      <c r="G354" s="180"/>
      <c r="H354" s="180"/>
      <c r="I354" s="180"/>
      <c r="J354" s="180"/>
      <c r="K354" s="180"/>
      <c r="L354" s="180"/>
      <c r="M354" s="181"/>
      <c r="N354" s="163" t="str">
        <f t="shared" si="25"/>
        <v/>
      </c>
      <c r="O354" s="126" t="str">
        <f t="shared" si="26"/>
        <v>-</v>
      </c>
      <c r="P354" s="164"/>
      <c r="Q354" s="164"/>
      <c r="R354" s="164"/>
      <c r="S354" s="164"/>
      <c r="T354" s="164"/>
      <c r="U354" s="164"/>
      <c r="V354" s="164"/>
    </row>
    <row r="355" spans="1:25" ht="27" customHeight="1">
      <c r="A355" s="192" t="str">
        <f>IF(ISBLANK(C355)," ",350-COUNTBLANK($C$6:C355))</f>
        <v xml:space="preserve"> </v>
      </c>
      <c r="B355" s="178"/>
      <c r="C355" s="178"/>
      <c r="D355" s="193"/>
      <c r="E355" s="193"/>
      <c r="F355" s="180"/>
      <c r="G355" s="180"/>
      <c r="H355" s="180"/>
      <c r="I355" s="180"/>
      <c r="J355" s="180"/>
      <c r="K355" s="180"/>
      <c r="L355" s="180"/>
      <c r="M355" s="181"/>
      <c r="N355" s="163" t="str">
        <f t="shared" si="25"/>
        <v/>
      </c>
      <c r="O355" s="126" t="str">
        <f t="shared" si="26"/>
        <v>-</v>
      </c>
      <c r="P355" s="164"/>
      <c r="Q355" s="164"/>
      <c r="R355" s="164"/>
      <c r="S355" s="164"/>
      <c r="T355" s="164"/>
      <c r="U355" s="164"/>
      <c r="V355" s="164"/>
    </row>
    <row r="356" spans="1:25" ht="27" customHeight="1">
      <c r="A356" s="192" t="str">
        <f>IF(ISBLANK(C356)," ",351-COUNTBLANK($C$6:C356))</f>
        <v xml:space="preserve"> </v>
      </c>
      <c r="B356" s="178"/>
      <c r="C356" s="178"/>
      <c r="D356" s="193"/>
      <c r="E356" s="193"/>
      <c r="F356" s="180"/>
      <c r="G356" s="180"/>
      <c r="H356" s="180"/>
      <c r="I356" s="180"/>
      <c r="J356" s="180"/>
      <c r="K356" s="180"/>
      <c r="L356" s="180"/>
      <c r="M356" s="181"/>
      <c r="N356" s="163" t="str">
        <f t="shared" si="25"/>
        <v/>
      </c>
      <c r="O356" s="126" t="str">
        <f t="shared" si="26"/>
        <v>-</v>
      </c>
      <c r="P356" s="164"/>
      <c r="Q356" s="164"/>
      <c r="R356" s="164"/>
      <c r="S356" s="164"/>
      <c r="T356" s="164"/>
      <c r="U356" s="164"/>
      <c r="V356" s="164"/>
    </row>
    <row r="357" spans="1:25" ht="27" customHeight="1">
      <c r="A357" s="192" t="str">
        <f>IF(ISBLANK(C357)," ",352-COUNTBLANK($C$6:C357))</f>
        <v xml:space="preserve"> </v>
      </c>
      <c r="B357" s="178"/>
      <c r="C357" s="178"/>
      <c r="D357" s="193"/>
      <c r="E357" s="193"/>
      <c r="F357" s="180"/>
      <c r="G357" s="180"/>
      <c r="H357" s="180"/>
      <c r="I357" s="180"/>
      <c r="J357" s="180"/>
      <c r="K357" s="180"/>
      <c r="L357" s="180"/>
      <c r="M357" s="181"/>
      <c r="N357" s="163" t="str">
        <f t="shared" si="25"/>
        <v/>
      </c>
      <c r="O357" s="126" t="str">
        <f t="shared" si="26"/>
        <v>-</v>
      </c>
      <c r="P357" s="164"/>
      <c r="Q357" s="164"/>
      <c r="R357" s="164"/>
      <c r="S357" s="164"/>
      <c r="T357" s="164"/>
      <c r="U357" s="164"/>
      <c r="V357" s="165"/>
    </row>
    <row r="358" spans="1:25" ht="27" customHeight="1">
      <c r="A358" s="192" t="str">
        <f>IF(ISBLANK(C358)," ",353-COUNTBLANK($C$6:C358))</f>
        <v xml:space="preserve"> </v>
      </c>
      <c r="B358" s="178"/>
      <c r="C358" s="178"/>
      <c r="D358" s="193"/>
      <c r="E358" s="193"/>
      <c r="F358" s="180"/>
      <c r="G358" s="180"/>
      <c r="H358" s="180"/>
      <c r="I358" s="180"/>
      <c r="J358" s="180"/>
      <c r="K358" s="180"/>
      <c r="L358" s="180"/>
      <c r="M358" s="181"/>
      <c r="N358" s="163" t="str">
        <f t="shared" si="25"/>
        <v/>
      </c>
      <c r="O358" s="126" t="str">
        <f t="shared" si="26"/>
        <v>-</v>
      </c>
      <c r="P358" s="164"/>
      <c r="Q358" s="164"/>
      <c r="R358" s="164"/>
      <c r="S358" s="164"/>
      <c r="T358" s="164"/>
      <c r="U358" s="164"/>
      <c r="V358" s="165"/>
    </row>
    <row r="359" spans="1:25" ht="27" customHeight="1">
      <c r="A359" s="192" t="str">
        <f>IF(ISBLANK(C359)," ",354-COUNTBLANK($C$6:C359))</f>
        <v xml:space="preserve"> </v>
      </c>
      <c r="B359" s="178"/>
      <c r="C359" s="178"/>
      <c r="D359" s="193"/>
      <c r="E359" s="193"/>
      <c r="F359" s="180"/>
      <c r="G359" s="180"/>
      <c r="H359" s="180"/>
      <c r="I359" s="180"/>
      <c r="J359" s="180"/>
      <c r="K359" s="180"/>
      <c r="L359" s="180"/>
      <c r="M359" s="181"/>
      <c r="N359" s="163" t="str">
        <f t="shared" si="25"/>
        <v/>
      </c>
      <c r="O359" s="126" t="str">
        <f t="shared" si="26"/>
        <v>-</v>
      </c>
      <c r="P359" s="164"/>
      <c r="Q359" s="164"/>
      <c r="R359" s="164"/>
      <c r="S359" s="164"/>
      <c r="T359" s="164"/>
      <c r="U359" s="164"/>
      <c r="V359" s="165"/>
    </row>
    <row r="360" spans="1:25" ht="27" customHeight="1">
      <c r="A360" s="192" t="str">
        <f>IF(ISBLANK(C360)," ",355-COUNTBLANK($C$6:C360))</f>
        <v xml:space="preserve"> </v>
      </c>
      <c r="B360" s="178"/>
      <c r="C360" s="178"/>
      <c r="D360" s="193"/>
      <c r="E360" s="193"/>
      <c r="F360" s="180"/>
      <c r="G360" s="180"/>
      <c r="H360" s="180"/>
      <c r="I360" s="180"/>
      <c r="J360" s="180"/>
      <c r="K360" s="180"/>
      <c r="L360" s="180"/>
      <c r="M360" s="181"/>
      <c r="N360" s="163" t="str">
        <f t="shared" si="25"/>
        <v/>
      </c>
      <c r="O360" s="126" t="str">
        <f t="shared" si="26"/>
        <v>-</v>
      </c>
      <c r="P360" s="164"/>
      <c r="Q360" s="164"/>
      <c r="R360" s="164"/>
      <c r="S360" s="164"/>
      <c r="T360" s="164"/>
      <c r="U360" s="164"/>
      <c r="V360" s="165"/>
    </row>
    <row r="361" spans="1:25" ht="27" customHeight="1">
      <c r="A361" s="192" t="str">
        <f>IF(ISBLANK(C361)," ",356-COUNTBLANK($C$6:C361))</f>
        <v xml:space="preserve"> </v>
      </c>
      <c r="B361" s="178"/>
      <c r="C361" s="178"/>
      <c r="D361" s="193"/>
      <c r="E361" s="193"/>
      <c r="F361" s="180"/>
      <c r="G361" s="180"/>
      <c r="H361" s="180"/>
      <c r="I361" s="180"/>
      <c r="J361" s="180"/>
      <c r="K361" s="180"/>
      <c r="L361" s="180"/>
      <c r="M361" s="181"/>
      <c r="N361" s="163" t="str">
        <f t="shared" si="25"/>
        <v/>
      </c>
      <c r="O361" s="126" t="str">
        <f t="shared" si="26"/>
        <v>-</v>
      </c>
      <c r="P361" s="164"/>
      <c r="Q361" s="164"/>
      <c r="R361" s="164"/>
      <c r="S361" s="164"/>
      <c r="T361" s="164"/>
      <c r="U361" s="164"/>
      <c r="V361" s="166"/>
      <c r="W361" s="164"/>
      <c r="X361" s="164"/>
      <c r="Y361" s="164"/>
    </row>
    <row r="362" spans="1:25" ht="27" customHeight="1">
      <c r="A362" s="172" t="s">
        <v>44</v>
      </c>
      <c r="B362" s="173"/>
      <c r="C362" s="174"/>
      <c r="D362" s="194"/>
      <c r="E362" s="194">
        <f>SUM(E342:E361)</f>
        <v>0</v>
      </c>
      <c r="F362" s="176"/>
      <c r="G362" s="176"/>
      <c r="H362" s="176"/>
      <c r="I362" s="176"/>
      <c r="J362" s="176"/>
      <c r="K362" s="176"/>
      <c r="L362" s="176"/>
      <c r="M362" s="177"/>
      <c r="N362" s="163" t="str">
        <f t="shared" si="25"/>
        <v/>
      </c>
      <c r="O362" s="126"/>
      <c r="P362" s="164"/>
      <c r="Q362" s="164"/>
      <c r="R362" s="164"/>
      <c r="S362" s="164"/>
      <c r="T362" s="164"/>
      <c r="U362" s="164"/>
      <c r="V362" s="166"/>
      <c r="W362" s="164"/>
      <c r="X362" s="164"/>
      <c r="Y362" s="164"/>
    </row>
    <row r="363" spans="1:25" ht="27" customHeight="1">
      <c r="A363" s="187" t="str">
        <f>IF(ISBLANK(C363)," ",358-COUNTBLANK($C$6:C363))</f>
        <v xml:space="preserve"> </v>
      </c>
      <c r="B363" s="188"/>
      <c r="C363" s="188"/>
      <c r="D363" s="189"/>
      <c r="E363" s="189"/>
      <c r="F363" s="190"/>
      <c r="G363" s="190"/>
      <c r="H363" s="190"/>
      <c r="I363" s="190"/>
      <c r="J363" s="190"/>
      <c r="K363" s="190"/>
      <c r="L363" s="190"/>
      <c r="M363" s="191"/>
      <c r="N363" s="163" t="str">
        <f>CONCATENATE(C363,H363)</f>
        <v/>
      </c>
      <c r="O363" s="126" t="str">
        <f>IF(D363&gt;=E363,"-","ERR")</f>
        <v>-</v>
      </c>
      <c r="P363" s="164"/>
      <c r="Q363" s="164"/>
      <c r="R363" s="164"/>
      <c r="S363" s="164"/>
      <c r="T363" s="164"/>
      <c r="U363" s="164"/>
      <c r="V363" s="164"/>
    </row>
    <row r="364" spans="1:25" ht="27" customHeight="1">
      <c r="A364" s="192" t="str">
        <f>IF(ISBLANK(C364)," ",359-COUNTBLANK($C$6:C364))</f>
        <v xml:space="preserve"> </v>
      </c>
      <c r="B364" s="178"/>
      <c r="C364" s="178"/>
      <c r="D364" s="193"/>
      <c r="E364" s="193"/>
      <c r="F364" s="180"/>
      <c r="G364" s="180"/>
      <c r="H364" s="180"/>
      <c r="I364" s="180"/>
      <c r="J364" s="180"/>
      <c r="K364" s="180"/>
      <c r="L364" s="180"/>
      <c r="M364" s="181"/>
      <c r="N364" s="163" t="str">
        <f t="shared" ref="N364:N383" si="27">CONCATENATE(C364,H364)</f>
        <v/>
      </c>
      <c r="O364" s="126" t="str">
        <f t="shared" ref="O364:O382" si="28">IF(D364&gt;=E364,"-","ERR")</f>
        <v>-</v>
      </c>
      <c r="P364" s="164"/>
      <c r="Q364" s="164"/>
      <c r="R364" s="164"/>
      <c r="S364" s="164"/>
      <c r="T364" s="164"/>
      <c r="U364" s="164"/>
      <c r="V364" s="164"/>
    </row>
    <row r="365" spans="1:25" ht="27" customHeight="1">
      <c r="A365" s="192" t="str">
        <f>IF(ISBLANK(C365)," ",360-COUNTBLANK($C$6:C365))</f>
        <v xml:space="preserve"> </v>
      </c>
      <c r="B365" s="178"/>
      <c r="C365" s="178"/>
      <c r="D365" s="193"/>
      <c r="E365" s="193"/>
      <c r="F365" s="180"/>
      <c r="G365" s="180"/>
      <c r="H365" s="180"/>
      <c r="I365" s="180"/>
      <c r="J365" s="180"/>
      <c r="K365" s="180"/>
      <c r="L365" s="180"/>
      <c r="M365" s="181"/>
      <c r="N365" s="163" t="str">
        <f t="shared" si="27"/>
        <v/>
      </c>
      <c r="O365" s="126" t="str">
        <f t="shared" si="28"/>
        <v>-</v>
      </c>
      <c r="P365" s="164"/>
      <c r="Q365" s="164"/>
      <c r="R365" s="164"/>
      <c r="S365" s="164"/>
      <c r="T365" s="164"/>
      <c r="U365" s="164"/>
      <c r="V365" s="164"/>
    </row>
    <row r="366" spans="1:25" ht="27" customHeight="1">
      <c r="A366" s="192" t="str">
        <f>IF(ISBLANK(C366)," ",361-COUNTBLANK($C$6:C366))</f>
        <v xml:space="preserve"> </v>
      </c>
      <c r="B366" s="178"/>
      <c r="C366" s="178"/>
      <c r="D366" s="193"/>
      <c r="E366" s="193"/>
      <c r="F366" s="180"/>
      <c r="G366" s="180"/>
      <c r="H366" s="180"/>
      <c r="I366" s="180"/>
      <c r="J366" s="180"/>
      <c r="K366" s="180"/>
      <c r="L366" s="180"/>
      <c r="M366" s="181"/>
      <c r="N366" s="163" t="str">
        <f t="shared" si="27"/>
        <v/>
      </c>
      <c r="O366" s="126" t="str">
        <f t="shared" si="28"/>
        <v>-</v>
      </c>
      <c r="P366" s="164"/>
      <c r="Q366" s="164"/>
      <c r="R366" s="164"/>
      <c r="S366" s="164"/>
      <c r="T366" s="164"/>
      <c r="U366" s="164"/>
      <c r="V366" s="164"/>
    </row>
    <row r="367" spans="1:25" ht="27" customHeight="1">
      <c r="A367" s="192" t="str">
        <f>IF(ISBLANK(C367)," ",362-COUNTBLANK($C$6:C367))</f>
        <v xml:space="preserve"> </v>
      </c>
      <c r="B367" s="178"/>
      <c r="C367" s="178"/>
      <c r="D367" s="193"/>
      <c r="E367" s="193"/>
      <c r="F367" s="180"/>
      <c r="G367" s="180"/>
      <c r="H367" s="180"/>
      <c r="I367" s="180"/>
      <c r="J367" s="180"/>
      <c r="K367" s="180"/>
      <c r="L367" s="180"/>
      <c r="M367" s="181"/>
      <c r="N367" s="163" t="str">
        <f t="shared" si="27"/>
        <v/>
      </c>
      <c r="O367" s="126" t="str">
        <f t="shared" si="28"/>
        <v>-</v>
      </c>
      <c r="P367" s="164"/>
      <c r="Q367" s="164"/>
      <c r="R367" s="164"/>
      <c r="S367" s="164"/>
      <c r="T367" s="164"/>
      <c r="U367" s="164"/>
      <c r="V367" s="164"/>
    </row>
    <row r="368" spans="1:25" ht="27" customHeight="1">
      <c r="A368" s="192" t="str">
        <f>IF(ISBLANK(C368)," ",363-COUNTBLANK($C$6:C368))</f>
        <v xml:space="preserve"> </v>
      </c>
      <c r="B368" s="178"/>
      <c r="C368" s="178"/>
      <c r="D368" s="193"/>
      <c r="E368" s="193"/>
      <c r="F368" s="180"/>
      <c r="G368" s="180"/>
      <c r="H368" s="180"/>
      <c r="I368" s="180"/>
      <c r="J368" s="180"/>
      <c r="K368" s="180"/>
      <c r="L368" s="180"/>
      <c r="M368" s="181"/>
      <c r="N368" s="163" t="str">
        <f t="shared" si="27"/>
        <v/>
      </c>
      <c r="O368" s="126" t="str">
        <f t="shared" si="28"/>
        <v>-</v>
      </c>
      <c r="P368" s="164"/>
      <c r="Q368" s="164"/>
      <c r="R368" s="164"/>
      <c r="S368" s="164"/>
      <c r="T368" s="164"/>
      <c r="U368" s="164"/>
      <c r="V368" s="164"/>
    </row>
    <row r="369" spans="1:25" ht="27" customHeight="1">
      <c r="A369" s="192" t="str">
        <f>IF(ISBLANK(C369)," ",364-COUNTBLANK($C$6:C369))</f>
        <v xml:space="preserve"> </v>
      </c>
      <c r="B369" s="178"/>
      <c r="C369" s="178"/>
      <c r="D369" s="193"/>
      <c r="E369" s="193"/>
      <c r="F369" s="180"/>
      <c r="G369" s="180"/>
      <c r="H369" s="180"/>
      <c r="I369" s="180"/>
      <c r="J369" s="180"/>
      <c r="K369" s="180"/>
      <c r="L369" s="180"/>
      <c r="M369" s="181"/>
      <c r="N369" s="163" t="str">
        <f t="shared" si="27"/>
        <v/>
      </c>
      <c r="O369" s="126" t="str">
        <f t="shared" si="28"/>
        <v>-</v>
      </c>
      <c r="P369" s="164"/>
      <c r="Q369" s="164"/>
      <c r="R369" s="164"/>
      <c r="S369" s="164"/>
      <c r="T369" s="164"/>
      <c r="U369" s="164"/>
      <c r="V369" s="164"/>
    </row>
    <row r="370" spans="1:25" ht="27" customHeight="1">
      <c r="A370" s="192" t="str">
        <f>IF(ISBLANK(C370)," ",365-COUNTBLANK($C$6:C370))</f>
        <v xml:space="preserve"> </v>
      </c>
      <c r="B370" s="178"/>
      <c r="C370" s="178"/>
      <c r="D370" s="193"/>
      <c r="E370" s="193"/>
      <c r="F370" s="180"/>
      <c r="G370" s="180"/>
      <c r="H370" s="180"/>
      <c r="I370" s="180"/>
      <c r="J370" s="180"/>
      <c r="K370" s="180"/>
      <c r="L370" s="180"/>
      <c r="M370" s="181"/>
      <c r="N370" s="163" t="str">
        <f t="shared" si="27"/>
        <v/>
      </c>
      <c r="O370" s="126" t="str">
        <f t="shared" si="28"/>
        <v>-</v>
      </c>
      <c r="P370" s="164"/>
      <c r="Q370" s="164"/>
      <c r="R370" s="164"/>
      <c r="S370" s="164"/>
      <c r="T370" s="164"/>
      <c r="U370" s="164"/>
      <c r="V370" s="164"/>
    </row>
    <row r="371" spans="1:25" ht="27" customHeight="1">
      <c r="A371" s="192" t="str">
        <f>IF(ISBLANK(C371)," ",366-COUNTBLANK($C$6:C371))</f>
        <v xml:space="preserve"> </v>
      </c>
      <c r="B371" s="178"/>
      <c r="C371" s="178"/>
      <c r="D371" s="193"/>
      <c r="E371" s="193"/>
      <c r="F371" s="180"/>
      <c r="G371" s="180"/>
      <c r="H371" s="180"/>
      <c r="I371" s="180"/>
      <c r="J371" s="180"/>
      <c r="K371" s="180"/>
      <c r="L371" s="180"/>
      <c r="M371" s="181"/>
      <c r="N371" s="163" t="str">
        <f t="shared" si="27"/>
        <v/>
      </c>
      <c r="O371" s="126" t="str">
        <f t="shared" si="28"/>
        <v>-</v>
      </c>
      <c r="P371" s="164"/>
      <c r="Q371" s="164"/>
      <c r="R371" s="164"/>
      <c r="S371" s="164"/>
      <c r="T371" s="164"/>
      <c r="U371" s="164"/>
      <c r="V371" s="164"/>
    </row>
    <row r="372" spans="1:25" ht="27" customHeight="1">
      <c r="A372" s="192" t="str">
        <f>IF(ISBLANK(C372)," ",367-COUNTBLANK($C$6:C372))</f>
        <v xml:space="preserve"> </v>
      </c>
      <c r="B372" s="178"/>
      <c r="C372" s="178"/>
      <c r="D372" s="193"/>
      <c r="E372" s="193"/>
      <c r="F372" s="180"/>
      <c r="G372" s="180"/>
      <c r="H372" s="180"/>
      <c r="I372" s="180"/>
      <c r="J372" s="180"/>
      <c r="K372" s="180"/>
      <c r="L372" s="180"/>
      <c r="M372" s="181"/>
      <c r="N372" s="163" t="str">
        <f t="shared" si="27"/>
        <v/>
      </c>
      <c r="O372" s="126" t="str">
        <f t="shared" si="28"/>
        <v>-</v>
      </c>
      <c r="P372" s="164"/>
      <c r="Q372" s="164"/>
      <c r="R372" s="164"/>
      <c r="S372" s="164"/>
      <c r="T372" s="164"/>
      <c r="U372" s="164"/>
      <c r="V372" s="164"/>
    </row>
    <row r="373" spans="1:25" ht="27" customHeight="1">
      <c r="A373" s="192" t="str">
        <f>IF(ISBLANK(C373)," ",368-COUNTBLANK($C$6:C373))</f>
        <v xml:space="preserve"> </v>
      </c>
      <c r="B373" s="178"/>
      <c r="C373" s="178"/>
      <c r="D373" s="193"/>
      <c r="E373" s="193"/>
      <c r="F373" s="180"/>
      <c r="G373" s="180"/>
      <c r="H373" s="180"/>
      <c r="I373" s="180"/>
      <c r="J373" s="180"/>
      <c r="K373" s="180"/>
      <c r="L373" s="180"/>
      <c r="M373" s="181"/>
      <c r="N373" s="163" t="str">
        <f t="shared" si="27"/>
        <v/>
      </c>
      <c r="O373" s="126" t="str">
        <f t="shared" si="28"/>
        <v>-</v>
      </c>
      <c r="P373" s="164"/>
      <c r="Q373" s="164"/>
      <c r="R373" s="164"/>
      <c r="S373" s="164"/>
      <c r="T373" s="164"/>
      <c r="U373" s="164"/>
      <c r="V373" s="164"/>
    </row>
    <row r="374" spans="1:25" ht="27" customHeight="1">
      <c r="A374" s="192" t="str">
        <f>IF(ISBLANK(C374)," ",369-COUNTBLANK($C$6:C374))</f>
        <v xml:space="preserve"> </v>
      </c>
      <c r="B374" s="178"/>
      <c r="C374" s="178"/>
      <c r="D374" s="193"/>
      <c r="E374" s="193"/>
      <c r="F374" s="180"/>
      <c r="G374" s="180"/>
      <c r="H374" s="180"/>
      <c r="I374" s="180"/>
      <c r="J374" s="180"/>
      <c r="K374" s="180"/>
      <c r="L374" s="180"/>
      <c r="M374" s="181"/>
      <c r="N374" s="163" t="str">
        <f t="shared" si="27"/>
        <v/>
      </c>
      <c r="O374" s="126" t="str">
        <f t="shared" si="28"/>
        <v>-</v>
      </c>
      <c r="P374" s="164"/>
      <c r="Q374" s="164"/>
      <c r="R374" s="164"/>
      <c r="S374" s="164"/>
      <c r="T374" s="164"/>
      <c r="U374" s="164"/>
      <c r="V374" s="164"/>
    </row>
    <row r="375" spans="1:25" ht="27" customHeight="1">
      <c r="A375" s="192" t="str">
        <f>IF(ISBLANK(C375)," ",370-COUNTBLANK($C$6:C375))</f>
        <v xml:space="preserve"> </v>
      </c>
      <c r="B375" s="178"/>
      <c r="C375" s="178"/>
      <c r="D375" s="193"/>
      <c r="E375" s="193"/>
      <c r="F375" s="180"/>
      <c r="G375" s="180"/>
      <c r="H375" s="180"/>
      <c r="I375" s="180"/>
      <c r="J375" s="180"/>
      <c r="K375" s="180"/>
      <c r="L375" s="180"/>
      <c r="M375" s="181"/>
      <c r="N375" s="163" t="str">
        <f t="shared" si="27"/>
        <v/>
      </c>
      <c r="O375" s="126" t="str">
        <f t="shared" si="28"/>
        <v>-</v>
      </c>
      <c r="P375" s="164"/>
      <c r="Q375" s="164"/>
      <c r="R375" s="164"/>
      <c r="S375" s="164"/>
      <c r="T375" s="164"/>
      <c r="U375" s="164"/>
      <c r="V375" s="164"/>
    </row>
    <row r="376" spans="1:25" ht="27" customHeight="1">
      <c r="A376" s="192" t="str">
        <f>IF(ISBLANK(C376)," ",371-COUNTBLANK($C$6:C376))</f>
        <v xml:space="preserve"> </v>
      </c>
      <c r="B376" s="178"/>
      <c r="C376" s="178"/>
      <c r="D376" s="193"/>
      <c r="E376" s="193"/>
      <c r="F376" s="180"/>
      <c r="G376" s="180"/>
      <c r="H376" s="180"/>
      <c r="I376" s="180"/>
      <c r="J376" s="180"/>
      <c r="K376" s="180"/>
      <c r="L376" s="180"/>
      <c r="M376" s="181"/>
      <c r="N376" s="163" t="str">
        <f t="shared" si="27"/>
        <v/>
      </c>
      <c r="O376" s="126" t="str">
        <f t="shared" si="28"/>
        <v>-</v>
      </c>
      <c r="P376" s="164"/>
      <c r="Q376" s="164"/>
      <c r="R376" s="164"/>
      <c r="S376" s="164"/>
      <c r="T376" s="164"/>
      <c r="U376" s="164"/>
      <c r="V376" s="164"/>
    </row>
    <row r="377" spans="1:25" ht="27" customHeight="1">
      <c r="A377" s="192" t="str">
        <f>IF(ISBLANK(C377)," ",372-COUNTBLANK($C$6:C377))</f>
        <v xml:space="preserve"> </v>
      </c>
      <c r="B377" s="178"/>
      <c r="C377" s="178"/>
      <c r="D377" s="193"/>
      <c r="E377" s="193"/>
      <c r="F377" s="180"/>
      <c r="G377" s="180"/>
      <c r="H377" s="180"/>
      <c r="I377" s="180"/>
      <c r="J377" s="180"/>
      <c r="K377" s="180"/>
      <c r="L377" s="180"/>
      <c r="M377" s="181"/>
      <c r="N377" s="163" t="str">
        <f t="shared" si="27"/>
        <v/>
      </c>
      <c r="O377" s="126" t="str">
        <f t="shared" si="28"/>
        <v>-</v>
      </c>
      <c r="P377" s="164"/>
      <c r="Q377" s="164"/>
      <c r="R377" s="164"/>
      <c r="S377" s="164"/>
      <c r="T377" s="164"/>
      <c r="U377" s="164"/>
      <c r="V377" s="164"/>
    </row>
    <row r="378" spans="1:25" ht="27" customHeight="1">
      <c r="A378" s="192" t="str">
        <f>IF(ISBLANK(C378)," ",373-COUNTBLANK($C$6:C378))</f>
        <v xml:space="preserve"> </v>
      </c>
      <c r="B378" s="178"/>
      <c r="C378" s="178"/>
      <c r="D378" s="193"/>
      <c r="E378" s="193"/>
      <c r="F378" s="180"/>
      <c r="G378" s="180"/>
      <c r="H378" s="180"/>
      <c r="I378" s="180"/>
      <c r="J378" s="180"/>
      <c r="K378" s="180"/>
      <c r="L378" s="180"/>
      <c r="M378" s="181"/>
      <c r="N378" s="163" t="str">
        <f t="shared" si="27"/>
        <v/>
      </c>
      <c r="O378" s="126" t="str">
        <f t="shared" si="28"/>
        <v>-</v>
      </c>
      <c r="P378" s="164"/>
      <c r="Q378" s="164"/>
      <c r="R378" s="164"/>
      <c r="S378" s="164"/>
      <c r="T378" s="164"/>
      <c r="U378" s="164"/>
      <c r="V378" s="165"/>
    </row>
    <row r="379" spans="1:25" ht="27" customHeight="1">
      <c r="A379" s="192" t="str">
        <f>IF(ISBLANK(C379)," ",374-COUNTBLANK($C$6:C379))</f>
        <v xml:space="preserve"> </v>
      </c>
      <c r="B379" s="178"/>
      <c r="C379" s="178"/>
      <c r="D379" s="193"/>
      <c r="E379" s="193"/>
      <c r="F379" s="180"/>
      <c r="G379" s="180"/>
      <c r="H379" s="180"/>
      <c r="I379" s="180"/>
      <c r="J379" s="180"/>
      <c r="K379" s="180"/>
      <c r="L379" s="180"/>
      <c r="M379" s="181"/>
      <c r="N379" s="163" t="str">
        <f t="shared" si="27"/>
        <v/>
      </c>
      <c r="O379" s="126" t="str">
        <f t="shared" si="28"/>
        <v>-</v>
      </c>
      <c r="P379" s="164"/>
      <c r="Q379" s="164"/>
      <c r="R379" s="164"/>
      <c r="S379" s="164"/>
      <c r="T379" s="164"/>
      <c r="U379" s="164"/>
      <c r="V379" s="165"/>
    </row>
    <row r="380" spans="1:25" ht="27" customHeight="1">
      <c r="A380" s="192" t="str">
        <f>IF(ISBLANK(C380)," ",375-COUNTBLANK($C$6:C380))</f>
        <v xml:space="preserve"> </v>
      </c>
      <c r="B380" s="178"/>
      <c r="C380" s="178"/>
      <c r="D380" s="193"/>
      <c r="E380" s="193"/>
      <c r="F380" s="180"/>
      <c r="G380" s="180"/>
      <c r="H380" s="180"/>
      <c r="I380" s="180"/>
      <c r="J380" s="180"/>
      <c r="K380" s="180"/>
      <c r="L380" s="180"/>
      <c r="M380" s="181"/>
      <c r="N380" s="163" t="str">
        <f t="shared" si="27"/>
        <v/>
      </c>
      <c r="O380" s="126" t="str">
        <f t="shared" si="28"/>
        <v>-</v>
      </c>
      <c r="P380" s="164"/>
      <c r="Q380" s="164"/>
      <c r="R380" s="164"/>
      <c r="S380" s="164"/>
      <c r="T380" s="164"/>
      <c r="U380" s="164"/>
      <c r="V380" s="165"/>
    </row>
    <row r="381" spans="1:25" ht="27" customHeight="1">
      <c r="A381" s="192" t="str">
        <f>IF(ISBLANK(C381)," ",376-COUNTBLANK($C$6:C381))</f>
        <v xml:space="preserve"> </v>
      </c>
      <c r="B381" s="178"/>
      <c r="C381" s="178"/>
      <c r="D381" s="193"/>
      <c r="E381" s="193"/>
      <c r="F381" s="180"/>
      <c r="G381" s="180"/>
      <c r="H381" s="180"/>
      <c r="I381" s="180"/>
      <c r="J381" s="180"/>
      <c r="K381" s="180"/>
      <c r="L381" s="180"/>
      <c r="M381" s="181"/>
      <c r="N381" s="163" t="str">
        <f t="shared" si="27"/>
        <v/>
      </c>
      <c r="O381" s="126" t="str">
        <f t="shared" si="28"/>
        <v>-</v>
      </c>
      <c r="P381" s="164"/>
      <c r="Q381" s="164"/>
      <c r="R381" s="164"/>
      <c r="S381" s="164"/>
      <c r="T381" s="164"/>
      <c r="U381" s="164"/>
      <c r="V381" s="165"/>
    </row>
    <row r="382" spans="1:25" ht="27" customHeight="1">
      <c r="A382" s="192" t="str">
        <f>IF(ISBLANK(C382)," ",377-COUNTBLANK($C$6:C382))</f>
        <v xml:space="preserve"> </v>
      </c>
      <c r="B382" s="178"/>
      <c r="C382" s="178"/>
      <c r="D382" s="193"/>
      <c r="E382" s="193"/>
      <c r="F382" s="180"/>
      <c r="G382" s="180"/>
      <c r="H382" s="180"/>
      <c r="I382" s="180"/>
      <c r="J382" s="180"/>
      <c r="K382" s="180"/>
      <c r="L382" s="180"/>
      <c r="M382" s="181"/>
      <c r="N382" s="163" t="str">
        <f t="shared" si="27"/>
        <v/>
      </c>
      <c r="O382" s="126" t="str">
        <f t="shared" si="28"/>
        <v>-</v>
      </c>
      <c r="P382" s="164"/>
      <c r="Q382" s="164"/>
      <c r="R382" s="164"/>
      <c r="S382" s="164"/>
      <c r="T382" s="164"/>
      <c r="U382" s="164"/>
      <c r="V382" s="166"/>
      <c r="W382" s="164"/>
      <c r="X382" s="164"/>
      <c r="Y382" s="164"/>
    </row>
    <row r="383" spans="1:25" ht="27" customHeight="1">
      <c r="A383" s="172" t="s">
        <v>44</v>
      </c>
      <c r="B383" s="173"/>
      <c r="C383" s="174"/>
      <c r="D383" s="194"/>
      <c r="E383" s="194">
        <f>SUM(E363:E382)</f>
        <v>0</v>
      </c>
      <c r="F383" s="176"/>
      <c r="G383" s="176"/>
      <c r="H383" s="176"/>
      <c r="I383" s="176"/>
      <c r="J383" s="176"/>
      <c r="K383" s="176"/>
      <c r="L383" s="176"/>
      <c r="M383" s="177"/>
      <c r="N383" s="163" t="str">
        <f t="shared" si="27"/>
        <v/>
      </c>
      <c r="O383" s="126"/>
      <c r="P383" s="164"/>
      <c r="Q383" s="164"/>
      <c r="R383" s="164"/>
      <c r="S383" s="164"/>
      <c r="T383" s="164"/>
      <c r="U383" s="164"/>
      <c r="V383" s="166"/>
      <c r="W383" s="164"/>
      <c r="X383" s="164"/>
      <c r="Y383" s="164"/>
    </row>
    <row r="384" spans="1:25" ht="27" customHeight="1">
      <c r="A384" s="187" t="str">
        <f>IF(ISBLANK(C384)," ",379-COUNTBLANK($C$6:C384))</f>
        <v xml:space="preserve"> </v>
      </c>
      <c r="B384" s="188"/>
      <c r="C384" s="188"/>
      <c r="D384" s="189"/>
      <c r="E384" s="189"/>
      <c r="F384" s="190"/>
      <c r="G384" s="190"/>
      <c r="H384" s="190"/>
      <c r="I384" s="190"/>
      <c r="J384" s="190"/>
      <c r="K384" s="190"/>
      <c r="L384" s="190"/>
      <c r="M384" s="191"/>
      <c r="N384" s="163" t="str">
        <f>CONCATENATE(C384,H384)</f>
        <v/>
      </c>
      <c r="O384" s="126" t="str">
        <f>IF(D384&gt;=E384,"-","ERR")</f>
        <v>-</v>
      </c>
      <c r="P384" s="164"/>
      <c r="Q384" s="164"/>
      <c r="R384" s="164"/>
      <c r="S384" s="164"/>
      <c r="T384" s="164"/>
      <c r="U384" s="164"/>
      <c r="V384" s="164"/>
    </row>
    <row r="385" spans="1:22" ht="27" customHeight="1">
      <c r="A385" s="192" t="str">
        <f>IF(ISBLANK(C385)," ",380-COUNTBLANK($C$6:C385))</f>
        <v xml:space="preserve"> </v>
      </c>
      <c r="B385" s="178"/>
      <c r="C385" s="178"/>
      <c r="D385" s="193"/>
      <c r="E385" s="193"/>
      <c r="F385" s="180"/>
      <c r="G385" s="180"/>
      <c r="H385" s="180"/>
      <c r="I385" s="180"/>
      <c r="J385" s="180"/>
      <c r="K385" s="180"/>
      <c r="L385" s="180"/>
      <c r="M385" s="181"/>
      <c r="N385" s="163" t="str">
        <f t="shared" ref="N385:N404" si="29">CONCATENATE(C385,H385)</f>
        <v/>
      </c>
      <c r="O385" s="126" t="str">
        <f t="shared" ref="O385:O403" si="30">IF(D385&gt;=E385,"-","ERR")</f>
        <v>-</v>
      </c>
      <c r="P385" s="164"/>
      <c r="Q385" s="164"/>
      <c r="R385" s="164"/>
      <c r="S385" s="164"/>
      <c r="T385" s="164"/>
      <c r="U385" s="164"/>
      <c r="V385" s="164"/>
    </row>
    <row r="386" spans="1:22" ht="27" customHeight="1">
      <c r="A386" s="192" t="str">
        <f>IF(ISBLANK(C386)," ",381-COUNTBLANK($C$6:C386))</f>
        <v xml:space="preserve"> </v>
      </c>
      <c r="B386" s="178"/>
      <c r="C386" s="178"/>
      <c r="D386" s="193"/>
      <c r="E386" s="193"/>
      <c r="F386" s="180"/>
      <c r="G386" s="180"/>
      <c r="H386" s="180"/>
      <c r="I386" s="180"/>
      <c r="J386" s="180"/>
      <c r="K386" s="180"/>
      <c r="L386" s="180"/>
      <c r="M386" s="181"/>
      <c r="N386" s="163" t="str">
        <f t="shared" si="29"/>
        <v/>
      </c>
      <c r="O386" s="126" t="str">
        <f t="shared" si="30"/>
        <v>-</v>
      </c>
      <c r="P386" s="164"/>
      <c r="Q386" s="164"/>
      <c r="R386" s="164"/>
      <c r="S386" s="164"/>
      <c r="T386" s="164"/>
      <c r="U386" s="164"/>
      <c r="V386" s="164"/>
    </row>
    <row r="387" spans="1:22" ht="27" customHeight="1">
      <c r="A387" s="192" t="str">
        <f>IF(ISBLANK(C387)," ",382-COUNTBLANK($C$6:C387))</f>
        <v xml:space="preserve"> </v>
      </c>
      <c r="B387" s="178"/>
      <c r="C387" s="178"/>
      <c r="D387" s="193"/>
      <c r="E387" s="193"/>
      <c r="F387" s="180"/>
      <c r="G387" s="180"/>
      <c r="H387" s="180"/>
      <c r="I387" s="180"/>
      <c r="J387" s="180"/>
      <c r="K387" s="180"/>
      <c r="L387" s="180"/>
      <c r="M387" s="181"/>
      <c r="N387" s="163" t="str">
        <f t="shared" si="29"/>
        <v/>
      </c>
      <c r="O387" s="126" t="str">
        <f t="shared" si="30"/>
        <v>-</v>
      </c>
      <c r="P387" s="164"/>
      <c r="Q387" s="164"/>
      <c r="R387" s="164"/>
      <c r="S387" s="164"/>
      <c r="T387" s="164"/>
      <c r="U387" s="164"/>
      <c r="V387" s="164"/>
    </row>
    <row r="388" spans="1:22" ht="27" customHeight="1">
      <c r="A388" s="192" t="str">
        <f>IF(ISBLANK(C388)," ",383-COUNTBLANK($C$6:C388))</f>
        <v xml:space="preserve"> </v>
      </c>
      <c r="B388" s="178"/>
      <c r="C388" s="178"/>
      <c r="D388" s="193"/>
      <c r="E388" s="193"/>
      <c r="F388" s="180"/>
      <c r="G388" s="180"/>
      <c r="H388" s="180"/>
      <c r="I388" s="180"/>
      <c r="J388" s="180"/>
      <c r="K388" s="180"/>
      <c r="L388" s="180"/>
      <c r="M388" s="181"/>
      <c r="N388" s="163" t="str">
        <f t="shared" si="29"/>
        <v/>
      </c>
      <c r="O388" s="126" t="str">
        <f t="shared" si="30"/>
        <v>-</v>
      </c>
      <c r="P388" s="164"/>
      <c r="Q388" s="164"/>
      <c r="R388" s="164"/>
      <c r="S388" s="164"/>
      <c r="T388" s="164"/>
      <c r="U388" s="164"/>
      <c r="V388" s="164"/>
    </row>
    <row r="389" spans="1:22" ht="27" customHeight="1">
      <c r="A389" s="192" t="str">
        <f>IF(ISBLANK(C389)," ",384-COUNTBLANK($C$6:C389))</f>
        <v xml:space="preserve"> </v>
      </c>
      <c r="B389" s="178"/>
      <c r="C389" s="178"/>
      <c r="D389" s="193"/>
      <c r="E389" s="193"/>
      <c r="F389" s="180"/>
      <c r="G389" s="180"/>
      <c r="H389" s="180"/>
      <c r="I389" s="180"/>
      <c r="J389" s="180"/>
      <c r="K389" s="180"/>
      <c r="L389" s="180"/>
      <c r="M389" s="181"/>
      <c r="N389" s="163" t="str">
        <f t="shared" si="29"/>
        <v/>
      </c>
      <c r="O389" s="126" t="str">
        <f t="shared" si="30"/>
        <v>-</v>
      </c>
      <c r="P389" s="164"/>
      <c r="Q389" s="164"/>
      <c r="R389" s="164"/>
      <c r="S389" s="164"/>
      <c r="T389" s="164"/>
      <c r="U389" s="164"/>
      <c r="V389" s="164"/>
    </row>
    <row r="390" spans="1:22" ht="27" customHeight="1">
      <c r="A390" s="192" t="str">
        <f>IF(ISBLANK(C390)," ",385-COUNTBLANK($C$6:C390))</f>
        <v xml:space="preserve"> </v>
      </c>
      <c r="B390" s="178"/>
      <c r="C390" s="178"/>
      <c r="D390" s="193"/>
      <c r="E390" s="193"/>
      <c r="F390" s="180"/>
      <c r="G390" s="180"/>
      <c r="H390" s="180"/>
      <c r="I390" s="180"/>
      <c r="J390" s="180"/>
      <c r="K390" s="180"/>
      <c r="L390" s="180"/>
      <c r="M390" s="181"/>
      <c r="N390" s="163" t="str">
        <f t="shared" si="29"/>
        <v/>
      </c>
      <c r="O390" s="126" t="str">
        <f t="shared" si="30"/>
        <v>-</v>
      </c>
      <c r="P390" s="164"/>
      <c r="Q390" s="164"/>
      <c r="R390" s="164"/>
      <c r="S390" s="164"/>
      <c r="T390" s="164"/>
      <c r="U390" s="164"/>
      <c r="V390" s="164"/>
    </row>
    <row r="391" spans="1:22" ht="27" customHeight="1">
      <c r="A391" s="192" t="str">
        <f>IF(ISBLANK(C391)," ",386-COUNTBLANK($C$6:C391))</f>
        <v xml:space="preserve"> </v>
      </c>
      <c r="B391" s="178"/>
      <c r="C391" s="178"/>
      <c r="D391" s="193"/>
      <c r="E391" s="193"/>
      <c r="F391" s="180"/>
      <c r="G391" s="180"/>
      <c r="H391" s="180"/>
      <c r="I391" s="180"/>
      <c r="J391" s="180"/>
      <c r="K391" s="180"/>
      <c r="L391" s="180"/>
      <c r="M391" s="181"/>
      <c r="N391" s="163" t="str">
        <f t="shared" si="29"/>
        <v/>
      </c>
      <c r="O391" s="126" t="str">
        <f t="shared" si="30"/>
        <v>-</v>
      </c>
      <c r="P391" s="164"/>
      <c r="Q391" s="164"/>
      <c r="R391" s="164"/>
      <c r="S391" s="164"/>
      <c r="T391" s="164"/>
      <c r="U391" s="164"/>
      <c r="V391" s="164"/>
    </row>
    <row r="392" spans="1:22" ht="27" customHeight="1">
      <c r="A392" s="192" t="str">
        <f>IF(ISBLANK(C392)," ",387-COUNTBLANK($C$6:C392))</f>
        <v xml:space="preserve"> </v>
      </c>
      <c r="B392" s="178"/>
      <c r="C392" s="178"/>
      <c r="D392" s="193"/>
      <c r="E392" s="193"/>
      <c r="F392" s="180"/>
      <c r="G392" s="180"/>
      <c r="H392" s="180"/>
      <c r="I392" s="180"/>
      <c r="J392" s="180"/>
      <c r="K392" s="180"/>
      <c r="L392" s="180"/>
      <c r="M392" s="181"/>
      <c r="N392" s="163" t="str">
        <f t="shared" si="29"/>
        <v/>
      </c>
      <c r="O392" s="126" t="str">
        <f t="shared" si="30"/>
        <v>-</v>
      </c>
      <c r="P392" s="164"/>
      <c r="Q392" s="164"/>
      <c r="R392" s="164"/>
      <c r="S392" s="164"/>
      <c r="T392" s="164"/>
      <c r="U392" s="164"/>
      <c r="V392" s="164"/>
    </row>
    <row r="393" spans="1:22" ht="27" customHeight="1">
      <c r="A393" s="192" t="str">
        <f>IF(ISBLANK(C393)," ",388-COUNTBLANK($C$6:C393))</f>
        <v xml:space="preserve"> </v>
      </c>
      <c r="B393" s="178"/>
      <c r="C393" s="178"/>
      <c r="D393" s="193"/>
      <c r="E393" s="193"/>
      <c r="F393" s="180"/>
      <c r="G393" s="180"/>
      <c r="H393" s="180"/>
      <c r="I393" s="180"/>
      <c r="J393" s="180"/>
      <c r="K393" s="180"/>
      <c r="L393" s="180"/>
      <c r="M393" s="181"/>
      <c r="N393" s="163" t="str">
        <f t="shared" si="29"/>
        <v/>
      </c>
      <c r="O393" s="126" t="str">
        <f t="shared" si="30"/>
        <v>-</v>
      </c>
      <c r="P393" s="164"/>
      <c r="Q393" s="164"/>
      <c r="R393" s="164"/>
      <c r="S393" s="164"/>
      <c r="T393" s="164"/>
      <c r="U393" s="164"/>
      <c r="V393" s="164"/>
    </row>
    <row r="394" spans="1:22" ht="27" customHeight="1">
      <c r="A394" s="192" t="str">
        <f>IF(ISBLANK(C394)," ",389-COUNTBLANK($C$6:C394))</f>
        <v xml:space="preserve"> </v>
      </c>
      <c r="B394" s="178"/>
      <c r="C394" s="178"/>
      <c r="D394" s="193"/>
      <c r="E394" s="193"/>
      <c r="F394" s="180"/>
      <c r="G394" s="180"/>
      <c r="H394" s="180"/>
      <c r="I394" s="180"/>
      <c r="J394" s="180"/>
      <c r="K394" s="180"/>
      <c r="L394" s="180"/>
      <c r="M394" s="181"/>
      <c r="N394" s="163" t="str">
        <f t="shared" si="29"/>
        <v/>
      </c>
      <c r="O394" s="126" t="str">
        <f t="shared" si="30"/>
        <v>-</v>
      </c>
      <c r="P394" s="164"/>
      <c r="Q394" s="164"/>
      <c r="R394" s="164"/>
      <c r="S394" s="164"/>
      <c r="T394" s="164"/>
      <c r="U394" s="164"/>
      <c r="V394" s="164"/>
    </row>
    <row r="395" spans="1:22" ht="27" customHeight="1">
      <c r="A395" s="192" t="str">
        <f>IF(ISBLANK(C395)," ",390-COUNTBLANK($C$6:C395))</f>
        <v xml:space="preserve"> </v>
      </c>
      <c r="B395" s="178"/>
      <c r="C395" s="178"/>
      <c r="D395" s="193"/>
      <c r="E395" s="193"/>
      <c r="F395" s="180"/>
      <c r="G395" s="180"/>
      <c r="H395" s="180"/>
      <c r="I395" s="180"/>
      <c r="J395" s="180"/>
      <c r="K395" s="180"/>
      <c r="L395" s="180"/>
      <c r="M395" s="181"/>
      <c r="N395" s="163" t="str">
        <f t="shared" si="29"/>
        <v/>
      </c>
      <c r="O395" s="126" t="str">
        <f t="shared" si="30"/>
        <v>-</v>
      </c>
      <c r="P395" s="164"/>
      <c r="Q395" s="164"/>
      <c r="R395" s="164"/>
      <c r="S395" s="164"/>
      <c r="T395" s="164"/>
      <c r="U395" s="164"/>
      <c r="V395" s="164"/>
    </row>
    <row r="396" spans="1:22" ht="27" customHeight="1">
      <c r="A396" s="192" t="str">
        <f>IF(ISBLANK(C396)," ",391-COUNTBLANK($C$6:C396))</f>
        <v xml:space="preserve"> </v>
      </c>
      <c r="B396" s="178"/>
      <c r="C396" s="178"/>
      <c r="D396" s="193"/>
      <c r="E396" s="193"/>
      <c r="F396" s="180"/>
      <c r="G396" s="180"/>
      <c r="H396" s="180"/>
      <c r="I396" s="180"/>
      <c r="J396" s="180"/>
      <c r="K396" s="180"/>
      <c r="L396" s="180"/>
      <c r="M396" s="181"/>
      <c r="N396" s="163" t="str">
        <f t="shared" si="29"/>
        <v/>
      </c>
      <c r="O396" s="126" t="str">
        <f t="shared" si="30"/>
        <v>-</v>
      </c>
      <c r="P396" s="164"/>
      <c r="Q396" s="164"/>
      <c r="R396" s="164"/>
      <c r="S396" s="164"/>
      <c r="T396" s="164"/>
      <c r="U396" s="164"/>
      <c r="V396" s="164"/>
    </row>
    <row r="397" spans="1:22" ht="27" customHeight="1">
      <c r="A397" s="192" t="str">
        <f>IF(ISBLANK(C397)," ",392-COUNTBLANK($C$6:C397))</f>
        <v xml:space="preserve"> </v>
      </c>
      <c r="B397" s="178"/>
      <c r="C397" s="178"/>
      <c r="D397" s="193"/>
      <c r="E397" s="193"/>
      <c r="F397" s="180"/>
      <c r="G397" s="180"/>
      <c r="H397" s="180"/>
      <c r="I397" s="180"/>
      <c r="J397" s="180"/>
      <c r="K397" s="180"/>
      <c r="L397" s="180"/>
      <c r="M397" s="181"/>
      <c r="N397" s="163" t="str">
        <f t="shared" si="29"/>
        <v/>
      </c>
      <c r="O397" s="126" t="str">
        <f t="shared" si="30"/>
        <v>-</v>
      </c>
      <c r="P397" s="164"/>
      <c r="Q397" s="164"/>
      <c r="R397" s="164"/>
      <c r="S397" s="164"/>
      <c r="T397" s="164"/>
      <c r="U397" s="164"/>
      <c r="V397" s="164"/>
    </row>
    <row r="398" spans="1:22" ht="27" customHeight="1">
      <c r="A398" s="192" t="str">
        <f>IF(ISBLANK(C398)," ",393-COUNTBLANK($C$6:C398))</f>
        <v xml:space="preserve"> </v>
      </c>
      <c r="B398" s="178"/>
      <c r="C398" s="178"/>
      <c r="D398" s="193"/>
      <c r="E398" s="193"/>
      <c r="F398" s="180"/>
      <c r="G398" s="180"/>
      <c r="H398" s="180"/>
      <c r="I398" s="180"/>
      <c r="J398" s="180"/>
      <c r="K398" s="180"/>
      <c r="L398" s="180"/>
      <c r="M398" s="181"/>
      <c r="N398" s="163" t="str">
        <f t="shared" si="29"/>
        <v/>
      </c>
      <c r="O398" s="126" t="str">
        <f t="shared" si="30"/>
        <v>-</v>
      </c>
      <c r="P398" s="164"/>
      <c r="Q398" s="164"/>
      <c r="R398" s="164"/>
      <c r="S398" s="164"/>
      <c r="T398" s="164"/>
      <c r="U398" s="164"/>
      <c r="V398" s="164"/>
    </row>
    <row r="399" spans="1:22" ht="27" customHeight="1">
      <c r="A399" s="192" t="str">
        <f>IF(ISBLANK(C399)," ",394-COUNTBLANK($C$6:C399))</f>
        <v xml:space="preserve"> </v>
      </c>
      <c r="B399" s="178"/>
      <c r="C399" s="178"/>
      <c r="D399" s="193"/>
      <c r="E399" s="193"/>
      <c r="F399" s="180"/>
      <c r="G399" s="180"/>
      <c r="H399" s="180"/>
      <c r="I399" s="180"/>
      <c r="J399" s="180"/>
      <c r="K399" s="180"/>
      <c r="L399" s="180"/>
      <c r="M399" s="181"/>
      <c r="N399" s="163" t="str">
        <f t="shared" si="29"/>
        <v/>
      </c>
      <c r="O399" s="126" t="str">
        <f t="shared" si="30"/>
        <v>-</v>
      </c>
      <c r="P399" s="164"/>
      <c r="Q399" s="164"/>
      <c r="R399" s="164"/>
      <c r="S399" s="164"/>
      <c r="T399" s="164"/>
      <c r="U399" s="164"/>
      <c r="V399" s="165"/>
    </row>
    <row r="400" spans="1:22" ht="27" customHeight="1">
      <c r="A400" s="192" t="str">
        <f>IF(ISBLANK(C400)," ",395-COUNTBLANK($C$6:C400))</f>
        <v xml:space="preserve"> </v>
      </c>
      <c r="B400" s="178"/>
      <c r="C400" s="178"/>
      <c r="D400" s="193"/>
      <c r="E400" s="193"/>
      <c r="F400" s="180"/>
      <c r="G400" s="180"/>
      <c r="H400" s="180"/>
      <c r="I400" s="180"/>
      <c r="J400" s="180"/>
      <c r="K400" s="180"/>
      <c r="L400" s="180"/>
      <c r="M400" s="181"/>
      <c r="N400" s="163" t="str">
        <f t="shared" si="29"/>
        <v/>
      </c>
      <c r="O400" s="126" t="str">
        <f t="shared" si="30"/>
        <v>-</v>
      </c>
      <c r="P400" s="164"/>
      <c r="Q400" s="164"/>
      <c r="R400" s="164"/>
      <c r="S400" s="164"/>
      <c r="T400" s="164"/>
      <c r="U400" s="164"/>
      <c r="V400" s="165"/>
    </row>
    <row r="401" spans="1:25" ht="27" customHeight="1">
      <c r="A401" s="192" t="str">
        <f>IF(ISBLANK(C401)," ",396-COUNTBLANK($C$6:C401))</f>
        <v xml:space="preserve"> </v>
      </c>
      <c r="B401" s="178"/>
      <c r="C401" s="178"/>
      <c r="D401" s="193"/>
      <c r="E401" s="193"/>
      <c r="F401" s="180"/>
      <c r="G401" s="180"/>
      <c r="H401" s="180"/>
      <c r="I401" s="180"/>
      <c r="J401" s="180"/>
      <c r="K401" s="180"/>
      <c r="L401" s="180"/>
      <c r="M401" s="181"/>
      <c r="N401" s="163" t="str">
        <f t="shared" si="29"/>
        <v/>
      </c>
      <c r="O401" s="126" t="str">
        <f t="shared" si="30"/>
        <v>-</v>
      </c>
      <c r="P401" s="164"/>
      <c r="Q401" s="164"/>
      <c r="R401" s="164"/>
      <c r="S401" s="164"/>
      <c r="T401" s="164"/>
      <c r="U401" s="164"/>
      <c r="V401" s="165"/>
    </row>
    <row r="402" spans="1:25" ht="27" customHeight="1">
      <c r="A402" s="192" t="str">
        <f>IF(ISBLANK(C402)," ",397-COUNTBLANK($C$6:C402))</f>
        <v xml:space="preserve"> </v>
      </c>
      <c r="B402" s="178"/>
      <c r="C402" s="178"/>
      <c r="D402" s="193"/>
      <c r="E402" s="193"/>
      <c r="F402" s="180"/>
      <c r="G402" s="180"/>
      <c r="H402" s="180"/>
      <c r="I402" s="180"/>
      <c r="J402" s="180"/>
      <c r="K402" s="180"/>
      <c r="L402" s="180"/>
      <c r="M402" s="181"/>
      <c r="N402" s="163" t="str">
        <f t="shared" si="29"/>
        <v/>
      </c>
      <c r="O402" s="126" t="str">
        <f t="shared" si="30"/>
        <v>-</v>
      </c>
      <c r="P402" s="164"/>
      <c r="Q402" s="164"/>
      <c r="R402" s="164"/>
      <c r="S402" s="164"/>
      <c r="T402" s="164"/>
      <c r="U402" s="164"/>
      <c r="V402" s="165"/>
    </row>
    <row r="403" spans="1:25" ht="27" customHeight="1">
      <c r="A403" s="192" t="str">
        <f>IF(ISBLANK(C403)," ",398-COUNTBLANK($C$6:C403))</f>
        <v xml:space="preserve"> </v>
      </c>
      <c r="B403" s="178"/>
      <c r="C403" s="178"/>
      <c r="D403" s="193"/>
      <c r="E403" s="193"/>
      <c r="F403" s="180"/>
      <c r="G403" s="180"/>
      <c r="H403" s="180"/>
      <c r="I403" s="180"/>
      <c r="J403" s="180"/>
      <c r="K403" s="180"/>
      <c r="L403" s="180"/>
      <c r="M403" s="181"/>
      <c r="N403" s="163" t="str">
        <f t="shared" si="29"/>
        <v/>
      </c>
      <c r="O403" s="126" t="str">
        <f t="shared" si="30"/>
        <v>-</v>
      </c>
      <c r="P403" s="164"/>
      <c r="Q403" s="164"/>
      <c r="R403" s="164"/>
      <c r="S403" s="164"/>
      <c r="T403" s="164"/>
      <c r="U403" s="164"/>
      <c r="V403" s="166"/>
      <c r="W403" s="164"/>
      <c r="X403" s="164"/>
      <c r="Y403" s="164"/>
    </row>
    <row r="404" spans="1:25" ht="27" customHeight="1">
      <c r="A404" s="172" t="s">
        <v>44</v>
      </c>
      <c r="B404" s="173"/>
      <c r="C404" s="174"/>
      <c r="D404" s="194"/>
      <c r="E404" s="194">
        <f>SUM(E384:E403)</f>
        <v>0</v>
      </c>
      <c r="F404" s="176"/>
      <c r="G404" s="176"/>
      <c r="H404" s="176"/>
      <c r="I404" s="176"/>
      <c r="J404" s="176"/>
      <c r="K404" s="176"/>
      <c r="L404" s="176"/>
      <c r="M404" s="177"/>
      <c r="N404" s="163" t="str">
        <f t="shared" si="29"/>
        <v/>
      </c>
      <c r="O404" s="126"/>
      <c r="P404" s="164"/>
      <c r="Q404" s="164"/>
      <c r="R404" s="164"/>
      <c r="S404" s="164"/>
      <c r="T404" s="164"/>
      <c r="U404" s="164"/>
      <c r="V404" s="166"/>
      <c r="W404" s="164"/>
      <c r="X404" s="164"/>
      <c r="Y404" s="164"/>
    </row>
    <row r="405" spans="1:25" ht="27" customHeight="1">
      <c r="A405" s="187" t="str">
        <f>IF(ISBLANK(C405)," ",400-COUNTBLANK($C$6:C405))</f>
        <v xml:space="preserve"> </v>
      </c>
      <c r="B405" s="188"/>
      <c r="C405" s="188"/>
      <c r="D405" s="189"/>
      <c r="E405" s="189"/>
      <c r="F405" s="190"/>
      <c r="G405" s="190"/>
      <c r="H405" s="190"/>
      <c r="I405" s="190"/>
      <c r="J405" s="190"/>
      <c r="K405" s="190"/>
      <c r="L405" s="190"/>
      <c r="M405" s="191"/>
      <c r="N405" s="163" t="str">
        <f>CONCATENATE(C405,H405)</f>
        <v/>
      </c>
      <c r="O405" s="126" t="str">
        <f>IF(D405&gt;=E405,"-","ERR")</f>
        <v>-</v>
      </c>
      <c r="P405" s="164"/>
      <c r="Q405" s="164"/>
      <c r="R405" s="164"/>
      <c r="S405" s="164"/>
      <c r="T405" s="164"/>
      <c r="U405" s="164"/>
      <c r="V405" s="164"/>
    </row>
    <row r="406" spans="1:25" ht="27" customHeight="1">
      <c r="A406" s="192" t="str">
        <f>IF(ISBLANK(C406)," ",401-COUNTBLANK($C$6:C406))</f>
        <v xml:space="preserve"> </v>
      </c>
      <c r="B406" s="178"/>
      <c r="C406" s="178"/>
      <c r="D406" s="193"/>
      <c r="E406" s="193"/>
      <c r="F406" s="180"/>
      <c r="G406" s="180"/>
      <c r="H406" s="180"/>
      <c r="I406" s="180"/>
      <c r="J406" s="180"/>
      <c r="K406" s="180"/>
      <c r="L406" s="180"/>
      <c r="M406" s="181"/>
      <c r="N406" s="163" t="str">
        <f t="shared" ref="N406:N425" si="31">CONCATENATE(C406,H406)</f>
        <v/>
      </c>
      <c r="O406" s="126" t="str">
        <f t="shared" ref="O406:O424" si="32">IF(D406&gt;=E406,"-","ERR")</f>
        <v>-</v>
      </c>
      <c r="P406" s="164"/>
      <c r="Q406" s="164"/>
      <c r="R406" s="164"/>
      <c r="S406" s="164"/>
      <c r="T406" s="164"/>
      <c r="U406" s="164"/>
      <c r="V406" s="164"/>
    </row>
    <row r="407" spans="1:25" ht="27" customHeight="1">
      <c r="A407" s="192" t="str">
        <f>IF(ISBLANK(C407)," ",402-COUNTBLANK($C$6:C407))</f>
        <v xml:space="preserve"> </v>
      </c>
      <c r="B407" s="178"/>
      <c r="C407" s="178"/>
      <c r="D407" s="193"/>
      <c r="E407" s="193"/>
      <c r="F407" s="180"/>
      <c r="G407" s="180"/>
      <c r="H407" s="180"/>
      <c r="I407" s="180"/>
      <c r="J407" s="180"/>
      <c r="K407" s="180"/>
      <c r="L407" s="180"/>
      <c r="M407" s="181"/>
      <c r="N407" s="163" t="str">
        <f t="shared" si="31"/>
        <v/>
      </c>
      <c r="O407" s="126" t="str">
        <f t="shared" si="32"/>
        <v>-</v>
      </c>
      <c r="P407" s="164"/>
      <c r="Q407" s="164"/>
      <c r="R407" s="164"/>
      <c r="S407" s="164"/>
      <c r="T407" s="164"/>
      <c r="U407" s="164"/>
      <c r="V407" s="164"/>
    </row>
    <row r="408" spans="1:25" ht="27" customHeight="1">
      <c r="A408" s="192" t="str">
        <f>IF(ISBLANK(C408)," ",403-COUNTBLANK($C$6:C408))</f>
        <v xml:space="preserve"> </v>
      </c>
      <c r="B408" s="178"/>
      <c r="C408" s="178"/>
      <c r="D408" s="193"/>
      <c r="E408" s="193"/>
      <c r="F408" s="180"/>
      <c r="G408" s="180"/>
      <c r="H408" s="180"/>
      <c r="I408" s="180"/>
      <c r="J408" s="180"/>
      <c r="K408" s="180"/>
      <c r="L408" s="180"/>
      <c r="M408" s="181"/>
      <c r="N408" s="163" t="str">
        <f t="shared" si="31"/>
        <v/>
      </c>
      <c r="O408" s="126" t="str">
        <f t="shared" si="32"/>
        <v>-</v>
      </c>
      <c r="P408" s="164"/>
      <c r="Q408" s="164"/>
      <c r="R408" s="164"/>
      <c r="S408" s="164"/>
      <c r="T408" s="164"/>
      <c r="U408" s="164"/>
      <c r="V408" s="164"/>
    </row>
    <row r="409" spans="1:25" ht="27" customHeight="1">
      <c r="A409" s="192" t="str">
        <f>IF(ISBLANK(C409)," ",404-COUNTBLANK($C$6:C409))</f>
        <v xml:space="preserve"> </v>
      </c>
      <c r="B409" s="178"/>
      <c r="C409" s="178"/>
      <c r="D409" s="193"/>
      <c r="E409" s="193"/>
      <c r="F409" s="180"/>
      <c r="G409" s="180"/>
      <c r="H409" s="180"/>
      <c r="I409" s="180"/>
      <c r="J409" s="180"/>
      <c r="K409" s="180"/>
      <c r="L409" s="180"/>
      <c r="M409" s="181"/>
      <c r="N409" s="163" t="str">
        <f t="shared" si="31"/>
        <v/>
      </c>
      <c r="O409" s="126" t="str">
        <f t="shared" si="32"/>
        <v>-</v>
      </c>
      <c r="P409" s="164"/>
      <c r="Q409" s="164"/>
      <c r="R409" s="164"/>
      <c r="S409" s="164"/>
      <c r="T409" s="164"/>
      <c r="U409" s="164"/>
      <c r="V409" s="164"/>
    </row>
    <row r="410" spans="1:25" ht="27" customHeight="1">
      <c r="A410" s="192" t="str">
        <f>IF(ISBLANK(C410)," ",405-COUNTBLANK($C$6:C410))</f>
        <v xml:space="preserve"> </v>
      </c>
      <c r="B410" s="178"/>
      <c r="C410" s="178"/>
      <c r="D410" s="193"/>
      <c r="E410" s="193"/>
      <c r="F410" s="180"/>
      <c r="G410" s="180"/>
      <c r="H410" s="180"/>
      <c r="I410" s="180"/>
      <c r="J410" s="180"/>
      <c r="K410" s="180"/>
      <c r="L410" s="180"/>
      <c r="M410" s="181"/>
      <c r="N410" s="163" t="str">
        <f t="shared" si="31"/>
        <v/>
      </c>
      <c r="O410" s="126" t="str">
        <f t="shared" si="32"/>
        <v>-</v>
      </c>
      <c r="P410" s="164"/>
      <c r="Q410" s="164"/>
      <c r="R410" s="164"/>
      <c r="S410" s="164"/>
      <c r="T410" s="164"/>
      <c r="U410" s="164"/>
      <c r="V410" s="164"/>
    </row>
    <row r="411" spans="1:25" ht="27" customHeight="1">
      <c r="A411" s="192" t="str">
        <f>IF(ISBLANK(C411)," ",406-COUNTBLANK($C$6:C411))</f>
        <v xml:space="preserve"> </v>
      </c>
      <c r="B411" s="178"/>
      <c r="C411" s="178"/>
      <c r="D411" s="193"/>
      <c r="E411" s="193"/>
      <c r="F411" s="180"/>
      <c r="G411" s="180"/>
      <c r="H411" s="180"/>
      <c r="I411" s="180"/>
      <c r="J411" s="180"/>
      <c r="K411" s="180"/>
      <c r="L411" s="180"/>
      <c r="M411" s="181"/>
      <c r="N411" s="163" t="str">
        <f t="shared" si="31"/>
        <v/>
      </c>
      <c r="O411" s="126" t="str">
        <f t="shared" si="32"/>
        <v>-</v>
      </c>
      <c r="P411" s="164"/>
      <c r="Q411" s="164"/>
      <c r="R411" s="164"/>
      <c r="S411" s="164"/>
      <c r="T411" s="164"/>
      <c r="U411" s="164"/>
      <c r="V411" s="164"/>
    </row>
    <row r="412" spans="1:25" ht="27" customHeight="1">
      <c r="A412" s="192" t="str">
        <f>IF(ISBLANK(C412)," ",407-COUNTBLANK($C$6:C412))</f>
        <v xml:space="preserve"> </v>
      </c>
      <c r="B412" s="178"/>
      <c r="C412" s="178"/>
      <c r="D412" s="193"/>
      <c r="E412" s="193"/>
      <c r="F412" s="180"/>
      <c r="G412" s="180"/>
      <c r="H412" s="180"/>
      <c r="I412" s="180"/>
      <c r="J412" s="180"/>
      <c r="K412" s="180"/>
      <c r="L412" s="180"/>
      <c r="M412" s="181"/>
      <c r="N412" s="163" t="str">
        <f t="shared" si="31"/>
        <v/>
      </c>
      <c r="O412" s="126" t="str">
        <f t="shared" si="32"/>
        <v>-</v>
      </c>
      <c r="P412" s="164"/>
      <c r="Q412" s="164"/>
      <c r="R412" s="164"/>
      <c r="S412" s="164"/>
      <c r="T412" s="164"/>
      <c r="U412" s="164"/>
      <c r="V412" s="164"/>
    </row>
    <row r="413" spans="1:25" ht="27" customHeight="1">
      <c r="A413" s="192" t="str">
        <f>IF(ISBLANK(C413)," ",408-COUNTBLANK($C$6:C413))</f>
        <v xml:space="preserve"> </v>
      </c>
      <c r="B413" s="178"/>
      <c r="C413" s="178"/>
      <c r="D413" s="193"/>
      <c r="E413" s="193"/>
      <c r="F413" s="180"/>
      <c r="G413" s="180"/>
      <c r="H413" s="180"/>
      <c r="I413" s="180"/>
      <c r="J413" s="180"/>
      <c r="K413" s="180"/>
      <c r="L413" s="180"/>
      <c r="M413" s="181"/>
      <c r="N413" s="163" t="str">
        <f t="shared" si="31"/>
        <v/>
      </c>
      <c r="O413" s="126" t="str">
        <f t="shared" si="32"/>
        <v>-</v>
      </c>
      <c r="P413" s="164"/>
      <c r="Q413" s="164"/>
      <c r="R413" s="164"/>
      <c r="S413" s="164"/>
      <c r="T413" s="164"/>
      <c r="U413" s="164"/>
      <c r="V413" s="164"/>
    </row>
    <row r="414" spans="1:25" ht="27" customHeight="1">
      <c r="A414" s="192" t="str">
        <f>IF(ISBLANK(C414)," ",409-COUNTBLANK($C$6:C414))</f>
        <v xml:space="preserve"> </v>
      </c>
      <c r="B414" s="178"/>
      <c r="C414" s="178"/>
      <c r="D414" s="193"/>
      <c r="E414" s="193"/>
      <c r="F414" s="180"/>
      <c r="G414" s="180"/>
      <c r="H414" s="180"/>
      <c r="I414" s="180"/>
      <c r="J414" s="180"/>
      <c r="K414" s="180"/>
      <c r="L414" s="180"/>
      <c r="M414" s="181"/>
      <c r="N414" s="163" t="str">
        <f t="shared" si="31"/>
        <v/>
      </c>
      <c r="O414" s="126" t="str">
        <f t="shared" si="32"/>
        <v>-</v>
      </c>
      <c r="P414" s="164"/>
      <c r="Q414" s="164"/>
      <c r="R414" s="164"/>
      <c r="S414" s="164"/>
      <c r="T414" s="164"/>
      <c r="U414" s="164"/>
      <c r="V414" s="164"/>
    </row>
    <row r="415" spans="1:25" ht="27" customHeight="1">
      <c r="A415" s="192" t="str">
        <f>IF(ISBLANK(C415)," ",410-COUNTBLANK($C$6:C415))</f>
        <v xml:space="preserve"> </v>
      </c>
      <c r="B415" s="178"/>
      <c r="C415" s="178"/>
      <c r="D415" s="193"/>
      <c r="E415" s="193"/>
      <c r="F415" s="180"/>
      <c r="G415" s="180"/>
      <c r="H415" s="180"/>
      <c r="I415" s="180"/>
      <c r="J415" s="180"/>
      <c r="K415" s="180"/>
      <c r="L415" s="180"/>
      <c r="M415" s="181"/>
      <c r="N415" s="163" t="str">
        <f t="shared" si="31"/>
        <v/>
      </c>
      <c r="O415" s="126" t="str">
        <f t="shared" si="32"/>
        <v>-</v>
      </c>
      <c r="P415" s="164"/>
      <c r="Q415" s="164"/>
      <c r="R415" s="164"/>
      <c r="S415" s="164"/>
      <c r="T415" s="164"/>
      <c r="U415" s="164"/>
      <c r="V415" s="164"/>
    </row>
    <row r="416" spans="1:25" ht="27" customHeight="1">
      <c r="A416" s="192" t="str">
        <f>IF(ISBLANK(C416)," ",411-COUNTBLANK($C$6:C416))</f>
        <v xml:space="preserve"> </v>
      </c>
      <c r="B416" s="178"/>
      <c r="C416" s="178"/>
      <c r="D416" s="193"/>
      <c r="E416" s="193"/>
      <c r="F416" s="180"/>
      <c r="G416" s="180"/>
      <c r="H416" s="180"/>
      <c r="I416" s="180"/>
      <c r="J416" s="180"/>
      <c r="K416" s="180"/>
      <c r="L416" s="180"/>
      <c r="M416" s="181"/>
      <c r="N416" s="163" t="str">
        <f t="shared" si="31"/>
        <v/>
      </c>
      <c r="O416" s="126" t="str">
        <f t="shared" si="32"/>
        <v>-</v>
      </c>
      <c r="P416" s="164"/>
      <c r="Q416" s="164"/>
      <c r="R416" s="164"/>
      <c r="S416" s="164"/>
      <c r="T416" s="164"/>
      <c r="U416" s="164"/>
      <c r="V416" s="164"/>
    </row>
    <row r="417" spans="1:25" ht="27" customHeight="1">
      <c r="A417" s="192" t="str">
        <f>IF(ISBLANK(C417)," ",412-COUNTBLANK($C$6:C417))</f>
        <v xml:space="preserve"> </v>
      </c>
      <c r="B417" s="178"/>
      <c r="C417" s="178"/>
      <c r="D417" s="193"/>
      <c r="E417" s="193"/>
      <c r="F417" s="180"/>
      <c r="G417" s="180"/>
      <c r="H417" s="180"/>
      <c r="I417" s="180"/>
      <c r="J417" s="180"/>
      <c r="K417" s="180"/>
      <c r="L417" s="180"/>
      <c r="M417" s="181"/>
      <c r="N417" s="163" t="str">
        <f t="shared" si="31"/>
        <v/>
      </c>
      <c r="O417" s="126" t="str">
        <f t="shared" si="32"/>
        <v>-</v>
      </c>
      <c r="P417" s="164"/>
      <c r="Q417" s="164"/>
      <c r="R417" s="164"/>
      <c r="S417" s="164"/>
      <c r="T417" s="164"/>
      <c r="U417" s="164"/>
      <c r="V417" s="164"/>
    </row>
    <row r="418" spans="1:25" ht="27" customHeight="1">
      <c r="A418" s="192" t="str">
        <f>IF(ISBLANK(C418)," ",413-COUNTBLANK($C$6:C418))</f>
        <v xml:space="preserve"> </v>
      </c>
      <c r="B418" s="178"/>
      <c r="C418" s="178"/>
      <c r="D418" s="193"/>
      <c r="E418" s="193"/>
      <c r="F418" s="180"/>
      <c r="G418" s="180"/>
      <c r="H418" s="180"/>
      <c r="I418" s="180"/>
      <c r="J418" s="180"/>
      <c r="K418" s="180"/>
      <c r="L418" s="180"/>
      <c r="M418" s="181"/>
      <c r="N418" s="163" t="str">
        <f t="shared" si="31"/>
        <v/>
      </c>
      <c r="O418" s="126" t="str">
        <f t="shared" si="32"/>
        <v>-</v>
      </c>
      <c r="P418" s="164"/>
      <c r="Q418" s="164"/>
      <c r="R418" s="164"/>
      <c r="S418" s="164"/>
      <c r="T418" s="164"/>
      <c r="U418" s="164"/>
      <c r="V418" s="164"/>
    </row>
    <row r="419" spans="1:25" ht="27" customHeight="1">
      <c r="A419" s="192" t="str">
        <f>IF(ISBLANK(C419)," ",414-COUNTBLANK($C$6:C419))</f>
        <v xml:space="preserve"> </v>
      </c>
      <c r="B419" s="178"/>
      <c r="C419" s="178"/>
      <c r="D419" s="193"/>
      <c r="E419" s="193"/>
      <c r="F419" s="180"/>
      <c r="G419" s="180"/>
      <c r="H419" s="180"/>
      <c r="I419" s="180"/>
      <c r="J419" s="180"/>
      <c r="K419" s="180"/>
      <c r="L419" s="180"/>
      <c r="M419" s="181"/>
      <c r="N419" s="163" t="str">
        <f t="shared" si="31"/>
        <v/>
      </c>
      <c r="O419" s="126" t="str">
        <f t="shared" si="32"/>
        <v>-</v>
      </c>
      <c r="P419" s="164"/>
      <c r="Q419" s="164"/>
      <c r="R419" s="164"/>
      <c r="S419" s="164"/>
      <c r="T419" s="164"/>
      <c r="U419" s="164"/>
      <c r="V419" s="164"/>
    </row>
    <row r="420" spans="1:25" ht="27" customHeight="1">
      <c r="A420" s="192" t="str">
        <f>IF(ISBLANK(C420)," ",415-COUNTBLANK($C$6:C420))</f>
        <v xml:space="preserve"> </v>
      </c>
      <c r="B420" s="178"/>
      <c r="C420" s="178"/>
      <c r="D420" s="193"/>
      <c r="E420" s="193"/>
      <c r="F420" s="180"/>
      <c r="G420" s="180"/>
      <c r="H420" s="180"/>
      <c r="I420" s="180"/>
      <c r="J420" s="180"/>
      <c r="K420" s="180"/>
      <c r="L420" s="180"/>
      <c r="M420" s="181"/>
      <c r="N420" s="163" t="str">
        <f t="shared" si="31"/>
        <v/>
      </c>
      <c r="O420" s="126" t="str">
        <f t="shared" si="32"/>
        <v>-</v>
      </c>
      <c r="P420" s="164"/>
      <c r="Q420" s="164"/>
      <c r="R420" s="164"/>
      <c r="S420" s="164"/>
      <c r="T420" s="164"/>
      <c r="U420" s="164"/>
      <c r="V420" s="165"/>
    </row>
    <row r="421" spans="1:25" ht="27" customHeight="1">
      <c r="A421" s="192" t="str">
        <f>IF(ISBLANK(C421)," ",416-COUNTBLANK($C$6:C421))</f>
        <v xml:space="preserve"> </v>
      </c>
      <c r="B421" s="178"/>
      <c r="C421" s="178"/>
      <c r="D421" s="193"/>
      <c r="E421" s="193"/>
      <c r="F421" s="180"/>
      <c r="G421" s="180"/>
      <c r="H421" s="180"/>
      <c r="I421" s="180"/>
      <c r="J421" s="180"/>
      <c r="K421" s="180"/>
      <c r="L421" s="180"/>
      <c r="M421" s="181"/>
      <c r="N421" s="163" t="str">
        <f t="shared" si="31"/>
        <v/>
      </c>
      <c r="O421" s="126" t="str">
        <f t="shared" si="32"/>
        <v>-</v>
      </c>
      <c r="P421" s="164"/>
      <c r="Q421" s="164"/>
      <c r="R421" s="164"/>
      <c r="S421" s="164"/>
      <c r="T421" s="164"/>
      <c r="U421" s="164"/>
      <c r="V421" s="165"/>
    </row>
    <row r="422" spans="1:25" ht="27" customHeight="1">
      <c r="A422" s="192" t="str">
        <f>IF(ISBLANK(C422)," ",417-COUNTBLANK($C$6:C422))</f>
        <v xml:space="preserve"> </v>
      </c>
      <c r="B422" s="178"/>
      <c r="C422" s="178"/>
      <c r="D422" s="193"/>
      <c r="E422" s="193"/>
      <c r="F422" s="180"/>
      <c r="G422" s="180"/>
      <c r="H422" s="180"/>
      <c r="I422" s="180"/>
      <c r="J422" s="180"/>
      <c r="K422" s="180"/>
      <c r="L422" s="180"/>
      <c r="M422" s="181"/>
      <c r="N422" s="163" t="str">
        <f t="shared" si="31"/>
        <v/>
      </c>
      <c r="O422" s="126" t="str">
        <f t="shared" si="32"/>
        <v>-</v>
      </c>
      <c r="P422" s="164"/>
      <c r="Q422" s="164"/>
      <c r="R422" s="164"/>
      <c r="S422" s="164"/>
      <c r="T422" s="164"/>
      <c r="U422" s="164"/>
      <c r="V422" s="165"/>
    </row>
    <row r="423" spans="1:25" ht="27" customHeight="1">
      <c r="A423" s="192" t="str">
        <f>IF(ISBLANK(C423)," ",418-COUNTBLANK($C$6:C423))</f>
        <v xml:space="preserve"> </v>
      </c>
      <c r="B423" s="178"/>
      <c r="C423" s="178"/>
      <c r="D423" s="193"/>
      <c r="E423" s="193"/>
      <c r="F423" s="180"/>
      <c r="G423" s="180"/>
      <c r="H423" s="180"/>
      <c r="I423" s="180"/>
      <c r="J423" s="180"/>
      <c r="K423" s="180"/>
      <c r="L423" s="180"/>
      <c r="M423" s="181"/>
      <c r="N423" s="163" t="str">
        <f t="shared" si="31"/>
        <v/>
      </c>
      <c r="O423" s="126" t="str">
        <f t="shared" si="32"/>
        <v>-</v>
      </c>
      <c r="P423" s="164"/>
      <c r="Q423" s="164"/>
      <c r="R423" s="164"/>
      <c r="S423" s="164"/>
      <c r="T423" s="164"/>
      <c r="U423" s="164"/>
      <c r="V423" s="165"/>
    </row>
    <row r="424" spans="1:25" ht="27" customHeight="1">
      <c r="A424" s="192" t="str">
        <f>IF(ISBLANK(C424)," ",419-COUNTBLANK($C$6:C424))</f>
        <v xml:space="preserve"> </v>
      </c>
      <c r="B424" s="178"/>
      <c r="C424" s="178"/>
      <c r="D424" s="193"/>
      <c r="E424" s="193"/>
      <c r="F424" s="180"/>
      <c r="G424" s="180"/>
      <c r="H424" s="180"/>
      <c r="I424" s="180"/>
      <c r="J424" s="180"/>
      <c r="K424" s="180"/>
      <c r="L424" s="180"/>
      <c r="M424" s="181"/>
      <c r="N424" s="163" t="str">
        <f t="shared" si="31"/>
        <v/>
      </c>
      <c r="O424" s="126" t="str">
        <f t="shared" si="32"/>
        <v>-</v>
      </c>
      <c r="P424" s="164"/>
      <c r="Q424" s="164"/>
      <c r="R424" s="164"/>
      <c r="S424" s="164"/>
      <c r="T424" s="164"/>
      <c r="U424" s="164"/>
      <c r="V424" s="166"/>
      <c r="W424" s="164"/>
      <c r="X424" s="164"/>
      <c r="Y424" s="164"/>
    </row>
    <row r="425" spans="1:25" ht="27" customHeight="1">
      <c r="A425" s="172" t="s">
        <v>44</v>
      </c>
      <c r="B425" s="173"/>
      <c r="C425" s="174"/>
      <c r="D425" s="194"/>
      <c r="E425" s="194">
        <f>SUM(E405:E424)</f>
        <v>0</v>
      </c>
      <c r="F425" s="176"/>
      <c r="G425" s="176"/>
      <c r="H425" s="176"/>
      <c r="I425" s="176"/>
      <c r="J425" s="176"/>
      <c r="K425" s="176"/>
      <c r="L425" s="176"/>
      <c r="M425" s="177"/>
      <c r="N425" s="163" t="str">
        <f t="shared" si="31"/>
        <v/>
      </c>
      <c r="O425" s="126"/>
      <c r="P425" s="164"/>
      <c r="Q425" s="164"/>
      <c r="R425" s="164"/>
      <c r="S425" s="164"/>
      <c r="T425" s="164"/>
      <c r="U425" s="164"/>
      <c r="V425" s="166"/>
      <c r="W425" s="164"/>
      <c r="X425" s="164"/>
      <c r="Y425" s="164"/>
    </row>
    <row r="426" spans="1:25" ht="27" customHeight="1">
      <c r="A426" s="187" t="str">
        <f>IF(ISBLANK(C426)," ",421-COUNTBLANK($C$6:C426))</f>
        <v xml:space="preserve"> </v>
      </c>
      <c r="B426" s="188"/>
      <c r="C426" s="188"/>
      <c r="D426" s="189"/>
      <c r="E426" s="189"/>
      <c r="F426" s="190"/>
      <c r="G426" s="190"/>
      <c r="H426" s="190"/>
      <c r="I426" s="190"/>
      <c r="J426" s="190"/>
      <c r="K426" s="190"/>
      <c r="L426" s="190"/>
      <c r="M426" s="191"/>
      <c r="N426" s="163" t="str">
        <f>CONCATENATE(C426,H426)</f>
        <v/>
      </c>
      <c r="O426" s="126" t="str">
        <f>IF(D426&gt;=E426,"-","ERR")</f>
        <v>-</v>
      </c>
      <c r="P426" s="164"/>
      <c r="Q426" s="164"/>
      <c r="R426" s="164"/>
      <c r="S426" s="164"/>
      <c r="T426" s="164"/>
      <c r="U426" s="164"/>
      <c r="V426" s="164"/>
    </row>
    <row r="427" spans="1:25" ht="27" customHeight="1">
      <c r="A427" s="192" t="str">
        <f>IF(ISBLANK(C427)," ",422-COUNTBLANK($C$6:C427))</f>
        <v xml:space="preserve"> </v>
      </c>
      <c r="B427" s="178"/>
      <c r="C427" s="178"/>
      <c r="D427" s="193"/>
      <c r="E427" s="193"/>
      <c r="F427" s="180"/>
      <c r="G427" s="180"/>
      <c r="H427" s="180"/>
      <c r="I427" s="180"/>
      <c r="J427" s="180"/>
      <c r="K427" s="180"/>
      <c r="L427" s="180"/>
      <c r="M427" s="181"/>
      <c r="N427" s="163" t="str">
        <f t="shared" ref="N427:N446" si="33">CONCATENATE(C427,H427)</f>
        <v/>
      </c>
      <c r="O427" s="126" t="str">
        <f t="shared" ref="O427:O445" si="34">IF(D427&gt;=E427,"-","ERR")</f>
        <v>-</v>
      </c>
      <c r="P427" s="164"/>
      <c r="Q427" s="164"/>
      <c r="R427" s="164"/>
      <c r="S427" s="164"/>
      <c r="T427" s="164"/>
      <c r="U427" s="164"/>
      <c r="V427" s="164"/>
    </row>
    <row r="428" spans="1:25" ht="27" customHeight="1">
      <c r="A428" s="192" t="str">
        <f>IF(ISBLANK(C428)," ",423-COUNTBLANK($C$6:C428))</f>
        <v xml:space="preserve"> </v>
      </c>
      <c r="B428" s="178"/>
      <c r="C428" s="178"/>
      <c r="D428" s="193"/>
      <c r="E428" s="193"/>
      <c r="F428" s="180"/>
      <c r="G428" s="180"/>
      <c r="H428" s="180"/>
      <c r="I428" s="180"/>
      <c r="J428" s="180"/>
      <c r="K428" s="180"/>
      <c r="L428" s="180"/>
      <c r="M428" s="181"/>
      <c r="N428" s="163" t="str">
        <f t="shared" si="33"/>
        <v/>
      </c>
      <c r="O428" s="126" t="str">
        <f t="shared" si="34"/>
        <v>-</v>
      </c>
      <c r="P428" s="164"/>
      <c r="Q428" s="164"/>
      <c r="R428" s="164"/>
      <c r="S428" s="164"/>
      <c r="T428" s="164"/>
      <c r="U428" s="164"/>
      <c r="V428" s="164"/>
    </row>
    <row r="429" spans="1:25" ht="27" customHeight="1">
      <c r="A429" s="192" t="str">
        <f>IF(ISBLANK(C429)," ",424-COUNTBLANK($C$6:C429))</f>
        <v xml:space="preserve"> </v>
      </c>
      <c r="B429" s="178"/>
      <c r="C429" s="178"/>
      <c r="D429" s="193"/>
      <c r="E429" s="193"/>
      <c r="F429" s="180"/>
      <c r="G429" s="180"/>
      <c r="H429" s="180"/>
      <c r="I429" s="180"/>
      <c r="J429" s="180"/>
      <c r="K429" s="180"/>
      <c r="L429" s="180"/>
      <c r="M429" s="181"/>
      <c r="N429" s="163" t="str">
        <f t="shared" si="33"/>
        <v/>
      </c>
      <c r="O429" s="126" t="str">
        <f t="shared" si="34"/>
        <v>-</v>
      </c>
      <c r="P429" s="164"/>
      <c r="Q429" s="164"/>
      <c r="R429" s="164"/>
      <c r="S429" s="164"/>
      <c r="T429" s="164"/>
      <c r="U429" s="164"/>
      <c r="V429" s="164"/>
    </row>
    <row r="430" spans="1:25" ht="27" customHeight="1">
      <c r="A430" s="192" t="str">
        <f>IF(ISBLANK(C430)," ",425-COUNTBLANK($C$6:C430))</f>
        <v xml:space="preserve"> </v>
      </c>
      <c r="B430" s="178"/>
      <c r="C430" s="178"/>
      <c r="D430" s="193"/>
      <c r="E430" s="193"/>
      <c r="F430" s="180"/>
      <c r="G430" s="180"/>
      <c r="H430" s="180"/>
      <c r="I430" s="180"/>
      <c r="J430" s="180"/>
      <c r="K430" s="180"/>
      <c r="L430" s="180"/>
      <c r="M430" s="181"/>
      <c r="N430" s="163" t="str">
        <f t="shared" si="33"/>
        <v/>
      </c>
      <c r="O430" s="126" t="str">
        <f t="shared" si="34"/>
        <v>-</v>
      </c>
      <c r="P430" s="164"/>
      <c r="Q430" s="164"/>
      <c r="R430" s="164"/>
      <c r="S430" s="164"/>
      <c r="T430" s="164"/>
      <c r="U430" s="164"/>
      <c r="V430" s="164"/>
    </row>
    <row r="431" spans="1:25" ht="27" customHeight="1">
      <c r="A431" s="192" t="str">
        <f>IF(ISBLANK(C431)," ",426-COUNTBLANK($C$6:C431))</f>
        <v xml:space="preserve"> </v>
      </c>
      <c r="B431" s="178"/>
      <c r="C431" s="178"/>
      <c r="D431" s="193"/>
      <c r="E431" s="193"/>
      <c r="F431" s="180"/>
      <c r="G431" s="180"/>
      <c r="H431" s="180"/>
      <c r="I431" s="180"/>
      <c r="J431" s="180"/>
      <c r="K431" s="180"/>
      <c r="L431" s="180"/>
      <c r="M431" s="181"/>
      <c r="N431" s="163" t="str">
        <f t="shared" si="33"/>
        <v/>
      </c>
      <c r="O431" s="126" t="str">
        <f t="shared" si="34"/>
        <v>-</v>
      </c>
      <c r="P431" s="164"/>
      <c r="Q431" s="164"/>
      <c r="R431" s="164"/>
      <c r="S431" s="164"/>
      <c r="T431" s="164"/>
      <c r="U431" s="164"/>
      <c r="V431" s="164"/>
    </row>
    <row r="432" spans="1:25" ht="27" customHeight="1">
      <c r="A432" s="192" t="str">
        <f>IF(ISBLANK(C432)," ",427-COUNTBLANK($C$6:C432))</f>
        <v xml:space="preserve"> </v>
      </c>
      <c r="B432" s="178"/>
      <c r="C432" s="178"/>
      <c r="D432" s="193"/>
      <c r="E432" s="193"/>
      <c r="F432" s="180"/>
      <c r="G432" s="180"/>
      <c r="H432" s="180"/>
      <c r="I432" s="180"/>
      <c r="J432" s="180"/>
      <c r="K432" s="180"/>
      <c r="L432" s="180"/>
      <c r="M432" s="181"/>
      <c r="N432" s="163" t="str">
        <f t="shared" si="33"/>
        <v/>
      </c>
      <c r="O432" s="126" t="str">
        <f t="shared" si="34"/>
        <v>-</v>
      </c>
      <c r="P432" s="164"/>
      <c r="Q432" s="164"/>
      <c r="R432" s="164"/>
      <c r="S432" s="164"/>
      <c r="T432" s="164"/>
      <c r="U432" s="164"/>
      <c r="V432" s="164"/>
    </row>
    <row r="433" spans="1:25" ht="27" customHeight="1">
      <c r="A433" s="192" t="str">
        <f>IF(ISBLANK(C433)," ",428-COUNTBLANK($C$6:C433))</f>
        <v xml:space="preserve"> </v>
      </c>
      <c r="B433" s="178"/>
      <c r="C433" s="178"/>
      <c r="D433" s="193"/>
      <c r="E433" s="193"/>
      <c r="F433" s="180"/>
      <c r="G433" s="180"/>
      <c r="H433" s="180"/>
      <c r="I433" s="180"/>
      <c r="J433" s="180"/>
      <c r="K433" s="180"/>
      <c r="L433" s="180"/>
      <c r="M433" s="181"/>
      <c r="N433" s="163" t="str">
        <f t="shared" si="33"/>
        <v/>
      </c>
      <c r="O433" s="126" t="str">
        <f t="shared" si="34"/>
        <v>-</v>
      </c>
      <c r="P433" s="164"/>
      <c r="Q433" s="164"/>
      <c r="R433" s="164"/>
      <c r="S433" s="164"/>
      <c r="T433" s="164"/>
      <c r="U433" s="164"/>
      <c r="V433" s="164"/>
    </row>
    <row r="434" spans="1:25" ht="27" customHeight="1">
      <c r="A434" s="192" t="str">
        <f>IF(ISBLANK(C434)," ",429-COUNTBLANK($C$6:C434))</f>
        <v xml:space="preserve"> </v>
      </c>
      <c r="B434" s="178"/>
      <c r="C434" s="178"/>
      <c r="D434" s="193"/>
      <c r="E434" s="193"/>
      <c r="F434" s="180"/>
      <c r="G434" s="180"/>
      <c r="H434" s="180"/>
      <c r="I434" s="180"/>
      <c r="J434" s="180"/>
      <c r="K434" s="180"/>
      <c r="L434" s="180"/>
      <c r="M434" s="181"/>
      <c r="N434" s="163" t="str">
        <f t="shared" si="33"/>
        <v/>
      </c>
      <c r="O434" s="126" t="str">
        <f t="shared" si="34"/>
        <v>-</v>
      </c>
      <c r="P434" s="164"/>
      <c r="Q434" s="164"/>
      <c r="R434" s="164"/>
      <c r="S434" s="164"/>
      <c r="T434" s="164"/>
      <c r="U434" s="164"/>
      <c r="V434" s="164"/>
    </row>
    <row r="435" spans="1:25" ht="27" customHeight="1">
      <c r="A435" s="192" t="str">
        <f>IF(ISBLANK(C435)," ",430-COUNTBLANK($C$6:C435))</f>
        <v xml:space="preserve"> </v>
      </c>
      <c r="B435" s="178"/>
      <c r="C435" s="178"/>
      <c r="D435" s="193"/>
      <c r="E435" s="193"/>
      <c r="F435" s="180"/>
      <c r="G435" s="180"/>
      <c r="H435" s="180"/>
      <c r="I435" s="180"/>
      <c r="J435" s="180"/>
      <c r="K435" s="180"/>
      <c r="L435" s="180"/>
      <c r="M435" s="181"/>
      <c r="N435" s="163" t="str">
        <f t="shared" si="33"/>
        <v/>
      </c>
      <c r="O435" s="126" t="str">
        <f t="shared" si="34"/>
        <v>-</v>
      </c>
      <c r="P435" s="164"/>
      <c r="Q435" s="164"/>
      <c r="R435" s="164"/>
      <c r="S435" s="164"/>
      <c r="T435" s="164"/>
      <c r="U435" s="164"/>
      <c r="V435" s="164"/>
    </row>
    <row r="436" spans="1:25" ht="27" customHeight="1">
      <c r="A436" s="192" t="str">
        <f>IF(ISBLANK(C436)," ",431-COUNTBLANK($C$6:C436))</f>
        <v xml:space="preserve"> </v>
      </c>
      <c r="B436" s="178"/>
      <c r="C436" s="178"/>
      <c r="D436" s="193"/>
      <c r="E436" s="193"/>
      <c r="F436" s="180"/>
      <c r="G436" s="180"/>
      <c r="H436" s="180"/>
      <c r="I436" s="180"/>
      <c r="J436" s="180"/>
      <c r="K436" s="180"/>
      <c r="L436" s="180"/>
      <c r="M436" s="181"/>
      <c r="N436" s="163" t="str">
        <f t="shared" si="33"/>
        <v/>
      </c>
      <c r="O436" s="126" t="str">
        <f t="shared" si="34"/>
        <v>-</v>
      </c>
      <c r="P436" s="164"/>
      <c r="Q436" s="164"/>
      <c r="R436" s="164"/>
      <c r="S436" s="164"/>
      <c r="T436" s="164"/>
      <c r="U436" s="164"/>
      <c r="V436" s="164"/>
    </row>
    <row r="437" spans="1:25" ht="27" customHeight="1">
      <c r="A437" s="192" t="str">
        <f>IF(ISBLANK(C437)," ",432-COUNTBLANK($C$6:C437))</f>
        <v xml:space="preserve"> </v>
      </c>
      <c r="B437" s="178"/>
      <c r="C437" s="178"/>
      <c r="D437" s="193"/>
      <c r="E437" s="193"/>
      <c r="F437" s="180"/>
      <c r="G437" s="180"/>
      <c r="H437" s="180"/>
      <c r="I437" s="180"/>
      <c r="J437" s="180"/>
      <c r="K437" s="180"/>
      <c r="L437" s="180"/>
      <c r="M437" s="181"/>
      <c r="N437" s="163" t="str">
        <f t="shared" si="33"/>
        <v/>
      </c>
      <c r="O437" s="126" t="str">
        <f t="shared" si="34"/>
        <v>-</v>
      </c>
      <c r="P437" s="164"/>
      <c r="Q437" s="164"/>
      <c r="R437" s="164"/>
      <c r="S437" s="164"/>
      <c r="T437" s="164"/>
      <c r="U437" s="164"/>
      <c r="V437" s="164"/>
    </row>
    <row r="438" spans="1:25" ht="27" customHeight="1">
      <c r="A438" s="192" t="str">
        <f>IF(ISBLANK(C438)," ",433-COUNTBLANK($C$6:C438))</f>
        <v xml:space="preserve"> </v>
      </c>
      <c r="B438" s="178"/>
      <c r="C438" s="178"/>
      <c r="D438" s="193"/>
      <c r="E438" s="193"/>
      <c r="F438" s="180"/>
      <c r="G438" s="180"/>
      <c r="H438" s="180"/>
      <c r="I438" s="180"/>
      <c r="J438" s="180"/>
      <c r="K438" s="180"/>
      <c r="L438" s="180"/>
      <c r="M438" s="181"/>
      <c r="N438" s="163" t="str">
        <f t="shared" si="33"/>
        <v/>
      </c>
      <c r="O438" s="126" t="str">
        <f t="shared" si="34"/>
        <v>-</v>
      </c>
      <c r="P438" s="164"/>
      <c r="Q438" s="164"/>
      <c r="R438" s="164"/>
      <c r="S438" s="164"/>
      <c r="T438" s="164"/>
      <c r="U438" s="164"/>
      <c r="V438" s="164"/>
    </row>
    <row r="439" spans="1:25" ht="27" customHeight="1">
      <c r="A439" s="192" t="str">
        <f>IF(ISBLANK(C439)," ",434-COUNTBLANK($C$6:C439))</f>
        <v xml:space="preserve"> </v>
      </c>
      <c r="B439" s="178"/>
      <c r="C439" s="178"/>
      <c r="D439" s="193"/>
      <c r="E439" s="193"/>
      <c r="F439" s="180"/>
      <c r="G439" s="180"/>
      <c r="H439" s="180"/>
      <c r="I439" s="180"/>
      <c r="J439" s="180"/>
      <c r="K439" s="180"/>
      <c r="L439" s="180"/>
      <c r="M439" s="181"/>
      <c r="N439" s="163" t="str">
        <f t="shared" si="33"/>
        <v/>
      </c>
      <c r="O439" s="126" t="str">
        <f t="shared" si="34"/>
        <v>-</v>
      </c>
      <c r="P439" s="164"/>
      <c r="Q439" s="164"/>
      <c r="R439" s="164"/>
      <c r="S439" s="164"/>
      <c r="T439" s="164"/>
      <c r="U439" s="164"/>
      <c r="V439" s="164"/>
    </row>
    <row r="440" spans="1:25" ht="27" customHeight="1">
      <c r="A440" s="192" t="str">
        <f>IF(ISBLANK(C440)," ",435-COUNTBLANK($C$6:C440))</f>
        <v xml:space="preserve"> </v>
      </c>
      <c r="B440" s="178"/>
      <c r="C440" s="178"/>
      <c r="D440" s="193"/>
      <c r="E440" s="193"/>
      <c r="F440" s="180"/>
      <c r="G440" s="180"/>
      <c r="H440" s="180"/>
      <c r="I440" s="180"/>
      <c r="J440" s="180"/>
      <c r="K440" s="180"/>
      <c r="L440" s="180"/>
      <c r="M440" s="181"/>
      <c r="N440" s="163" t="str">
        <f t="shared" si="33"/>
        <v/>
      </c>
      <c r="O440" s="126" t="str">
        <f t="shared" si="34"/>
        <v>-</v>
      </c>
      <c r="P440" s="164"/>
      <c r="Q440" s="164"/>
      <c r="R440" s="164"/>
      <c r="S440" s="164"/>
      <c r="T440" s="164"/>
      <c r="U440" s="164"/>
      <c r="V440" s="164"/>
    </row>
    <row r="441" spans="1:25" ht="27" customHeight="1">
      <c r="A441" s="192" t="str">
        <f>IF(ISBLANK(C441)," ",436-COUNTBLANK($C$6:C441))</f>
        <v xml:space="preserve"> </v>
      </c>
      <c r="B441" s="178"/>
      <c r="C441" s="178"/>
      <c r="D441" s="193"/>
      <c r="E441" s="193"/>
      <c r="F441" s="180"/>
      <c r="G441" s="180"/>
      <c r="H441" s="180"/>
      <c r="I441" s="180"/>
      <c r="J441" s="180"/>
      <c r="K441" s="180"/>
      <c r="L441" s="180"/>
      <c r="M441" s="181"/>
      <c r="N441" s="163" t="str">
        <f t="shared" si="33"/>
        <v/>
      </c>
      <c r="O441" s="126" t="str">
        <f t="shared" si="34"/>
        <v>-</v>
      </c>
      <c r="P441" s="164"/>
      <c r="Q441" s="164"/>
      <c r="R441" s="164"/>
      <c r="S441" s="164"/>
      <c r="T441" s="164"/>
      <c r="U441" s="164"/>
      <c r="V441" s="165"/>
    </row>
    <row r="442" spans="1:25" ht="27" customHeight="1">
      <c r="A442" s="192" t="str">
        <f>IF(ISBLANK(C442)," ",437-COUNTBLANK($C$6:C442))</f>
        <v xml:space="preserve"> </v>
      </c>
      <c r="B442" s="178"/>
      <c r="C442" s="178"/>
      <c r="D442" s="193"/>
      <c r="E442" s="193"/>
      <c r="F442" s="180"/>
      <c r="G442" s="180"/>
      <c r="H442" s="180"/>
      <c r="I442" s="180"/>
      <c r="J442" s="180"/>
      <c r="K442" s="180"/>
      <c r="L442" s="180"/>
      <c r="M442" s="181"/>
      <c r="N442" s="163" t="str">
        <f t="shared" si="33"/>
        <v/>
      </c>
      <c r="O442" s="126" t="str">
        <f t="shared" si="34"/>
        <v>-</v>
      </c>
      <c r="P442" s="164"/>
      <c r="Q442" s="164"/>
      <c r="R442" s="164"/>
      <c r="S442" s="164"/>
      <c r="T442" s="164"/>
      <c r="U442" s="164"/>
      <c r="V442" s="165"/>
    </row>
    <row r="443" spans="1:25" ht="27" customHeight="1">
      <c r="A443" s="192" t="str">
        <f>IF(ISBLANK(C443)," ",438-COUNTBLANK($C$6:C443))</f>
        <v xml:space="preserve"> </v>
      </c>
      <c r="B443" s="178"/>
      <c r="C443" s="178"/>
      <c r="D443" s="193"/>
      <c r="E443" s="193"/>
      <c r="F443" s="180"/>
      <c r="G443" s="180"/>
      <c r="H443" s="180"/>
      <c r="I443" s="180"/>
      <c r="J443" s="180"/>
      <c r="K443" s="180"/>
      <c r="L443" s="180"/>
      <c r="M443" s="181"/>
      <c r="N443" s="163" t="str">
        <f t="shared" si="33"/>
        <v/>
      </c>
      <c r="O443" s="126" t="str">
        <f t="shared" si="34"/>
        <v>-</v>
      </c>
      <c r="P443" s="164"/>
      <c r="Q443" s="164"/>
      <c r="R443" s="164"/>
      <c r="S443" s="164"/>
      <c r="T443" s="164"/>
      <c r="U443" s="164"/>
      <c r="V443" s="165"/>
    </row>
    <row r="444" spans="1:25" ht="27" customHeight="1">
      <c r="A444" s="192" t="str">
        <f>IF(ISBLANK(C444)," ",439-COUNTBLANK($C$6:C444))</f>
        <v xml:space="preserve"> </v>
      </c>
      <c r="B444" s="178"/>
      <c r="C444" s="178"/>
      <c r="D444" s="193"/>
      <c r="E444" s="193"/>
      <c r="F444" s="180"/>
      <c r="G444" s="180"/>
      <c r="H444" s="180"/>
      <c r="I444" s="180"/>
      <c r="J444" s="180"/>
      <c r="K444" s="180"/>
      <c r="L444" s="180"/>
      <c r="M444" s="181"/>
      <c r="N444" s="163" t="str">
        <f t="shared" si="33"/>
        <v/>
      </c>
      <c r="O444" s="126" t="str">
        <f t="shared" si="34"/>
        <v>-</v>
      </c>
      <c r="P444" s="164"/>
      <c r="Q444" s="164"/>
      <c r="R444" s="164"/>
      <c r="S444" s="164"/>
      <c r="T444" s="164"/>
      <c r="U444" s="164"/>
      <c r="V444" s="165"/>
    </row>
    <row r="445" spans="1:25" ht="27" customHeight="1">
      <c r="A445" s="192" t="str">
        <f>IF(ISBLANK(C445)," ",440-COUNTBLANK($C$6:C445))</f>
        <v xml:space="preserve"> </v>
      </c>
      <c r="B445" s="178"/>
      <c r="C445" s="178"/>
      <c r="D445" s="193"/>
      <c r="E445" s="193"/>
      <c r="F445" s="180"/>
      <c r="G445" s="180"/>
      <c r="H445" s="180"/>
      <c r="I445" s="180"/>
      <c r="J445" s="180"/>
      <c r="K445" s="180"/>
      <c r="L445" s="180"/>
      <c r="M445" s="181"/>
      <c r="N445" s="163" t="str">
        <f t="shared" si="33"/>
        <v/>
      </c>
      <c r="O445" s="126" t="str">
        <f t="shared" si="34"/>
        <v>-</v>
      </c>
      <c r="P445" s="164"/>
      <c r="Q445" s="164"/>
      <c r="R445" s="164"/>
      <c r="S445" s="164"/>
      <c r="T445" s="164"/>
      <c r="U445" s="164"/>
      <c r="V445" s="166"/>
      <c r="W445" s="164"/>
      <c r="X445" s="164"/>
      <c r="Y445" s="164"/>
    </row>
    <row r="446" spans="1:25" ht="27" customHeight="1">
      <c r="A446" s="172" t="s">
        <v>44</v>
      </c>
      <c r="B446" s="173"/>
      <c r="C446" s="174"/>
      <c r="D446" s="194"/>
      <c r="E446" s="194">
        <f>SUM(E426:E445)</f>
        <v>0</v>
      </c>
      <c r="F446" s="176"/>
      <c r="G446" s="176"/>
      <c r="H446" s="176"/>
      <c r="I446" s="176"/>
      <c r="J446" s="176"/>
      <c r="K446" s="176"/>
      <c r="L446" s="176"/>
      <c r="M446" s="177"/>
      <c r="N446" s="163" t="str">
        <f t="shared" si="33"/>
        <v/>
      </c>
      <c r="O446" s="126"/>
      <c r="P446" s="164"/>
      <c r="Q446" s="164"/>
      <c r="R446" s="164"/>
      <c r="S446" s="164"/>
      <c r="T446" s="164"/>
      <c r="U446" s="164"/>
      <c r="V446" s="166"/>
      <c r="W446" s="164"/>
      <c r="X446" s="164"/>
      <c r="Y446" s="164"/>
    </row>
    <row r="447" spans="1:25" ht="27" customHeight="1">
      <c r="A447" s="187" t="str">
        <f>IF(ISBLANK(C447)," ",442-COUNTBLANK($C$6:C447))</f>
        <v xml:space="preserve"> </v>
      </c>
      <c r="B447" s="188"/>
      <c r="C447" s="188"/>
      <c r="D447" s="189"/>
      <c r="E447" s="189"/>
      <c r="F447" s="190"/>
      <c r="G447" s="190"/>
      <c r="H447" s="190"/>
      <c r="I447" s="190"/>
      <c r="J447" s="190"/>
      <c r="K447" s="190"/>
      <c r="L447" s="190"/>
      <c r="M447" s="191"/>
      <c r="N447" s="163" t="str">
        <f>CONCATENATE(C447,H447)</f>
        <v/>
      </c>
      <c r="O447" s="126" t="str">
        <f>IF(D447&gt;=E447,"-","ERR")</f>
        <v>-</v>
      </c>
      <c r="P447" s="164"/>
      <c r="Q447" s="164"/>
      <c r="R447" s="164"/>
      <c r="S447" s="164"/>
      <c r="T447" s="164"/>
      <c r="U447" s="164"/>
      <c r="V447" s="164"/>
    </row>
    <row r="448" spans="1:25" ht="27" customHeight="1">
      <c r="A448" s="192" t="str">
        <f>IF(ISBLANK(C448)," ",443-COUNTBLANK($C$6:C448))</f>
        <v xml:space="preserve"> </v>
      </c>
      <c r="B448" s="178"/>
      <c r="C448" s="178"/>
      <c r="D448" s="193"/>
      <c r="E448" s="193"/>
      <c r="F448" s="180"/>
      <c r="G448" s="180"/>
      <c r="H448" s="180"/>
      <c r="I448" s="180"/>
      <c r="J448" s="180"/>
      <c r="K448" s="180"/>
      <c r="L448" s="180"/>
      <c r="M448" s="181"/>
      <c r="N448" s="163" t="str">
        <f t="shared" ref="N448:N467" si="35">CONCATENATE(C448,H448)</f>
        <v/>
      </c>
      <c r="O448" s="126" t="str">
        <f t="shared" ref="O448:O466" si="36">IF(D448&gt;=E448,"-","ERR")</f>
        <v>-</v>
      </c>
      <c r="P448" s="164"/>
      <c r="Q448" s="164"/>
      <c r="R448" s="164"/>
      <c r="S448" s="164"/>
      <c r="T448" s="164"/>
      <c r="U448" s="164"/>
      <c r="V448" s="164"/>
    </row>
    <row r="449" spans="1:22" ht="27" customHeight="1">
      <c r="A449" s="192" t="str">
        <f>IF(ISBLANK(C449)," ",444-COUNTBLANK($C$6:C449))</f>
        <v xml:space="preserve"> </v>
      </c>
      <c r="B449" s="178"/>
      <c r="C449" s="178"/>
      <c r="D449" s="193"/>
      <c r="E449" s="193"/>
      <c r="F449" s="180"/>
      <c r="G449" s="180"/>
      <c r="H449" s="180"/>
      <c r="I449" s="180"/>
      <c r="J449" s="180"/>
      <c r="K449" s="180"/>
      <c r="L449" s="180"/>
      <c r="M449" s="181"/>
      <c r="N449" s="163" t="str">
        <f t="shared" si="35"/>
        <v/>
      </c>
      <c r="O449" s="126" t="str">
        <f t="shared" si="36"/>
        <v>-</v>
      </c>
      <c r="P449" s="164"/>
      <c r="Q449" s="164"/>
      <c r="R449" s="164"/>
      <c r="S449" s="164"/>
      <c r="T449" s="164"/>
      <c r="U449" s="164"/>
      <c r="V449" s="164"/>
    </row>
    <row r="450" spans="1:22" ht="27" customHeight="1">
      <c r="A450" s="192" t="str">
        <f>IF(ISBLANK(C450)," ",445-COUNTBLANK($C$6:C450))</f>
        <v xml:space="preserve"> </v>
      </c>
      <c r="B450" s="178"/>
      <c r="C450" s="178"/>
      <c r="D450" s="193"/>
      <c r="E450" s="193"/>
      <c r="F450" s="180"/>
      <c r="G450" s="180"/>
      <c r="H450" s="180"/>
      <c r="I450" s="180"/>
      <c r="J450" s="180"/>
      <c r="K450" s="180"/>
      <c r="L450" s="180"/>
      <c r="M450" s="181"/>
      <c r="N450" s="163" t="str">
        <f t="shared" si="35"/>
        <v/>
      </c>
      <c r="O450" s="126" t="str">
        <f t="shared" si="36"/>
        <v>-</v>
      </c>
      <c r="P450" s="164"/>
      <c r="Q450" s="164"/>
      <c r="R450" s="164"/>
      <c r="S450" s="164"/>
      <c r="T450" s="164"/>
      <c r="U450" s="164"/>
      <c r="V450" s="164"/>
    </row>
    <row r="451" spans="1:22" ht="27" customHeight="1">
      <c r="A451" s="192" t="str">
        <f>IF(ISBLANK(C451)," ",446-COUNTBLANK($C$6:C451))</f>
        <v xml:space="preserve"> </v>
      </c>
      <c r="B451" s="178"/>
      <c r="C451" s="178"/>
      <c r="D451" s="193"/>
      <c r="E451" s="193"/>
      <c r="F451" s="180"/>
      <c r="G451" s="180"/>
      <c r="H451" s="180"/>
      <c r="I451" s="180"/>
      <c r="J451" s="180"/>
      <c r="K451" s="180"/>
      <c r="L451" s="180"/>
      <c r="M451" s="181"/>
      <c r="N451" s="163" t="str">
        <f t="shared" si="35"/>
        <v/>
      </c>
      <c r="O451" s="126" t="str">
        <f t="shared" si="36"/>
        <v>-</v>
      </c>
      <c r="P451" s="164"/>
      <c r="Q451" s="164"/>
      <c r="R451" s="164"/>
      <c r="S451" s="164"/>
      <c r="T451" s="164"/>
      <c r="U451" s="164"/>
      <c r="V451" s="164"/>
    </row>
    <row r="452" spans="1:22" ht="27" customHeight="1">
      <c r="A452" s="192" t="str">
        <f>IF(ISBLANK(C452)," ",447-COUNTBLANK($C$6:C452))</f>
        <v xml:space="preserve"> </v>
      </c>
      <c r="B452" s="178"/>
      <c r="C452" s="178"/>
      <c r="D452" s="193"/>
      <c r="E452" s="193"/>
      <c r="F452" s="180"/>
      <c r="G452" s="180"/>
      <c r="H452" s="180"/>
      <c r="I452" s="180"/>
      <c r="J452" s="180"/>
      <c r="K452" s="180"/>
      <c r="L452" s="180"/>
      <c r="M452" s="181"/>
      <c r="N452" s="163" t="str">
        <f t="shared" si="35"/>
        <v/>
      </c>
      <c r="O452" s="126" t="str">
        <f t="shared" si="36"/>
        <v>-</v>
      </c>
      <c r="P452" s="164"/>
      <c r="Q452" s="164"/>
      <c r="R452" s="164"/>
      <c r="S452" s="164"/>
      <c r="T452" s="164"/>
      <c r="U452" s="164"/>
      <c r="V452" s="164"/>
    </row>
    <row r="453" spans="1:22" ht="27" customHeight="1">
      <c r="A453" s="192" t="str">
        <f>IF(ISBLANK(C453)," ",448-COUNTBLANK($C$6:C453))</f>
        <v xml:space="preserve"> </v>
      </c>
      <c r="B453" s="178"/>
      <c r="C453" s="178"/>
      <c r="D453" s="193"/>
      <c r="E453" s="193"/>
      <c r="F453" s="180"/>
      <c r="G453" s="180"/>
      <c r="H453" s="180"/>
      <c r="I453" s="180"/>
      <c r="J453" s="180"/>
      <c r="K453" s="180"/>
      <c r="L453" s="180"/>
      <c r="M453" s="181"/>
      <c r="N453" s="163" t="str">
        <f t="shared" si="35"/>
        <v/>
      </c>
      <c r="O453" s="126" t="str">
        <f t="shared" si="36"/>
        <v>-</v>
      </c>
      <c r="P453" s="164"/>
      <c r="Q453" s="164"/>
      <c r="R453" s="164"/>
      <c r="S453" s="164"/>
      <c r="T453" s="164"/>
      <c r="U453" s="164"/>
      <c r="V453" s="164"/>
    </row>
    <row r="454" spans="1:22" ht="27" customHeight="1">
      <c r="A454" s="192" t="str">
        <f>IF(ISBLANK(C454)," ",449-COUNTBLANK($C$6:C454))</f>
        <v xml:space="preserve"> </v>
      </c>
      <c r="B454" s="178"/>
      <c r="C454" s="178"/>
      <c r="D454" s="193"/>
      <c r="E454" s="193"/>
      <c r="F454" s="180"/>
      <c r="G454" s="180"/>
      <c r="H454" s="180"/>
      <c r="I454" s="180"/>
      <c r="J454" s="180"/>
      <c r="K454" s="180"/>
      <c r="L454" s="180"/>
      <c r="M454" s="181"/>
      <c r="N454" s="163" t="str">
        <f t="shared" si="35"/>
        <v/>
      </c>
      <c r="O454" s="126" t="str">
        <f t="shared" si="36"/>
        <v>-</v>
      </c>
      <c r="P454" s="164"/>
      <c r="Q454" s="164"/>
      <c r="R454" s="164"/>
      <c r="S454" s="164"/>
      <c r="T454" s="164"/>
      <c r="U454" s="164"/>
      <c r="V454" s="164"/>
    </row>
    <row r="455" spans="1:22" ht="27" customHeight="1">
      <c r="A455" s="192" t="str">
        <f>IF(ISBLANK(C455)," ",450-COUNTBLANK($C$6:C455))</f>
        <v xml:space="preserve"> </v>
      </c>
      <c r="B455" s="178"/>
      <c r="C455" s="178"/>
      <c r="D455" s="193"/>
      <c r="E455" s="193"/>
      <c r="F455" s="180"/>
      <c r="G455" s="180"/>
      <c r="H455" s="180"/>
      <c r="I455" s="180"/>
      <c r="J455" s="180"/>
      <c r="K455" s="180"/>
      <c r="L455" s="180"/>
      <c r="M455" s="181"/>
      <c r="N455" s="163" t="str">
        <f t="shared" si="35"/>
        <v/>
      </c>
      <c r="O455" s="126" t="str">
        <f t="shared" si="36"/>
        <v>-</v>
      </c>
      <c r="P455" s="164"/>
      <c r="Q455" s="164"/>
      <c r="R455" s="164"/>
      <c r="S455" s="164"/>
      <c r="T455" s="164"/>
      <c r="U455" s="164"/>
      <c r="V455" s="164"/>
    </row>
    <row r="456" spans="1:22" ht="27" customHeight="1">
      <c r="A456" s="192" t="str">
        <f>IF(ISBLANK(C456)," ",451-COUNTBLANK($C$6:C456))</f>
        <v xml:space="preserve"> </v>
      </c>
      <c r="B456" s="178"/>
      <c r="C456" s="178"/>
      <c r="D456" s="193"/>
      <c r="E456" s="193"/>
      <c r="F456" s="180"/>
      <c r="G456" s="180"/>
      <c r="H456" s="180"/>
      <c r="I456" s="180"/>
      <c r="J456" s="180"/>
      <c r="K456" s="180"/>
      <c r="L456" s="180"/>
      <c r="M456" s="181"/>
      <c r="N456" s="163" t="str">
        <f t="shared" si="35"/>
        <v/>
      </c>
      <c r="O456" s="126" t="str">
        <f t="shared" si="36"/>
        <v>-</v>
      </c>
      <c r="P456" s="164"/>
      <c r="Q456" s="164"/>
      <c r="R456" s="164"/>
      <c r="S456" s="164"/>
      <c r="T456" s="164"/>
      <c r="U456" s="164"/>
      <c r="V456" s="164"/>
    </row>
    <row r="457" spans="1:22" ht="27" customHeight="1">
      <c r="A457" s="192" t="str">
        <f>IF(ISBLANK(C457)," ",452-COUNTBLANK($C$6:C457))</f>
        <v xml:space="preserve"> </v>
      </c>
      <c r="B457" s="178"/>
      <c r="C457" s="178"/>
      <c r="D457" s="193"/>
      <c r="E457" s="193"/>
      <c r="F457" s="180"/>
      <c r="G457" s="180"/>
      <c r="H457" s="180"/>
      <c r="I457" s="180"/>
      <c r="J457" s="180"/>
      <c r="K457" s="180"/>
      <c r="L457" s="180"/>
      <c r="M457" s="181"/>
      <c r="N457" s="163" t="str">
        <f t="shared" si="35"/>
        <v/>
      </c>
      <c r="O457" s="126" t="str">
        <f t="shared" si="36"/>
        <v>-</v>
      </c>
      <c r="P457" s="164"/>
      <c r="Q457" s="164"/>
      <c r="R457" s="164"/>
      <c r="S457" s="164"/>
      <c r="T457" s="164"/>
      <c r="U457" s="164"/>
      <c r="V457" s="164"/>
    </row>
    <row r="458" spans="1:22" ht="27" customHeight="1">
      <c r="A458" s="192" t="str">
        <f>IF(ISBLANK(C458)," ",453-COUNTBLANK($C$6:C458))</f>
        <v xml:space="preserve"> </v>
      </c>
      <c r="B458" s="178"/>
      <c r="C458" s="178"/>
      <c r="D458" s="193"/>
      <c r="E458" s="193"/>
      <c r="F458" s="180"/>
      <c r="G458" s="180"/>
      <c r="H458" s="180"/>
      <c r="I458" s="180"/>
      <c r="J458" s="180"/>
      <c r="K458" s="180"/>
      <c r="L458" s="180"/>
      <c r="M458" s="181"/>
      <c r="N458" s="163" t="str">
        <f t="shared" si="35"/>
        <v/>
      </c>
      <c r="O458" s="126" t="str">
        <f t="shared" si="36"/>
        <v>-</v>
      </c>
      <c r="P458" s="164"/>
      <c r="Q458" s="164"/>
      <c r="R458" s="164"/>
      <c r="S458" s="164"/>
      <c r="T458" s="164"/>
      <c r="U458" s="164"/>
      <c r="V458" s="164"/>
    </row>
    <row r="459" spans="1:22" ht="27" customHeight="1">
      <c r="A459" s="192" t="str">
        <f>IF(ISBLANK(C459)," ",454-COUNTBLANK($C$6:C459))</f>
        <v xml:space="preserve"> </v>
      </c>
      <c r="B459" s="178"/>
      <c r="C459" s="178"/>
      <c r="D459" s="193"/>
      <c r="E459" s="193"/>
      <c r="F459" s="180"/>
      <c r="G459" s="180"/>
      <c r="H459" s="180"/>
      <c r="I459" s="180"/>
      <c r="J459" s="180"/>
      <c r="K459" s="180"/>
      <c r="L459" s="180"/>
      <c r="M459" s="181"/>
      <c r="N459" s="163" t="str">
        <f t="shared" si="35"/>
        <v/>
      </c>
      <c r="O459" s="126" t="str">
        <f t="shared" si="36"/>
        <v>-</v>
      </c>
      <c r="P459" s="164"/>
      <c r="Q459" s="164"/>
      <c r="R459" s="164"/>
      <c r="S459" s="164"/>
      <c r="T459" s="164"/>
      <c r="U459" s="164"/>
      <c r="V459" s="164"/>
    </row>
    <row r="460" spans="1:22" ht="27" customHeight="1">
      <c r="A460" s="192" t="str">
        <f>IF(ISBLANK(C460)," ",455-COUNTBLANK($C$6:C460))</f>
        <v xml:space="preserve"> </v>
      </c>
      <c r="B460" s="178"/>
      <c r="C460" s="178"/>
      <c r="D460" s="193"/>
      <c r="E460" s="193"/>
      <c r="F460" s="180"/>
      <c r="G460" s="180"/>
      <c r="H460" s="180"/>
      <c r="I460" s="180"/>
      <c r="J460" s="180"/>
      <c r="K460" s="180"/>
      <c r="L460" s="180"/>
      <c r="M460" s="181"/>
      <c r="N460" s="163" t="str">
        <f t="shared" si="35"/>
        <v/>
      </c>
      <c r="O460" s="126" t="str">
        <f t="shared" si="36"/>
        <v>-</v>
      </c>
      <c r="P460" s="164"/>
      <c r="Q460" s="164"/>
      <c r="R460" s="164"/>
      <c r="S460" s="164"/>
      <c r="T460" s="164"/>
      <c r="U460" s="164"/>
      <c r="V460" s="164"/>
    </row>
    <row r="461" spans="1:22" ht="27" customHeight="1">
      <c r="A461" s="192" t="str">
        <f>IF(ISBLANK(C461)," ",456-COUNTBLANK($C$6:C461))</f>
        <v xml:space="preserve"> </v>
      </c>
      <c r="B461" s="178"/>
      <c r="C461" s="178"/>
      <c r="D461" s="193"/>
      <c r="E461" s="193"/>
      <c r="F461" s="180"/>
      <c r="G461" s="180"/>
      <c r="H461" s="180"/>
      <c r="I461" s="180"/>
      <c r="J461" s="180"/>
      <c r="K461" s="180"/>
      <c r="L461" s="180"/>
      <c r="M461" s="181"/>
      <c r="N461" s="163" t="str">
        <f t="shared" si="35"/>
        <v/>
      </c>
      <c r="O461" s="126" t="str">
        <f t="shared" si="36"/>
        <v>-</v>
      </c>
      <c r="P461" s="164"/>
      <c r="Q461" s="164"/>
      <c r="R461" s="164"/>
      <c r="S461" s="164"/>
      <c r="T461" s="164"/>
      <c r="U461" s="164"/>
      <c r="V461" s="164"/>
    </row>
    <row r="462" spans="1:22" ht="27" customHeight="1">
      <c r="A462" s="192" t="str">
        <f>IF(ISBLANK(C462)," ",457-COUNTBLANK($C$6:C462))</f>
        <v xml:space="preserve"> </v>
      </c>
      <c r="B462" s="178"/>
      <c r="C462" s="178"/>
      <c r="D462" s="193"/>
      <c r="E462" s="193"/>
      <c r="F462" s="180"/>
      <c r="G462" s="180"/>
      <c r="H462" s="180"/>
      <c r="I462" s="180"/>
      <c r="J462" s="180"/>
      <c r="K462" s="180"/>
      <c r="L462" s="180"/>
      <c r="M462" s="181"/>
      <c r="N462" s="163" t="str">
        <f t="shared" si="35"/>
        <v/>
      </c>
      <c r="O462" s="126" t="str">
        <f t="shared" si="36"/>
        <v>-</v>
      </c>
      <c r="P462" s="164"/>
      <c r="Q462" s="164"/>
      <c r="R462" s="164"/>
      <c r="S462" s="164"/>
      <c r="T462" s="164"/>
      <c r="U462" s="164"/>
      <c r="V462" s="165"/>
    </row>
    <row r="463" spans="1:22" ht="27" customHeight="1">
      <c r="A463" s="192" t="str">
        <f>IF(ISBLANK(C463)," ",458-COUNTBLANK($C$6:C463))</f>
        <v xml:space="preserve"> </v>
      </c>
      <c r="B463" s="178"/>
      <c r="C463" s="178"/>
      <c r="D463" s="193"/>
      <c r="E463" s="193"/>
      <c r="F463" s="180"/>
      <c r="G463" s="180"/>
      <c r="H463" s="180"/>
      <c r="I463" s="180"/>
      <c r="J463" s="180"/>
      <c r="K463" s="180"/>
      <c r="L463" s="180"/>
      <c r="M463" s="181"/>
      <c r="N463" s="163" t="str">
        <f t="shared" si="35"/>
        <v/>
      </c>
      <c r="O463" s="126" t="str">
        <f t="shared" si="36"/>
        <v>-</v>
      </c>
      <c r="P463" s="164"/>
      <c r="Q463" s="164"/>
      <c r="R463" s="164"/>
      <c r="S463" s="164"/>
      <c r="T463" s="164"/>
      <c r="U463" s="164"/>
      <c r="V463" s="165"/>
    </row>
    <row r="464" spans="1:22" ht="27" customHeight="1">
      <c r="A464" s="192" t="str">
        <f>IF(ISBLANK(C464)," ",459-COUNTBLANK($C$6:C464))</f>
        <v xml:space="preserve"> </v>
      </c>
      <c r="B464" s="178"/>
      <c r="C464" s="178"/>
      <c r="D464" s="193"/>
      <c r="E464" s="193"/>
      <c r="F464" s="180"/>
      <c r="G464" s="180"/>
      <c r="H464" s="180"/>
      <c r="I464" s="180"/>
      <c r="J464" s="180"/>
      <c r="K464" s="180"/>
      <c r="L464" s="180"/>
      <c r="M464" s="181"/>
      <c r="N464" s="163" t="str">
        <f t="shared" si="35"/>
        <v/>
      </c>
      <c r="O464" s="126" t="str">
        <f t="shared" si="36"/>
        <v>-</v>
      </c>
      <c r="P464" s="164"/>
      <c r="Q464" s="164"/>
      <c r="R464" s="164"/>
      <c r="S464" s="164"/>
      <c r="T464" s="164"/>
      <c r="U464" s="164"/>
      <c r="V464" s="165"/>
    </row>
    <row r="465" spans="1:25" ht="27" customHeight="1">
      <c r="A465" s="192" t="str">
        <f>IF(ISBLANK(C465)," ",460-COUNTBLANK($C$6:C465))</f>
        <v xml:space="preserve"> </v>
      </c>
      <c r="B465" s="178"/>
      <c r="C465" s="178"/>
      <c r="D465" s="193"/>
      <c r="E465" s="193"/>
      <c r="F465" s="180"/>
      <c r="G465" s="180"/>
      <c r="H465" s="180"/>
      <c r="I465" s="180"/>
      <c r="J465" s="180"/>
      <c r="K465" s="180"/>
      <c r="L465" s="180"/>
      <c r="M465" s="181"/>
      <c r="N465" s="163" t="str">
        <f t="shared" si="35"/>
        <v/>
      </c>
      <c r="O465" s="126" t="str">
        <f t="shared" si="36"/>
        <v>-</v>
      </c>
      <c r="P465" s="164"/>
      <c r="Q465" s="164"/>
      <c r="R465" s="164"/>
      <c r="S465" s="164"/>
      <c r="T465" s="164"/>
      <c r="U465" s="164"/>
      <c r="V465" s="165"/>
    </row>
    <row r="466" spans="1:25" ht="27" customHeight="1">
      <c r="A466" s="192" t="str">
        <f>IF(ISBLANK(C466)," ",461-COUNTBLANK($C$6:C466))</f>
        <v xml:space="preserve"> </v>
      </c>
      <c r="B466" s="178"/>
      <c r="C466" s="178"/>
      <c r="D466" s="193"/>
      <c r="E466" s="193"/>
      <c r="F466" s="180"/>
      <c r="G466" s="180"/>
      <c r="H466" s="180"/>
      <c r="I466" s="180"/>
      <c r="J466" s="180"/>
      <c r="K466" s="180"/>
      <c r="L466" s="180"/>
      <c r="M466" s="181"/>
      <c r="N466" s="163" t="str">
        <f t="shared" si="35"/>
        <v/>
      </c>
      <c r="O466" s="126" t="str">
        <f t="shared" si="36"/>
        <v>-</v>
      </c>
      <c r="P466" s="164"/>
      <c r="Q466" s="164"/>
      <c r="R466" s="164"/>
      <c r="S466" s="164"/>
      <c r="T466" s="164"/>
      <c r="U466" s="164"/>
      <c r="V466" s="166"/>
      <c r="W466" s="164"/>
      <c r="X466" s="164"/>
      <c r="Y466" s="164"/>
    </row>
    <row r="467" spans="1:25" ht="27" customHeight="1">
      <c r="A467" s="172" t="s">
        <v>44</v>
      </c>
      <c r="B467" s="173"/>
      <c r="C467" s="174"/>
      <c r="D467" s="194"/>
      <c r="E467" s="194">
        <f>SUM(E447:E466)</f>
        <v>0</v>
      </c>
      <c r="F467" s="176"/>
      <c r="G467" s="176"/>
      <c r="H467" s="176"/>
      <c r="I467" s="176"/>
      <c r="J467" s="176"/>
      <c r="K467" s="176"/>
      <c r="L467" s="176"/>
      <c r="M467" s="177"/>
      <c r="N467" s="163" t="str">
        <f t="shared" si="35"/>
        <v/>
      </c>
      <c r="O467" s="126"/>
      <c r="P467" s="164"/>
      <c r="Q467" s="164"/>
      <c r="R467" s="164"/>
      <c r="S467" s="164"/>
      <c r="T467" s="164"/>
      <c r="U467" s="164"/>
      <c r="V467" s="166"/>
      <c r="W467" s="164"/>
      <c r="X467" s="164"/>
      <c r="Y467" s="164"/>
    </row>
    <row r="468" spans="1:25" ht="27" customHeight="1">
      <c r="A468" s="187" t="str">
        <f>IF(ISBLANK(C468)," ",463-COUNTBLANK($C$6:C468))</f>
        <v xml:space="preserve"> </v>
      </c>
      <c r="B468" s="188"/>
      <c r="C468" s="188"/>
      <c r="D468" s="189"/>
      <c r="E468" s="189"/>
      <c r="F468" s="190"/>
      <c r="G468" s="190"/>
      <c r="H468" s="190"/>
      <c r="I468" s="190"/>
      <c r="J468" s="190"/>
      <c r="K468" s="190"/>
      <c r="L468" s="190"/>
      <c r="M468" s="191"/>
      <c r="N468" s="163" t="str">
        <f>CONCATENATE(C468,H468)</f>
        <v/>
      </c>
      <c r="O468" s="126" t="str">
        <f>IF(D468&gt;=E468,"-","ERR")</f>
        <v>-</v>
      </c>
      <c r="P468" s="164"/>
      <c r="Q468" s="164"/>
      <c r="R468" s="164"/>
      <c r="S468" s="164"/>
      <c r="T468" s="164"/>
      <c r="U468" s="164"/>
      <c r="V468" s="164"/>
    </row>
    <row r="469" spans="1:25" ht="27" customHeight="1">
      <c r="A469" s="192" t="str">
        <f>IF(ISBLANK(C469)," ",464-COUNTBLANK($C$6:C469))</f>
        <v xml:space="preserve"> </v>
      </c>
      <c r="B469" s="178"/>
      <c r="C469" s="178"/>
      <c r="D469" s="193"/>
      <c r="E469" s="193"/>
      <c r="F469" s="180"/>
      <c r="G469" s="180"/>
      <c r="H469" s="180"/>
      <c r="I469" s="180"/>
      <c r="J469" s="180"/>
      <c r="K469" s="180"/>
      <c r="L469" s="180"/>
      <c r="M469" s="181"/>
      <c r="N469" s="163" t="str">
        <f t="shared" ref="N469:N488" si="37">CONCATENATE(C469,H469)</f>
        <v/>
      </c>
      <c r="O469" s="126" t="str">
        <f t="shared" ref="O469:O487" si="38">IF(D469&gt;=E469,"-","ERR")</f>
        <v>-</v>
      </c>
      <c r="P469" s="164"/>
      <c r="Q469" s="164"/>
      <c r="R469" s="164"/>
      <c r="S469" s="164"/>
      <c r="T469" s="164"/>
      <c r="U469" s="164"/>
      <c r="V469" s="164"/>
    </row>
    <row r="470" spans="1:25" ht="27" customHeight="1">
      <c r="A470" s="192" t="str">
        <f>IF(ISBLANK(C470)," ",465-COUNTBLANK($C$6:C470))</f>
        <v xml:space="preserve"> </v>
      </c>
      <c r="B470" s="178"/>
      <c r="C470" s="178"/>
      <c r="D470" s="193"/>
      <c r="E470" s="193"/>
      <c r="F470" s="180"/>
      <c r="G470" s="180"/>
      <c r="H470" s="180"/>
      <c r="I470" s="180"/>
      <c r="J470" s="180"/>
      <c r="K470" s="180"/>
      <c r="L470" s="180"/>
      <c r="M470" s="181"/>
      <c r="N470" s="163" t="str">
        <f t="shared" si="37"/>
        <v/>
      </c>
      <c r="O470" s="126" t="str">
        <f t="shared" si="38"/>
        <v>-</v>
      </c>
      <c r="P470" s="164"/>
      <c r="Q470" s="164"/>
      <c r="R470" s="164"/>
      <c r="S470" s="164"/>
      <c r="T470" s="164"/>
      <c r="U470" s="164"/>
      <c r="V470" s="164"/>
    </row>
    <row r="471" spans="1:25" ht="27" customHeight="1">
      <c r="A471" s="192" t="str">
        <f>IF(ISBLANK(C471)," ",466-COUNTBLANK($C$6:C471))</f>
        <v xml:space="preserve"> </v>
      </c>
      <c r="B471" s="178"/>
      <c r="C471" s="178"/>
      <c r="D471" s="193"/>
      <c r="E471" s="193"/>
      <c r="F471" s="180"/>
      <c r="G471" s="180"/>
      <c r="H471" s="180"/>
      <c r="I471" s="180"/>
      <c r="J471" s="180"/>
      <c r="K471" s="180"/>
      <c r="L471" s="180"/>
      <c r="M471" s="181"/>
      <c r="N471" s="163" t="str">
        <f t="shared" si="37"/>
        <v/>
      </c>
      <c r="O471" s="126" t="str">
        <f t="shared" si="38"/>
        <v>-</v>
      </c>
      <c r="P471" s="164"/>
      <c r="Q471" s="164"/>
      <c r="R471" s="164"/>
      <c r="S471" s="164"/>
      <c r="T471" s="164"/>
      <c r="U471" s="164"/>
      <c r="V471" s="164"/>
    </row>
    <row r="472" spans="1:25" ht="27" customHeight="1">
      <c r="A472" s="192" t="str">
        <f>IF(ISBLANK(C472)," ",467-COUNTBLANK($C$6:C472))</f>
        <v xml:space="preserve"> </v>
      </c>
      <c r="B472" s="178"/>
      <c r="C472" s="178"/>
      <c r="D472" s="193"/>
      <c r="E472" s="193"/>
      <c r="F472" s="180"/>
      <c r="G472" s="180"/>
      <c r="H472" s="180"/>
      <c r="I472" s="180"/>
      <c r="J472" s="180"/>
      <c r="K472" s="180"/>
      <c r="L472" s="180"/>
      <c r="M472" s="181"/>
      <c r="N472" s="163" t="str">
        <f t="shared" si="37"/>
        <v/>
      </c>
      <c r="O472" s="126" t="str">
        <f t="shared" si="38"/>
        <v>-</v>
      </c>
      <c r="P472" s="164"/>
      <c r="Q472" s="164"/>
      <c r="R472" s="164"/>
      <c r="S472" s="164"/>
      <c r="T472" s="164"/>
      <c r="U472" s="164"/>
      <c r="V472" s="164"/>
    </row>
    <row r="473" spans="1:25" ht="27" customHeight="1">
      <c r="A473" s="192" t="str">
        <f>IF(ISBLANK(C473)," ",468-COUNTBLANK($C$6:C473))</f>
        <v xml:space="preserve"> </v>
      </c>
      <c r="B473" s="178"/>
      <c r="C473" s="178"/>
      <c r="D473" s="193"/>
      <c r="E473" s="193"/>
      <c r="F473" s="180"/>
      <c r="G473" s="180"/>
      <c r="H473" s="180"/>
      <c r="I473" s="180"/>
      <c r="J473" s="180"/>
      <c r="K473" s="180"/>
      <c r="L473" s="180"/>
      <c r="M473" s="181"/>
      <c r="N473" s="163" t="str">
        <f t="shared" si="37"/>
        <v/>
      </c>
      <c r="O473" s="126" t="str">
        <f t="shared" si="38"/>
        <v>-</v>
      </c>
      <c r="P473" s="164"/>
      <c r="Q473" s="164"/>
      <c r="R473" s="164"/>
      <c r="S473" s="164"/>
      <c r="T473" s="164"/>
      <c r="U473" s="164"/>
      <c r="V473" s="164"/>
    </row>
    <row r="474" spans="1:25" ht="27" customHeight="1">
      <c r="A474" s="192" t="str">
        <f>IF(ISBLANK(C474)," ",469-COUNTBLANK($C$6:C474))</f>
        <v xml:space="preserve"> </v>
      </c>
      <c r="B474" s="178"/>
      <c r="C474" s="178"/>
      <c r="D474" s="193"/>
      <c r="E474" s="193"/>
      <c r="F474" s="180"/>
      <c r="G474" s="180"/>
      <c r="H474" s="180"/>
      <c r="I474" s="180"/>
      <c r="J474" s="180"/>
      <c r="K474" s="180"/>
      <c r="L474" s="180"/>
      <c r="M474" s="181"/>
      <c r="N474" s="163" t="str">
        <f t="shared" si="37"/>
        <v/>
      </c>
      <c r="O474" s="126" t="str">
        <f t="shared" si="38"/>
        <v>-</v>
      </c>
      <c r="P474" s="164"/>
      <c r="Q474" s="164"/>
      <c r="R474" s="164"/>
      <c r="S474" s="164"/>
      <c r="T474" s="164"/>
      <c r="U474" s="164"/>
      <c r="V474" s="164"/>
    </row>
    <row r="475" spans="1:25" ht="27" customHeight="1">
      <c r="A475" s="192" t="str">
        <f>IF(ISBLANK(C475)," ",470-COUNTBLANK($C$6:C475))</f>
        <v xml:space="preserve"> </v>
      </c>
      <c r="B475" s="178"/>
      <c r="C475" s="178"/>
      <c r="D475" s="193"/>
      <c r="E475" s="193"/>
      <c r="F475" s="180"/>
      <c r="G475" s="180"/>
      <c r="H475" s="180"/>
      <c r="I475" s="180"/>
      <c r="J475" s="180"/>
      <c r="K475" s="180"/>
      <c r="L475" s="180"/>
      <c r="M475" s="181"/>
      <c r="N475" s="163" t="str">
        <f t="shared" si="37"/>
        <v/>
      </c>
      <c r="O475" s="126" t="str">
        <f t="shared" si="38"/>
        <v>-</v>
      </c>
      <c r="P475" s="164"/>
      <c r="Q475" s="164"/>
      <c r="R475" s="164"/>
      <c r="S475" s="164"/>
      <c r="T475" s="164"/>
      <c r="U475" s="164"/>
      <c r="V475" s="164"/>
    </row>
    <row r="476" spans="1:25" ht="27" customHeight="1">
      <c r="A476" s="192" t="str">
        <f>IF(ISBLANK(C476)," ",471-COUNTBLANK($C$6:C476))</f>
        <v xml:space="preserve"> </v>
      </c>
      <c r="B476" s="178"/>
      <c r="C476" s="178"/>
      <c r="D476" s="193"/>
      <c r="E476" s="193"/>
      <c r="F476" s="180"/>
      <c r="G476" s="180"/>
      <c r="H476" s="180"/>
      <c r="I476" s="180"/>
      <c r="J476" s="180"/>
      <c r="K476" s="180"/>
      <c r="L476" s="180"/>
      <c r="M476" s="181"/>
      <c r="N476" s="163" t="str">
        <f t="shared" si="37"/>
        <v/>
      </c>
      <c r="O476" s="126" t="str">
        <f t="shared" si="38"/>
        <v>-</v>
      </c>
      <c r="P476" s="164"/>
      <c r="Q476" s="164"/>
      <c r="R476" s="164"/>
      <c r="S476" s="164"/>
      <c r="T476" s="164"/>
      <c r="U476" s="164"/>
      <c r="V476" s="164"/>
    </row>
    <row r="477" spans="1:25" ht="27" customHeight="1">
      <c r="A477" s="192" t="str">
        <f>IF(ISBLANK(C477)," ",472-COUNTBLANK($C$6:C477))</f>
        <v xml:space="preserve"> </v>
      </c>
      <c r="B477" s="178"/>
      <c r="C477" s="178"/>
      <c r="D477" s="193"/>
      <c r="E477" s="193"/>
      <c r="F477" s="180"/>
      <c r="G477" s="180"/>
      <c r="H477" s="180"/>
      <c r="I477" s="180"/>
      <c r="J477" s="180"/>
      <c r="K477" s="180"/>
      <c r="L477" s="180"/>
      <c r="M477" s="181"/>
      <c r="N477" s="163" t="str">
        <f t="shared" si="37"/>
        <v/>
      </c>
      <c r="O477" s="126" t="str">
        <f t="shared" si="38"/>
        <v>-</v>
      </c>
      <c r="P477" s="164"/>
      <c r="Q477" s="164"/>
      <c r="R477" s="164"/>
      <c r="S477" s="164"/>
      <c r="T477" s="164"/>
      <c r="U477" s="164"/>
      <c r="V477" s="164"/>
    </row>
    <row r="478" spans="1:25" ht="27" customHeight="1">
      <c r="A478" s="192" t="str">
        <f>IF(ISBLANK(C478)," ",473-COUNTBLANK($C$6:C478))</f>
        <v xml:space="preserve"> </v>
      </c>
      <c r="B478" s="178"/>
      <c r="C478" s="178"/>
      <c r="D478" s="193"/>
      <c r="E478" s="193"/>
      <c r="F478" s="180"/>
      <c r="G478" s="180"/>
      <c r="H478" s="180"/>
      <c r="I478" s="180"/>
      <c r="J478" s="180"/>
      <c r="K478" s="180"/>
      <c r="L478" s="180"/>
      <c r="M478" s="181"/>
      <c r="N478" s="163" t="str">
        <f t="shared" si="37"/>
        <v/>
      </c>
      <c r="O478" s="126" t="str">
        <f t="shared" si="38"/>
        <v>-</v>
      </c>
      <c r="P478" s="164"/>
      <c r="Q478" s="164"/>
      <c r="R478" s="164"/>
      <c r="S478" s="164"/>
      <c r="T478" s="164"/>
      <c r="U478" s="164"/>
      <c r="V478" s="164"/>
    </row>
    <row r="479" spans="1:25" ht="27" customHeight="1">
      <c r="A479" s="192" t="str">
        <f>IF(ISBLANK(C479)," ",474-COUNTBLANK($C$6:C479))</f>
        <v xml:space="preserve"> </v>
      </c>
      <c r="B479" s="178"/>
      <c r="C479" s="178"/>
      <c r="D479" s="193"/>
      <c r="E479" s="193"/>
      <c r="F479" s="180"/>
      <c r="G479" s="180"/>
      <c r="H479" s="180"/>
      <c r="I479" s="180"/>
      <c r="J479" s="180"/>
      <c r="K479" s="180"/>
      <c r="L479" s="180"/>
      <c r="M479" s="181"/>
      <c r="N479" s="163" t="str">
        <f t="shared" si="37"/>
        <v/>
      </c>
      <c r="O479" s="126" t="str">
        <f t="shared" si="38"/>
        <v>-</v>
      </c>
      <c r="P479" s="164"/>
      <c r="Q479" s="164"/>
      <c r="R479" s="164"/>
      <c r="S479" s="164"/>
      <c r="T479" s="164"/>
      <c r="U479" s="164"/>
      <c r="V479" s="164"/>
    </row>
    <row r="480" spans="1:25" ht="27" customHeight="1">
      <c r="A480" s="192" t="str">
        <f>IF(ISBLANK(C480)," ",475-COUNTBLANK($C$6:C480))</f>
        <v xml:space="preserve"> </v>
      </c>
      <c r="B480" s="178"/>
      <c r="C480" s="178"/>
      <c r="D480" s="193"/>
      <c r="E480" s="193"/>
      <c r="F480" s="180"/>
      <c r="G480" s="180"/>
      <c r="H480" s="180"/>
      <c r="I480" s="180"/>
      <c r="J480" s="180"/>
      <c r="K480" s="180"/>
      <c r="L480" s="180"/>
      <c r="M480" s="181"/>
      <c r="N480" s="163" t="str">
        <f t="shared" si="37"/>
        <v/>
      </c>
      <c r="O480" s="126" t="str">
        <f t="shared" si="38"/>
        <v>-</v>
      </c>
      <c r="P480" s="164"/>
      <c r="Q480" s="164"/>
      <c r="R480" s="164"/>
      <c r="S480" s="164"/>
      <c r="T480" s="164"/>
      <c r="U480" s="164"/>
      <c r="V480" s="164"/>
    </row>
    <row r="481" spans="1:25" ht="27" customHeight="1">
      <c r="A481" s="192" t="str">
        <f>IF(ISBLANK(C481)," ",476-COUNTBLANK($C$6:C481))</f>
        <v xml:space="preserve"> </v>
      </c>
      <c r="B481" s="178"/>
      <c r="C481" s="178"/>
      <c r="D481" s="193"/>
      <c r="E481" s="193"/>
      <c r="F481" s="180"/>
      <c r="G481" s="180"/>
      <c r="H481" s="180"/>
      <c r="I481" s="180"/>
      <c r="J481" s="180"/>
      <c r="K481" s="180"/>
      <c r="L481" s="180"/>
      <c r="M481" s="181"/>
      <c r="N481" s="163" t="str">
        <f t="shared" si="37"/>
        <v/>
      </c>
      <c r="O481" s="126" t="str">
        <f t="shared" si="38"/>
        <v>-</v>
      </c>
      <c r="P481" s="164"/>
      <c r="Q481" s="164"/>
      <c r="R481" s="164"/>
      <c r="S481" s="164"/>
      <c r="T481" s="164"/>
      <c r="U481" s="164"/>
      <c r="V481" s="164"/>
    </row>
    <row r="482" spans="1:25" ht="27" customHeight="1">
      <c r="A482" s="192" t="str">
        <f>IF(ISBLANK(C482)," ",477-COUNTBLANK($C$6:C482))</f>
        <v xml:space="preserve"> </v>
      </c>
      <c r="B482" s="178"/>
      <c r="C482" s="178"/>
      <c r="D482" s="193"/>
      <c r="E482" s="193"/>
      <c r="F482" s="180"/>
      <c r="G482" s="180"/>
      <c r="H482" s="180"/>
      <c r="I482" s="180"/>
      <c r="J482" s="180"/>
      <c r="K482" s="180"/>
      <c r="L482" s="180"/>
      <c r="M482" s="181"/>
      <c r="N482" s="163" t="str">
        <f t="shared" si="37"/>
        <v/>
      </c>
      <c r="O482" s="126" t="str">
        <f t="shared" si="38"/>
        <v>-</v>
      </c>
      <c r="P482" s="164"/>
      <c r="Q482" s="164"/>
      <c r="R482" s="164"/>
      <c r="S482" s="164"/>
      <c r="T482" s="164"/>
      <c r="U482" s="164"/>
      <c r="V482" s="164"/>
    </row>
    <row r="483" spans="1:25" ht="27" customHeight="1">
      <c r="A483" s="192" t="str">
        <f>IF(ISBLANK(C483)," ",478-COUNTBLANK($C$6:C483))</f>
        <v xml:space="preserve"> </v>
      </c>
      <c r="B483" s="178"/>
      <c r="C483" s="178"/>
      <c r="D483" s="193"/>
      <c r="E483" s="193"/>
      <c r="F483" s="180"/>
      <c r="G483" s="180"/>
      <c r="H483" s="180"/>
      <c r="I483" s="180"/>
      <c r="J483" s="180"/>
      <c r="K483" s="180"/>
      <c r="L483" s="180"/>
      <c r="M483" s="181"/>
      <c r="N483" s="163" t="str">
        <f t="shared" si="37"/>
        <v/>
      </c>
      <c r="O483" s="126" t="str">
        <f t="shared" si="38"/>
        <v>-</v>
      </c>
      <c r="P483" s="164"/>
      <c r="Q483" s="164"/>
      <c r="R483" s="164"/>
      <c r="S483" s="164"/>
      <c r="T483" s="164"/>
      <c r="U483" s="164"/>
      <c r="V483" s="165"/>
    </row>
    <row r="484" spans="1:25" ht="27" customHeight="1">
      <c r="A484" s="192" t="str">
        <f>IF(ISBLANK(C484)," ",479-COUNTBLANK($C$6:C484))</f>
        <v xml:space="preserve"> </v>
      </c>
      <c r="B484" s="178"/>
      <c r="C484" s="178"/>
      <c r="D484" s="193"/>
      <c r="E484" s="193"/>
      <c r="F484" s="180"/>
      <c r="G484" s="180"/>
      <c r="H484" s="180"/>
      <c r="I484" s="180"/>
      <c r="J484" s="180"/>
      <c r="K484" s="180"/>
      <c r="L484" s="180"/>
      <c r="M484" s="181"/>
      <c r="N484" s="163" t="str">
        <f t="shared" si="37"/>
        <v/>
      </c>
      <c r="O484" s="126" t="str">
        <f t="shared" si="38"/>
        <v>-</v>
      </c>
      <c r="P484" s="164"/>
      <c r="Q484" s="164"/>
      <c r="R484" s="164"/>
      <c r="S484" s="164"/>
      <c r="T484" s="164"/>
      <c r="U484" s="164"/>
      <c r="V484" s="165"/>
    </row>
    <row r="485" spans="1:25" ht="27" customHeight="1">
      <c r="A485" s="192" t="str">
        <f>IF(ISBLANK(C485)," ",480-COUNTBLANK($C$6:C485))</f>
        <v xml:space="preserve"> </v>
      </c>
      <c r="B485" s="178"/>
      <c r="C485" s="178"/>
      <c r="D485" s="193"/>
      <c r="E485" s="193"/>
      <c r="F485" s="180"/>
      <c r="G485" s="180"/>
      <c r="H485" s="180"/>
      <c r="I485" s="180"/>
      <c r="J485" s="180"/>
      <c r="K485" s="180"/>
      <c r="L485" s="180"/>
      <c r="M485" s="181"/>
      <c r="N485" s="163" t="str">
        <f t="shared" si="37"/>
        <v/>
      </c>
      <c r="O485" s="126" t="str">
        <f t="shared" si="38"/>
        <v>-</v>
      </c>
      <c r="P485" s="164"/>
      <c r="Q485" s="164"/>
      <c r="R485" s="164"/>
      <c r="S485" s="164"/>
      <c r="T485" s="164"/>
      <c r="U485" s="164"/>
      <c r="V485" s="165"/>
    </row>
    <row r="486" spans="1:25" ht="27" customHeight="1">
      <c r="A486" s="192" t="str">
        <f>IF(ISBLANK(C486)," ",481-COUNTBLANK($C$6:C486))</f>
        <v xml:space="preserve"> </v>
      </c>
      <c r="B486" s="178"/>
      <c r="C486" s="178"/>
      <c r="D486" s="193"/>
      <c r="E486" s="193"/>
      <c r="F486" s="180"/>
      <c r="G486" s="180"/>
      <c r="H486" s="180"/>
      <c r="I486" s="180"/>
      <c r="J486" s="180"/>
      <c r="K486" s="180"/>
      <c r="L486" s="180"/>
      <c r="M486" s="181"/>
      <c r="N486" s="163" t="str">
        <f t="shared" si="37"/>
        <v/>
      </c>
      <c r="O486" s="126" t="str">
        <f t="shared" si="38"/>
        <v>-</v>
      </c>
      <c r="P486" s="164"/>
      <c r="Q486" s="164"/>
      <c r="R486" s="164"/>
      <c r="S486" s="164"/>
      <c r="T486" s="164"/>
      <c r="U486" s="164"/>
      <c r="V486" s="165"/>
    </row>
    <row r="487" spans="1:25" ht="27" customHeight="1">
      <c r="A487" s="192" t="str">
        <f>IF(ISBLANK(C487)," ",482-COUNTBLANK($C$6:C487))</f>
        <v xml:space="preserve"> </v>
      </c>
      <c r="B487" s="178"/>
      <c r="C487" s="178"/>
      <c r="D487" s="193"/>
      <c r="E487" s="193"/>
      <c r="F487" s="180"/>
      <c r="G487" s="180"/>
      <c r="H487" s="180"/>
      <c r="I487" s="180"/>
      <c r="J487" s="180"/>
      <c r="K487" s="180"/>
      <c r="L487" s="180"/>
      <c r="M487" s="181"/>
      <c r="N487" s="163" t="str">
        <f t="shared" si="37"/>
        <v/>
      </c>
      <c r="O487" s="126" t="str">
        <f t="shared" si="38"/>
        <v>-</v>
      </c>
      <c r="P487" s="164"/>
      <c r="Q487" s="164"/>
      <c r="R487" s="164"/>
      <c r="S487" s="164"/>
      <c r="T487" s="164"/>
      <c r="U487" s="164"/>
      <c r="V487" s="166"/>
      <c r="W487" s="164"/>
      <c r="X487" s="164"/>
      <c r="Y487" s="164"/>
    </row>
    <row r="488" spans="1:25" ht="27" customHeight="1">
      <c r="A488" s="172" t="s">
        <v>44</v>
      </c>
      <c r="B488" s="173"/>
      <c r="C488" s="174"/>
      <c r="D488" s="194"/>
      <c r="E488" s="194">
        <f>SUM(E468:E487)</f>
        <v>0</v>
      </c>
      <c r="F488" s="176"/>
      <c r="G488" s="176"/>
      <c r="H488" s="176"/>
      <c r="I488" s="176"/>
      <c r="J488" s="176"/>
      <c r="K488" s="176"/>
      <c r="L488" s="176"/>
      <c r="M488" s="177"/>
      <c r="N488" s="163" t="str">
        <f t="shared" si="37"/>
        <v/>
      </c>
      <c r="O488" s="126"/>
      <c r="P488" s="164"/>
      <c r="Q488" s="164"/>
      <c r="R488" s="164"/>
      <c r="S488" s="164"/>
      <c r="T488" s="164"/>
      <c r="U488" s="164"/>
      <c r="V488" s="166"/>
      <c r="W488" s="164"/>
      <c r="X488" s="164"/>
      <c r="Y488" s="164"/>
    </row>
    <row r="489" spans="1:25" ht="27" customHeight="1">
      <c r="A489" s="187" t="str">
        <f>IF(ISBLANK(C489)," ",484-COUNTBLANK($C$6:C489))</f>
        <v xml:space="preserve"> </v>
      </c>
      <c r="B489" s="188"/>
      <c r="C489" s="188"/>
      <c r="D489" s="189"/>
      <c r="E489" s="189"/>
      <c r="F489" s="190"/>
      <c r="G489" s="190"/>
      <c r="H489" s="190"/>
      <c r="I489" s="190"/>
      <c r="J489" s="190"/>
      <c r="K489" s="190"/>
      <c r="L489" s="190"/>
      <c r="M489" s="191"/>
      <c r="N489" s="163" t="str">
        <f>CONCATENATE(C489,H489)</f>
        <v/>
      </c>
      <c r="O489" s="126" t="str">
        <f>IF(D489&gt;=E489,"-","ERR")</f>
        <v>-</v>
      </c>
      <c r="P489" s="164"/>
      <c r="Q489" s="164"/>
      <c r="R489" s="164"/>
      <c r="S489" s="164"/>
      <c r="T489" s="164"/>
      <c r="U489" s="164"/>
      <c r="V489" s="164"/>
    </row>
    <row r="490" spans="1:25" ht="27" customHeight="1">
      <c r="A490" s="192" t="str">
        <f>IF(ISBLANK(C490)," ",485-COUNTBLANK($C$6:C490))</f>
        <v xml:space="preserve"> </v>
      </c>
      <c r="B490" s="178"/>
      <c r="C490" s="178"/>
      <c r="D490" s="193"/>
      <c r="E490" s="193"/>
      <c r="F490" s="180"/>
      <c r="G490" s="180"/>
      <c r="H490" s="180"/>
      <c r="I490" s="180"/>
      <c r="J490" s="180"/>
      <c r="K490" s="180"/>
      <c r="L490" s="180"/>
      <c r="M490" s="181"/>
      <c r="N490" s="163" t="str">
        <f t="shared" ref="N490:N509" si="39">CONCATENATE(C490,H490)</f>
        <v/>
      </c>
      <c r="O490" s="126" t="str">
        <f t="shared" ref="O490:O508" si="40">IF(D490&gt;=E490,"-","ERR")</f>
        <v>-</v>
      </c>
      <c r="P490" s="164"/>
      <c r="Q490" s="164"/>
      <c r="R490" s="164"/>
      <c r="S490" s="164"/>
      <c r="T490" s="164"/>
      <c r="U490" s="164"/>
      <c r="V490" s="164"/>
    </row>
    <row r="491" spans="1:25" ht="27" customHeight="1">
      <c r="A491" s="192" t="str">
        <f>IF(ISBLANK(C491)," ",486-COUNTBLANK($C$6:C491))</f>
        <v xml:space="preserve"> </v>
      </c>
      <c r="B491" s="178"/>
      <c r="C491" s="178"/>
      <c r="D491" s="193"/>
      <c r="E491" s="193"/>
      <c r="F491" s="180"/>
      <c r="G491" s="180"/>
      <c r="H491" s="180"/>
      <c r="I491" s="180"/>
      <c r="J491" s="180"/>
      <c r="K491" s="180"/>
      <c r="L491" s="180"/>
      <c r="M491" s="181"/>
      <c r="N491" s="163" t="str">
        <f t="shared" si="39"/>
        <v/>
      </c>
      <c r="O491" s="126" t="str">
        <f t="shared" si="40"/>
        <v>-</v>
      </c>
      <c r="P491" s="164"/>
      <c r="Q491" s="164"/>
      <c r="R491" s="164"/>
      <c r="S491" s="164"/>
      <c r="T491" s="164"/>
      <c r="U491" s="164"/>
      <c r="V491" s="164"/>
    </row>
    <row r="492" spans="1:25" ht="27" customHeight="1">
      <c r="A492" s="192" t="str">
        <f>IF(ISBLANK(C492)," ",487-COUNTBLANK($C$6:C492))</f>
        <v xml:space="preserve"> </v>
      </c>
      <c r="B492" s="178"/>
      <c r="C492" s="178"/>
      <c r="D492" s="193"/>
      <c r="E492" s="193"/>
      <c r="F492" s="180"/>
      <c r="G492" s="180"/>
      <c r="H492" s="180"/>
      <c r="I492" s="180"/>
      <c r="J492" s="180"/>
      <c r="K492" s="180"/>
      <c r="L492" s="180"/>
      <c r="M492" s="181"/>
      <c r="N492" s="163" t="str">
        <f t="shared" si="39"/>
        <v/>
      </c>
      <c r="O492" s="126" t="str">
        <f t="shared" si="40"/>
        <v>-</v>
      </c>
      <c r="P492" s="164"/>
      <c r="Q492" s="164"/>
      <c r="R492" s="164"/>
      <c r="S492" s="164"/>
      <c r="T492" s="164"/>
      <c r="U492" s="164"/>
      <c r="V492" s="164"/>
    </row>
    <row r="493" spans="1:25" ht="27" customHeight="1">
      <c r="A493" s="192" t="str">
        <f>IF(ISBLANK(C493)," ",488-COUNTBLANK($C$6:C493))</f>
        <v xml:space="preserve"> </v>
      </c>
      <c r="B493" s="178"/>
      <c r="C493" s="178"/>
      <c r="D493" s="193"/>
      <c r="E493" s="193"/>
      <c r="F493" s="180"/>
      <c r="G493" s="180"/>
      <c r="H493" s="180"/>
      <c r="I493" s="180"/>
      <c r="J493" s="180"/>
      <c r="K493" s="180"/>
      <c r="L493" s="180"/>
      <c r="M493" s="181"/>
      <c r="N493" s="163" t="str">
        <f t="shared" si="39"/>
        <v/>
      </c>
      <c r="O493" s="126" t="str">
        <f t="shared" si="40"/>
        <v>-</v>
      </c>
      <c r="P493" s="164"/>
      <c r="Q493" s="164"/>
      <c r="R493" s="164"/>
      <c r="S493" s="164"/>
      <c r="T493" s="164"/>
      <c r="U493" s="164"/>
      <c r="V493" s="164"/>
    </row>
    <row r="494" spans="1:25" ht="27" customHeight="1">
      <c r="A494" s="192" t="str">
        <f>IF(ISBLANK(C494)," ",489-COUNTBLANK($C$6:C494))</f>
        <v xml:space="preserve"> </v>
      </c>
      <c r="B494" s="178"/>
      <c r="C494" s="178"/>
      <c r="D494" s="193"/>
      <c r="E494" s="193"/>
      <c r="F494" s="180"/>
      <c r="G494" s="180"/>
      <c r="H494" s="180"/>
      <c r="I494" s="180"/>
      <c r="J494" s="180"/>
      <c r="K494" s="180"/>
      <c r="L494" s="180"/>
      <c r="M494" s="181"/>
      <c r="N494" s="163" t="str">
        <f t="shared" si="39"/>
        <v/>
      </c>
      <c r="O494" s="126" t="str">
        <f t="shared" si="40"/>
        <v>-</v>
      </c>
      <c r="P494" s="164"/>
      <c r="Q494" s="164"/>
      <c r="R494" s="164"/>
      <c r="S494" s="164"/>
      <c r="T494" s="164"/>
      <c r="U494" s="164"/>
      <c r="V494" s="164"/>
    </row>
    <row r="495" spans="1:25" ht="27" customHeight="1">
      <c r="A495" s="192" t="str">
        <f>IF(ISBLANK(C495)," ",490-COUNTBLANK($C$6:C495))</f>
        <v xml:space="preserve"> </v>
      </c>
      <c r="B495" s="178"/>
      <c r="C495" s="178"/>
      <c r="D495" s="193"/>
      <c r="E495" s="193"/>
      <c r="F495" s="180"/>
      <c r="G495" s="180"/>
      <c r="H495" s="180"/>
      <c r="I495" s="180"/>
      <c r="J495" s="180"/>
      <c r="K495" s="180"/>
      <c r="L495" s="180"/>
      <c r="M495" s="181"/>
      <c r="N495" s="163" t="str">
        <f t="shared" si="39"/>
        <v/>
      </c>
      <c r="O495" s="126" t="str">
        <f t="shared" si="40"/>
        <v>-</v>
      </c>
      <c r="P495" s="164"/>
      <c r="Q495" s="164"/>
      <c r="R495" s="164"/>
      <c r="S495" s="164"/>
      <c r="T495" s="164"/>
      <c r="U495" s="164"/>
      <c r="V495" s="164"/>
    </row>
    <row r="496" spans="1:25" ht="27" customHeight="1">
      <c r="A496" s="192" t="str">
        <f>IF(ISBLANK(C496)," ",491-COUNTBLANK($C$6:C496))</f>
        <v xml:space="preserve"> </v>
      </c>
      <c r="B496" s="178"/>
      <c r="C496" s="178"/>
      <c r="D496" s="193"/>
      <c r="E496" s="193"/>
      <c r="F496" s="180"/>
      <c r="G496" s="180"/>
      <c r="H496" s="180"/>
      <c r="I496" s="180"/>
      <c r="J496" s="180"/>
      <c r="K496" s="180"/>
      <c r="L496" s="180"/>
      <c r="M496" s="181"/>
      <c r="N496" s="163" t="str">
        <f t="shared" si="39"/>
        <v/>
      </c>
      <c r="O496" s="126" t="str">
        <f t="shared" si="40"/>
        <v>-</v>
      </c>
      <c r="P496" s="164"/>
      <c r="Q496" s="164"/>
      <c r="R496" s="164"/>
      <c r="S496" s="164"/>
      <c r="T496" s="164"/>
      <c r="U496" s="164"/>
      <c r="V496" s="164"/>
    </row>
    <row r="497" spans="1:25" ht="27" customHeight="1">
      <c r="A497" s="192" t="str">
        <f>IF(ISBLANK(C497)," ",492-COUNTBLANK($C$6:C497))</f>
        <v xml:space="preserve"> </v>
      </c>
      <c r="B497" s="178"/>
      <c r="C497" s="178"/>
      <c r="D497" s="193"/>
      <c r="E497" s="193"/>
      <c r="F497" s="180"/>
      <c r="G497" s="180"/>
      <c r="H497" s="180"/>
      <c r="I497" s="180"/>
      <c r="J497" s="180"/>
      <c r="K497" s="180"/>
      <c r="L497" s="180"/>
      <c r="M497" s="181"/>
      <c r="N497" s="163" t="str">
        <f t="shared" si="39"/>
        <v/>
      </c>
      <c r="O497" s="126" t="str">
        <f t="shared" si="40"/>
        <v>-</v>
      </c>
      <c r="P497" s="164"/>
      <c r="Q497" s="164"/>
      <c r="R497" s="164"/>
      <c r="S497" s="164"/>
      <c r="T497" s="164"/>
      <c r="U497" s="164"/>
      <c r="V497" s="164"/>
    </row>
    <row r="498" spans="1:25" ht="27" customHeight="1">
      <c r="A498" s="192" t="str">
        <f>IF(ISBLANK(C498)," ",493-COUNTBLANK($C$6:C498))</f>
        <v xml:space="preserve"> </v>
      </c>
      <c r="B498" s="178"/>
      <c r="C498" s="178"/>
      <c r="D498" s="193"/>
      <c r="E498" s="193"/>
      <c r="F498" s="180"/>
      <c r="G498" s="180"/>
      <c r="H498" s="180"/>
      <c r="I498" s="180"/>
      <c r="J498" s="180"/>
      <c r="K498" s="180"/>
      <c r="L498" s="180"/>
      <c r="M498" s="181"/>
      <c r="N498" s="163" t="str">
        <f t="shared" si="39"/>
        <v/>
      </c>
      <c r="O498" s="126" t="str">
        <f t="shared" si="40"/>
        <v>-</v>
      </c>
      <c r="P498" s="164"/>
      <c r="Q498" s="164"/>
      <c r="R498" s="164"/>
      <c r="S498" s="164"/>
      <c r="T498" s="164"/>
      <c r="U498" s="164"/>
      <c r="V498" s="164"/>
    </row>
    <row r="499" spans="1:25" ht="27" customHeight="1">
      <c r="A499" s="192" t="str">
        <f>IF(ISBLANK(C499)," ",494-COUNTBLANK($C$6:C499))</f>
        <v xml:space="preserve"> </v>
      </c>
      <c r="B499" s="178"/>
      <c r="C499" s="178"/>
      <c r="D499" s="193"/>
      <c r="E499" s="193"/>
      <c r="F499" s="180"/>
      <c r="G499" s="180"/>
      <c r="H499" s="180"/>
      <c r="I499" s="180"/>
      <c r="J499" s="180"/>
      <c r="K499" s="180"/>
      <c r="L499" s="180"/>
      <c r="M499" s="181"/>
      <c r="N499" s="163" t="str">
        <f t="shared" si="39"/>
        <v/>
      </c>
      <c r="O499" s="126" t="str">
        <f t="shared" si="40"/>
        <v>-</v>
      </c>
      <c r="P499" s="164"/>
      <c r="Q499" s="164"/>
      <c r="R499" s="164"/>
      <c r="S499" s="164"/>
      <c r="T499" s="164"/>
      <c r="U499" s="164"/>
      <c r="V499" s="164"/>
    </row>
    <row r="500" spans="1:25" ht="27" customHeight="1">
      <c r="A500" s="192" t="str">
        <f>IF(ISBLANK(C500)," ",495-COUNTBLANK($C$6:C500))</f>
        <v xml:space="preserve"> </v>
      </c>
      <c r="B500" s="178"/>
      <c r="C500" s="178"/>
      <c r="D500" s="193"/>
      <c r="E500" s="193"/>
      <c r="F500" s="180"/>
      <c r="G500" s="180"/>
      <c r="H500" s="180"/>
      <c r="I500" s="180"/>
      <c r="J500" s="180"/>
      <c r="K500" s="180"/>
      <c r="L500" s="180"/>
      <c r="M500" s="181"/>
      <c r="N500" s="163" t="str">
        <f t="shared" si="39"/>
        <v/>
      </c>
      <c r="O500" s="126" t="str">
        <f t="shared" si="40"/>
        <v>-</v>
      </c>
      <c r="P500" s="164"/>
      <c r="Q500" s="164"/>
      <c r="R500" s="164"/>
      <c r="S500" s="164"/>
      <c r="T500" s="164"/>
      <c r="U500" s="164"/>
      <c r="V500" s="164"/>
    </row>
    <row r="501" spans="1:25" ht="27" customHeight="1">
      <c r="A501" s="192" t="str">
        <f>IF(ISBLANK(C501)," ",496-COUNTBLANK($C$6:C501))</f>
        <v xml:space="preserve"> </v>
      </c>
      <c r="B501" s="178"/>
      <c r="C501" s="178"/>
      <c r="D501" s="193"/>
      <c r="E501" s="193"/>
      <c r="F501" s="180"/>
      <c r="G501" s="180"/>
      <c r="H501" s="180"/>
      <c r="I501" s="180"/>
      <c r="J501" s="180"/>
      <c r="K501" s="180"/>
      <c r="L501" s="180"/>
      <c r="M501" s="181"/>
      <c r="N501" s="163" t="str">
        <f t="shared" si="39"/>
        <v/>
      </c>
      <c r="O501" s="126" t="str">
        <f t="shared" si="40"/>
        <v>-</v>
      </c>
      <c r="P501" s="164"/>
      <c r="Q501" s="164"/>
      <c r="R501" s="164"/>
      <c r="S501" s="164"/>
      <c r="T501" s="164"/>
      <c r="U501" s="164"/>
      <c r="V501" s="164"/>
    </row>
    <row r="502" spans="1:25" ht="27" customHeight="1">
      <c r="A502" s="192" t="str">
        <f>IF(ISBLANK(C502)," ",497-COUNTBLANK($C$6:C502))</f>
        <v xml:space="preserve"> </v>
      </c>
      <c r="B502" s="178"/>
      <c r="C502" s="178"/>
      <c r="D502" s="193"/>
      <c r="E502" s="193"/>
      <c r="F502" s="180"/>
      <c r="G502" s="180"/>
      <c r="H502" s="180"/>
      <c r="I502" s="180"/>
      <c r="J502" s="180"/>
      <c r="K502" s="180"/>
      <c r="L502" s="180"/>
      <c r="M502" s="181"/>
      <c r="N502" s="163" t="str">
        <f t="shared" si="39"/>
        <v/>
      </c>
      <c r="O502" s="126" t="str">
        <f t="shared" si="40"/>
        <v>-</v>
      </c>
      <c r="P502" s="164"/>
      <c r="Q502" s="164"/>
      <c r="R502" s="164"/>
      <c r="S502" s="164"/>
      <c r="T502" s="164"/>
      <c r="U502" s="164"/>
      <c r="V502" s="164"/>
    </row>
    <row r="503" spans="1:25" ht="27" customHeight="1">
      <c r="A503" s="192" t="str">
        <f>IF(ISBLANK(C503)," ",498-COUNTBLANK($C$6:C503))</f>
        <v xml:space="preserve"> </v>
      </c>
      <c r="B503" s="178"/>
      <c r="C503" s="178"/>
      <c r="D503" s="193"/>
      <c r="E503" s="193"/>
      <c r="F503" s="180"/>
      <c r="G503" s="180"/>
      <c r="H503" s="180"/>
      <c r="I503" s="180"/>
      <c r="J503" s="180"/>
      <c r="K503" s="180"/>
      <c r="L503" s="180"/>
      <c r="M503" s="181"/>
      <c r="N503" s="163" t="str">
        <f t="shared" si="39"/>
        <v/>
      </c>
      <c r="O503" s="126" t="str">
        <f t="shared" si="40"/>
        <v>-</v>
      </c>
      <c r="P503" s="164"/>
      <c r="Q503" s="164"/>
      <c r="R503" s="164"/>
      <c r="S503" s="164"/>
      <c r="T503" s="164"/>
      <c r="U503" s="164"/>
      <c r="V503" s="164"/>
    </row>
    <row r="504" spans="1:25" ht="27" customHeight="1">
      <c r="A504" s="192" t="str">
        <f>IF(ISBLANK(C504)," ",499-COUNTBLANK($C$6:C504))</f>
        <v xml:space="preserve"> </v>
      </c>
      <c r="B504" s="178"/>
      <c r="C504" s="178"/>
      <c r="D504" s="193"/>
      <c r="E504" s="193"/>
      <c r="F504" s="180"/>
      <c r="G504" s="180"/>
      <c r="H504" s="180"/>
      <c r="I504" s="180"/>
      <c r="J504" s="180"/>
      <c r="K504" s="180"/>
      <c r="L504" s="180"/>
      <c r="M504" s="181"/>
      <c r="N504" s="163" t="str">
        <f t="shared" si="39"/>
        <v/>
      </c>
      <c r="O504" s="126" t="str">
        <f t="shared" si="40"/>
        <v>-</v>
      </c>
      <c r="P504" s="164"/>
      <c r="Q504" s="164"/>
      <c r="R504" s="164"/>
      <c r="S504" s="164"/>
      <c r="T504" s="164"/>
      <c r="U504" s="164"/>
      <c r="V504" s="165"/>
    </row>
    <row r="505" spans="1:25" ht="27" customHeight="1">
      <c r="A505" s="192" t="str">
        <f>IF(ISBLANK(C505)," ",500-COUNTBLANK($C$6:C505))</f>
        <v xml:space="preserve"> </v>
      </c>
      <c r="B505" s="178"/>
      <c r="C505" s="178"/>
      <c r="D505" s="193"/>
      <c r="E505" s="193"/>
      <c r="F505" s="180"/>
      <c r="G505" s="180"/>
      <c r="H505" s="180"/>
      <c r="I505" s="180"/>
      <c r="J505" s="180"/>
      <c r="K505" s="180"/>
      <c r="L505" s="180"/>
      <c r="M505" s="181"/>
      <c r="N505" s="163" t="str">
        <f t="shared" si="39"/>
        <v/>
      </c>
      <c r="O505" s="126" t="str">
        <f t="shared" si="40"/>
        <v>-</v>
      </c>
      <c r="P505" s="164"/>
      <c r="Q505" s="164"/>
      <c r="R505" s="164"/>
      <c r="S505" s="164"/>
      <c r="T505" s="164"/>
      <c r="U505" s="164"/>
      <c r="V505" s="165"/>
    </row>
    <row r="506" spans="1:25" ht="27" customHeight="1">
      <c r="A506" s="192" t="str">
        <f>IF(ISBLANK(C506)," ",501-COUNTBLANK($C$6:C506))</f>
        <v xml:space="preserve"> </v>
      </c>
      <c r="B506" s="178"/>
      <c r="C506" s="178"/>
      <c r="D506" s="193"/>
      <c r="E506" s="193"/>
      <c r="F506" s="180"/>
      <c r="G506" s="180"/>
      <c r="H506" s="180"/>
      <c r="I506" s="180"/>
      <c r="J506" s="180"/>
      <c r="K506" s="180"/>
      <c r="L506" s="180"/>
      <c r="M506" s="181"/>
      <c r="N506" s="163" t="str">
        <f t="shared" si="39"/>
        <v/>
      </c>
      <c r="O506" s="126" t="str">
        <f t="shared" si="40"/>
        <v>-</v>
      </c>
      <c r="P506" s="164"/>
      <c r="Q506" s="164"/>
      <c r="R506" s="164"/>
      <c r="S506" s="164"/>
      <c r="T506" s="164"/>
      <c r="U506" s="164"/>
      <c r="V506" s="165"/>
    </row>
    <row r="507" spans="1:25" ht="27" customHeight="1">
      <c r="A507" s="192" t="str">
        <f>IF(ISBLANK(C507)," ",502-COUNTBLANK($C$6:C507))</f>
        <v xml:space="preserve"> </v>
      </c>
      <c r="B507" s="178"/>
      <c r="C507" s="178"/>
      <c r="D507" s="193"/>
      <c r="E507" s="193"/>
      <c r="F507" s="180"/>
      <c r="G507" s="180"/>
      <c r="H507" s="180"/>
      <c r="I507" s="180"/>
      <c r="J507" s="180"/>
      <c r="K507" s="180"/>
      <c r="L507" s="180"/>
      <c r="M507" s="181"/>
      <c r="N507" s="163" t="str">
        <f t="shared" si="39"/>
        <v/>
      </c>
      <c r="O507" s="126" t="str">
        <f t="shared" si="40"/>
        <v>-</v>
      </c>
      <c r="P507" s="164"/>
      <c r="Q507" s="164"/>
      <c r="R507" s="164"/>
      <c r="S507" s="164"/>
      <c r="T507" s="164"/>
      <c r="U507" s="164"/>
      <c r="V507" s="165"/>
    </row>
    <row r="508" spans="1:25" ht="27" customHeight="1">
      <c r="A508" s="192" t="str">
        <f>IF(ISBLANK(C508)," ",503-COUNTBLANK($C$6:C508))</f>
        <v xml:space="preserve"> </v>
      </c>
      <c r="B508" s="178"/>
      <c r="C508" s="178"/>
      <c r="D508" s="193"/>
      <c r="E508" s="193"/>
      <c r="F508" s="180"/>
      <c r="G508" s="180"/>
      <c r="H508" s="180"/>
      <c r="I508" s="180"/>
      <c r="J508" s="180"/>
      <c r="K508" s="180"/>
      <c r="L508" s="180"/>
      <c r="M508" s="181"/>
      <c r="N508" s="163" t="str">
        <f t="shared" si="39"/>
        <v/>
      </c>
      <c r="O508" s="126" t="str">
        <f t="shared" si="40"/>
        <v>-</v>
      </c>
      <c r="P508" s="164"/>
      <c r="Q508" s="164"/>
      <c r="R508" s="164"/>
      <c r="S508" s="164"/>
      <c r="T508" s="164"/>
      <c r="U508" s="164"/>
      <c r="V508" s="166"/>
      <c r="W508" s="164"/>
      <c r="X508" s="164"/>
      <c r="Y508" s="164"/>
    </row>
    <row r="509" spans="1:25" ht="27" customHeight="1">
      <c r="A509" s="172" t="s">
        <v>44</v>
      </c>
      <c r="B509" s="173"/>
      <c r="C509" s="174"/>
      <c r="D509" s="194"/>
      <c r="E509" s="194">
        <f>SUM(E489:E508)</f>
        <v>0</v>
      </c>
      <c r="F509" s="176"/>
      <c r="G509" s="176"/>
      <c r="H509" s="176"/>
      <c r="I509" s="176"/>
      <c r="J509" s="176"/>
      <c r="K509" s="176"/>
      <c r="L509" s="176"/>
      <c r="M509" s="177"/>
      <c r="N509" s="163" t="str">
        <f t="shared" si="39"/>
        <v/>
      </c>
      <c r="O509" s="126"/>
      <c r="P509" s="164"/>
      <c r="Q509" s="164"/>
      <c r="R509" s="164"/>
      <c r="S509" s="164"/>
      <c r="T509" s="164"/>
      <c r="U509" s="164"/>
      <c r="V509" s="166"/>
      <c r="W509" s="164"/>
      <c r="X509" s="164"/>
      <c r="Y509" s="164"/>
    </row>
    <row r="510" spans="1:25" ht="27" customHeight="1">
      <c r="A510" s="187" t="str">
        <f>IF(ISBLANK(C510)," ",505-COUNTBLANK($C$6:C510))</f>
        <v xml:space="preserve"> </v>
      </c>
      <c r="B510" s="188"/>
      <c r="C510" s="188"/>
      <c r="D510" s="189"/>
      <c r="E510" s="189"/>
      <c r="F510" s="190"/>
      <c r="G510" s="190"/>
      <c r="H510" s="190"/>
      <c r="I510" s="190"/>
      <c r="J510" s="190"/>
      <c r="K510" s="190"/>
      <c r="L510" s="190"/>
      <c r="M510" s="191"/>
      <c r="N510" s="163" t="str">
        <f>CONCATENATE(C510,H510)</f>
        <v/>
      </c>
      <c r="O510" s="126" t="str">
        <f>IF(D510&gt;=E510,"-","ERR")</f>
        <v>-</v>
      </c>
      <c r="P510" s="164"/>
      <c r="Q510" s="164"/>
      <c r="R510" s="164"/>
      <c r="S510" s="164"/>
      <c r="T510" s="164"/>
      <c r="U510" s="164"/>
      <c r="V510" s="164"/>
    </row>
    <row r="511" spans="1:25" ht="27" customHeight="1">
      <c r="A511" s="192" t="str">
        <f>IF(ISBLANK(C511)," ",506-COUNTBLANK($C$6:C511))</f>
        <v xml:space="preserve"> </v>
      </c>
      <c r="B511" s="178"/>
      <c r="C511" s="178"/>
      <c r="D511" s="193"/>
      <c r="E511" s="193"/>
      <c r="F511" s="180"/>
      <c r="G511" s="180"/>
      <c r="H511" s="180"/>
      <c r="I511" s="180"/>
      <c r="J511" s="180"/>
      <c r="K511" s="180"/>
      <c r="L511" s="180"/>
      <c r="M511" s="181"/>
      <c r="N511" s="163" t="str">
        <f t="shared" ref="N511:N530" si="41">CONCATENATE(C511,H511)</f>
        <v/>
      </c>
      <c r="O511" s="126" t="str">
        <f t="shared" ref="O511:O529" si="42">IF(D511&gt;=E511,"-","ERR")</f>
        <v>-</v>
      </c>
      <c r="P511" s="164"/>
      <c r="Q511" s="164"/>
      <c r="R511" s="164"/>
      <c r="S511" s="164"/>
      <c r="T511" s="164"/>
      <c r="U511" s="164"/>
      <c r="V511" s="164"/>
    </row>
    <row r="512" spans="1:25" ht="27" customHeight="1">
      <c r="A512" s="192" t="str">
        <f>IF(ISBLANK(C512)," ",507-COUNTBLANK($C$6:C512))</f>
        <v xml:space="preserve"> </v>
      </c>
      <c r="B512" s="178"/>
      <c r="C512" s="178"/>
      <c r="D512" s="193"/>
      <c r="E512" s="193"/>
      <c r="F512" s="180"/>
      <c r="G512" s="180"/>
      <c r="H512" s="180"/>
      <c r="I512" s="180"/>
      <c r="J512" s="180"/>
      <c r="K512" s="180"/>
      <c r="L512" s="180"/>
      <c r="M512" s="181"/>
      <c r="N512" s="163" t="str">
        <f t="shared" si="41"/>
        <v/>
      </c>
      <c r="O512" s="126" t="str">
        <f t="shared" si="42"/>
        <v>-</v>
      </c>
      <c r="P512" s="164"/>
      <c r="Q512" s="164"/>
      <c r="R512" s="164"/>
      <c r="S512" s="164"/>
      <c r="T512" s="164"/>
      <c r="U512" s="164"/>
      <c r="V512" s="164"/>
    </row>
    <row r="513" spans="1:22" ht="27" customHeight="1">
      <c r="A513" s="192" t="str">
        <f>IF(ISBLANK(C513)," ",508-COUNTBLANK($C$6:C513))</f>
        <v xml:space="preserve"> </v>
      </c>
      <c r="B513" s="178"/>
      <c r="C513" s="178"/>
      <c r="D513" s="193"/>
      <c r="E513" s="193"/>
      <c r="F513" s="180"/>
      <c r="G513" s="180"/>
      <c r="H513" s="180"/>
      <c r="I513" s="180"/>
      <c r="J513" s="180"/>
      <c r="K513" s="180"/>
      <c r="L513" s="180"/>
      <c r="M513" s="181"/>
      <c r="N513" s="163" t="str">
        <f t="shared" si="41"/>
        <v/>
      </c>
      <c r="O513" s="126" t="str">
        <f t="shared" si="42"/>
        <v>-</v>
      </c>
      <c r="P513" s="164"/>
      <c r="Q513" s="164"/>
      <c r="R513" s="164"/>
      <c r="S513" s="164"/>
      <c r="T513" s="164"/>
      <c r="U513" s="164"/>
      <c r="V513" s="164"/>
    </row>
    <row r="514" spans="1:22" ht="27" customHeight="1">
      <c r="A514" s="192" t="str">
        <f>IF(ISBLANK(C514)," ",509-COUNTBLANK($C$6:C514))</f>
        <v xml:space="preserve"> </v>
      </c>
      <c r="B514" s="178"/>
      <c r="C514" s="178"/>
      <c r="D514" s="193"/>
      <c r="E514" s="193"/>
      <c r="F514" s="180"/>
      <c r="G514" s="180"/>
      <c r="H514" s="180"/>
      <c r="I514" s="180"/>
      <c r="J514" s="180"/>
      <c r="K514" s="180"/>
      <c r="L514" s="180"/>
      <c r="M514" s="181"/>
      <c r="N514" s="163" t="str">
        <f t="shared" si="41"/>
        <v/>
      </c>
      <c r="O514" s="126" t="str">
        <f t="shared" si="42"/>
        <v>-</v>
      </c>
      <c r="P514" s="164"/>
      <c r="Q514" s="164"/>
      <c r="R514" s="164"/>
      <c r="S514" s="164"/>
      <c r="T514" s="164"/>
      <c r="U514" s="164"/>
      <c r="V514" s="164"/>
    </row>
    <row r="515" spans="1:22" ht="27" customHeight="1">
      <c r="A515" s="192" t="str">
        <f>IF(ISBLANK(C515)," ",510-COUNTBLANK($C$6:C515))</f>
        <v xml:space="preserve"> </v>
      </c>
      <c r="B515" s="178"/>
      <c r="C515" s="178"/>
      <c r="D515" s="193"/>
      <c r="E515" s="193"/>
      <c r="F515" s="180"/>
      <c r="G515" s="180"/>
      <c r="H515" s="180"/>
      <c r="I515" s="180"/>
      <c r="J515" s="180"/>
      <c r="K515" s="180"/>
      <c r="L515" s="180"/>
      <c r="M515" s="181"/>
      <c r="N515" s="163" t="str">
        <f t="shared" si="41"/>
        <v/>
      </c>
      <c r="O515" s="126" t="str">
        <f t="shared" si="42"/>
        <v>-</v>
      </c>
      <c r="P515" s="164"/>
      <c r="Q515" s="164"/>
      <c r="R515" s="164"/>
      <c r="S515" s="164"/>
      <c r="T515" s="164"/>
      <c r="U515" s="164"/>
      <c r="V515" s="164"/>
    </row>
    <row r="516" spans="1:22" ht="27" customHeight="1">
      <c r="A516" s="192" t="str">
        <f>IF(ISBLANK(C516)," ",511-COUNTBLANK($C$6:C516))</f>
        <v xml:space="preserve"> </v>
      </c>
      <c r="B516" s="178"/>
      <c r="C516" s="178"/>
      <c r="D516" s="193"/>
      <c r="E516" s="193"/>
      <c r="F516" s="180"/>
      <c r="G516" s="180"/>
      <c r="H516" s="180"/>
      <c r="I516" s="180"/>
      <c r="J516" s="180"/>
      <c r="K516" s="180"/>
      <c r="L516" s="180"/>
      <c r="M516" s="181"/>
      <c r="N516" s="163" t="str">
        <f t="shared" si="41"/>
        <v/>
      </c>
      <c r="O516" s="126" t="str">
        <f t="shared" si="42"/>
        <v>-</v>
      </c>
      <c r="P516" s="164"/>
      <c r="Q516" s="164"/>
      <c r="R516" s="164"/>
      <c r="S516" s="164"/>
      <c r="T516" s="164"/>
      <c r="U516" s="164"/>
      <c r="V516" s="164"/>
    </row>
    <row r="517" spans="1:22" ht="27" customHeight="1">
      <c r="A517" s="192" t="str">
        <f>IF(ISBLANK(C517)," ",512-COUNTBLANK($C$6:C517))</f>
        <v xml:space="preserve"> </v>
      </c>
      <c r="B517" s="178"/>
      <c r="C517" s="178"/>
      <c r="D517" s="193"/>
      <c r="E517" s="193"/>
      <c r="F517" s="180"/>
      <c r="G517" s="180"/>
      <c r="H517" s="180"/>
      <c r="I517" s="180"/>
      <c r="J517" s="180"/>
      <c r="K517" s="180"/>
      <c r="L517" s="180"/>
      <c r="M517" s="181"/>
      <c r="N517" s="163" t="str">
        <f t="shared" si="41"/>
        <v/>
      </c>
      <c r="O517" s="126" t="str">
        <f t="shared" si="42"/>
        <v>-</v>
      </c>
      <c r="P517" s="164"/>
      <c r="Q517" s="164"/>
      <c r="R517" s="164"/>
      <c r="S517" s="164"/>
      <c r="T517" s="164"/>
      <c r="U517" s="164"/>
      <c r="V517" s="164"/>
    </row>
    <row r="518" spans="1:22" ht="27" customHeight="1">
      <c r="A518" s="192" t="str">
        <f>IF(ISBLANK(C518)," ",513-COUNTBLANK($C$6:C518))</f>
        <v xml:space="preserve"> </v>
      </c>
      <c r="B518" s="178"/>
      <c r="C518" s="178"/>
      <c r="D518" s="193"/>
      <c r="E518" s="193"/>
      <c r="F518" s="180"/>
      <c r="G518" s="180"/>
      <c r="H518" s="180"/>
      <c r="I518" s="180"/>
      <c r="J518" s="180"/>
      <c r="K518" s="180"/>
      <c r="L518" s="180"/>
      <c r="M518" s="181"/>
      <c r="N518" s="163" t="str">
        <f t="shared" si="41"/>
        <v/>
      </c>
      <c r="O518" s="126" t="str">
        <f t="shared" si="42"/>
        <v>-</v>
      </c>
      <c r="P518" s="164"/>
      <c r="Q518" s="164"/>
      <c r="R518" s="164"/>
      <c r="S518" s="164"/>
      <c r="T518" s="164"/>
      <c r="U518" s="164"/>
      <c r="V518" s="164"/>
    </row>
    <row r="519" spans="1:22" ht="27" customHeight="1">
      <c r="A519" s="192" t="str">
        <f>IF(ISBLANK(C519)," ",514-COUNTBLANK($C$6:C519))</f>
        <v xml:space="preserve"> </v>
      </c>
      <c r="B519" s="178"/>
      <c r="C519" s="178"/>
      <c r="D519" s="193"/>
      <c r="E519" s="193"/>
      <c r="F519" s="180"/>
      <c r="G519" s="180"/>
      <c r="H519" s="180"/>
      <c r="I519" s="180"/>
      <c r="J519" s="180"/>
      <c r="K519" s="180"/>
      <c r="L519" s="180"/>
      <c r="M519" s="181"/>
      <c r="N519" s="163" t="str">
        <f t="shared" si="41"/>
        <v/>
      </c>
      <c r="O519" s="126" t="str">
        <f t="shared" si="42"/>
        <v>-</v>
      </c>
      <c r="P519" s="164"/>
      <c r="Q519" s="164"/>
      <c r="R519" s="164"/>
      <c r="S519" s="164"/>
      <c r="T519" s="164"/>
      <c r="U519" s="164"/>
      <c r="V519" s="164"/>
    </row>
    <row r="520" spans="1:22" ht="27" customHeight="1">
      <c r="A520" s="192" t="str">
        <f>IF(ISBLANK(C520)," ",515-COUNTBLANK($C$6:C520))</f>
        <v xml:space="preserve"> </v>
      </c>
      <c r="B520" s="178"/>
      <c r="C520" s="178"/>
      <c r="D520" s="193"/>
      <c r="E520" s="193"/>
      <c r="F520" s="180"/>
      <c r="G520" s="180"/>
      <c r="H520" s="180"/>
      <c r="I520" s="180"/>
      <c r="J520" s="180"/>
      <c r="K520" s="180"/>
      <c r="L520" s="180"/>
      <c r="M520" s="181"/>
      <c r="N520" s="163" t="str">
        <f t="shared" si="41"/>
        <v/>
      </c>
      <c r="O520" s="126" t="str">
        <f t="shared" si="42"/>
        <v>-</v>
      </c>
      <c r="P520" s="164"/>
      <c r="Q520" s="164"/>
      <c r="R520" s="164"/>
      <c r="S520" s="164"/>
      <c r="T520" s="164"/>
      <c r="U520" s="164"/>
      <c r="V520" s="164"/>
    </row>
    <row r="521" spans="1:22" ht="27" customHeight="1">
      <c r="A521" s="192" t="str">
        <f>IF(ISBLANK(C521)," ",516-COUNTBLANK($C$6:C521))</f>
        <v xml:space="preserve"> </v>
      </c>
      <c r="B521" s="178"/>
      <c r="C521" s="178"/>
      <c r="D521" s="193"/>
      <c r="E521" s="193"/>
      <c r="F521" s="180"/>
      <c r="G521" s="180"/>
      <c r="H521" s="180"/>
      <c r="I521" s="180"/>
      <c r="J521" s="180"/>
      <c r="K521" s="180"/>
      <c r="L521" s="180"/>
      <c r="M521" s="181"/>
      <c r="N521" s="163" t="str">
        <f t="shared" si="41"/>
        <v/>
      </c>
      <c r="O521" s="126" t="str">
        <f t="shared" si="42"/>
        <v>-</v>
      </c>
      <c r="P521" s="164"/>
      <c r="Q521" s="164"/>
      <c r="R521" s="164"/>
      <c r="S521" s="164"/>
      <c r="T521" s="164"/>
      <c r="U521" s="164"/>
      <c r="V521" s="164"/>
    </row>
    <row r="522" spans="1:22" ht="27" customHeight="1">
      <c r="A522" s="192" t="str">
        <f>IF(ISBLANK(C522)," ",517-COUNTBLANK($C$6:C522))</f>
        <v xml:space="preserve"> </v>
      </c>
      <c r="B522" s="178"/>
      <c r="C522" s="178"/>
      <c r="D522" s="193"/>
      <c r="E522" s="193"/>
      <c r="F522" s="180"/>
      <c r="G522" s="180"/>
      <c r="H522" s="180"/>
      <c r="I522" s="180"/>
      <c r="J522" s="180"/>
      <c r="K522" s="180"/>
      <c r="L522" s="180"/>
      <c r="M522" s="181"/>
      <c r="N522" s="163" t="str">
        <f t="shared" si="41"/>
        <v/>
      </c>
      <c r="O522" s="126" t="str">
        <f t="shared" si="42"/>
        <v>-</v>
      </c>
      <c r="P522" s="164"/>
      <c r="Q522" s="164"/>
      <c r="R522" s="164"/>
      <c r="S522" s="164"/>
      <c r="T522" s="164"/>
      <c r="U522" s="164"/>
      <c r="V522" s="164"/>
    </row>
    <row r="523" spans="1:22" ht="27" customHeight="1">
      <c r="A523" s="192" t="str">
        <f>IF(ISBLANK(C523)," ",518-COUNTBLANK($C$6:C523))</f>
        <v xml:space="preserve"> </v>
      </c>
      <c r="B523" s="178"/>
      <c r="C523" s="178"/>
      <c r="D523" s="193"/>
      <c r="E523" s="193"/>
      <c r="F523" s="180"/>
      <c r="G523" s="180"/>
      <c r="H523" s="180"/>
      <c r="I523" s="180"/>
      <c r="J523" s="180"/>
      <c r="K523" s="180"/>
      <c r="L523" s="180"/>
      <c r="M523" s="181"/>
      <c r="N523" s="163" t="str">
        <f t="shared" si="41"/>
        <v/>
      </c>
      <c r="O523" s="126" t="str">
        <f t="shared" si="42"/>
        <v>-</v>
      </c>
      <c r="P523" s="164"/>
      <c r="Q523" s="164"/>
      <c r="R523" s="164"/>
      <c r="S523" s="164"/>
      <c r="T523" s="164"/>
      <c r="U523" s="164"/>
      <c r="V523" s="164"/>
    </row>
    <row r="524" spans="1:22" ht="27" customHeight="1">
      <c r="A524" s="192" t="str">
        <f>IF(ISBLANK(C524)," ",519-COUNTBLANK($C$6:C524))</f>
        <v xml:space="preserve"> </v>
      </c>
      <c r="B524" s="178"/>
      <c r="C524" s="178"/>
      <c r="D524" s="193"/>
      <c r="E524" s="193"/>
      <c r="F524" s="180"/>
      <c r="G524" s="180"/>
      <c r="H524" s="180"/>
      <c r="I524" s="180"/>
      <c r="J524" s="180"/>
      <c r="K524" s="180"/>
      <c r="L524" s="180"/>
      <c r="M524" s="181"/>
      <c r="N524" s="163" t="str">
        <f t="shared" si="41"/>
        <v/>
      </c>
      <c r="O524" s="126" t="str">
        <f t="shared" si="42"/>
        <v>-</v>
      </c>
      <c r="P524" s="164"/>
      <c r="Q524" s="164"/>
      <c r="R524" s="164"/>
      <c r="S524" s="164"/>
      <c r="T524" s="164"/>
      <c r="U524" s="164"/>
      <c r="V524" s="164"/>
    </row>
    <row r="525" spans="1:22" ht="27" customHeight="1">
      <c r="A525" s="192" t="str">
        <f>IF(ISBLANK(C525)," ",520-COUNTBLANK($C$6:C525))</f>
        <v xml:space="preserve"> </v>
      </c>
      <c r="B525" s="178"/>
      <c r="C525" s="178"/>
      <c r="D525" s="193"/>
      <c r="E525" s="193"/>
      <c r="F525" s="180"/>
      <c r="G525" s="180"/>
      <c r="H525" s="180"/>
      <c r="I525" s="180"/>
      <c r="J525" s="180"/>
      <c r="K525" s="180"/>
      <c r="L525" s="180"/>
      <c r="M525" s="181"/>
      <c r="N525" s="163" t="str">
        <f t="shared" si="41"/>
        <v/>
      </c>
      <c r="O525" s="126" t="str">
        <f t="shared" si="42"/>
        <v>-</v>
      </c>
      <c r="P525" s="164"/>
      <c r="Q525" s="164"/>
      <c r="R525" s="164"/>
      <c r="S525" s="164"/>
      <c r="T525" s="164"/>
      <c r="U525" s="164"/>
      <c r="V525" s="165"/>
    </row>
    <row r="526" spans="1:22" ht="27" customHeight="1">
      <c r="A526" s="192" t="str">
        <f>IF(ISBLANK(C526)," ",521-COUNTBLANK($C$6:C526))</f>
        <v xml:space="preserve"> </v>
      </c>
      <c r="B526" s="178"/>
      <c r="C526" s="178"/>
      <c r="D526" s="193"/>
      <c r="E526" s="193"/>
      <c r="F526" s="180"/>
      <c r="G526" s="180"/>
      <c r="H526" s="180"/>
      <c r="I526" s="180"/>
      <c r="J526" s="180"/>
      <c r="K526" s="180"/>
      <c r="L526" s="180"/>
      <c r="M526" s="181"/>
      <c r="N526" s="163" t="str">
        <f t="shared" si="41"/>
        <v/>
      </c>
      <c r="O526" s="126" t="str">
        <f t="shared" si="42"/>
        <v>-</v>
      </c>
      <c r="P526" s="164"/>
      <c r="Q526" s="164"/>
      <c r="R526" s="164"/>
      <c r="S526" s="164"/>
      <c r="T526" s="164"/>
      <c r="U526" s="164"/>
      <c r="V526" s="165"/>
    </row>
    <row r="527" spans="1:22" ht="27" customHeight="1">
      <c r="A527" s="192" t="str">
        <f>IF(ISBLANK(C527)," ",522-COUNTBLANK($C$6:C527))</f>
        <v xml:space="preserve"> </v>
      </c>
      <c r="B527" s="178"/>
      <c r="C527" s="178"/>
      <c r="D527" s="193"/>
      <c r="E527" s="193"/>
      <c r="F527" s="180"/>
      <c r="G527" s="180"/>
      <c r="H527" s="180"/>
      <c r="I527" s="180"/>
      <c r="J527" s="180"/>
      <c r="K527" s="180"/>
      <c r="L527" s="180"/>
      <c r="M527" s="181"/>
      <c r="N527" s="163" t="str">
        <f t="shared" si="41"/>
        <v/>
      </c>
      <c r="O527" s="126" t="str">
        <f t="shared" si="42"/>
        <v>-</v>
      </c>
      <c r="P527" s="164"/>
      <c r="Q527" s="164"/>
      <c r="R527" s="164"/>
      <c r="S527" s="164"/>
      <c r="T527" s="164"/>
      <c r="U527" s="164"/>
      <c r="V527" s="165"/>
    </row>
    <row r="528" spans="1:22" ht="27" customHeight="1">
      <c r="A528" s="192" t="str">
        <f>IF(ISBLANK(C528)," ",523-COUNTBLANK($C$6:C528))</f>
        <v xml:space="preserve"> </v>
      </c>
      <c r="B528" s="178"/>
      <c r="C528" s="178"/>
      <c r="D528" s="193"/>
      <c r="E528" s="193"/>
      <c r="F528" s="180"/>
      <c r="G528" s="180"/>
      <c r="H528" s="180"/>
      <c r="I528" s="180"/>
      <c r="J528" s="180"/>
      <c r="K528" s="180"/>
      <c r="L528" s="180"/>
      <c r="M528" s="181"/>
      <c r="N528" s="163" t="str">
        <f t="shared" si="41"/>
        <v/>
      </c>
      <c r="O528" s="126" t="str">
        <f t="shared" si="42"/>
        <v>-</v>
      </c>
      <c r="P528" s="164"/>
      <c r="Q528" s="164"/>
      <c r="R528" s="164"/>
      <c r="S528" s="164"/>
      <c r="T528" s="164"/>
      <c r="U528" s="164"/>
      <c r="V528" s="165"/>
    </row>
    <row r="529" spans="1:25" ht="27" customHeight="1">
      <c r="A529" s="192" t="str">
        <f>IF(ISBLANK(C529)," ",524-COUNTBLANK($C$6:C529))</f>
        <v xml:space="preserve"> </v>
      </c>
      <c r="B529" s="178"/>
      <c r="C529" s="178"/>
      <c r="D529" s="193"/>
      <c r="E529" s="193"/>
      <c r="F529" s="180"/>
      <c r="G529" s="180"/>
      <c r="H529" s="180"/>
      <c r="I529" s="180"/>
      <c r="J529" s="180"/>
      <c r="K529" s="180"/>
      <c r="L529" s="180"/>
      <c r="M529" s="181"/>
      <c r="N529" s="163" t="str">
        <f t="shared" si="41"/>
        <v/>
      </c>
      <c r="O529" s="126" t="str">
        <f t="shared" si="42"/>
        <v>-</v>
      </c>
      <c r="P529" s="164"/>
      <c r="Q529" s="164"/>
      <c r="R529" s="164"/>
      <c r="S529" s="164"/>
      <c r="T529" s="164"/>
      <c r="U529" s="164"/>
      <c r="V529" s="166"/>
      <c r="W529" s="164"/>
      <c r="X529" s="164"/>
      <c r="Y529" s="164"/>
    </row>
    <row r="530" spans="1:25" ht="27" customHeight="1">
      <c r="A530" s="172" t="s">
        <v>44</v>
      </c>
      <c r="B530" s="173"/>
      <c r="C530" s="174"/>
      <c r="D530" s="194"/>
      <c r="E530" s="194">
        <f>SUM(E510:E529)</f>
        <v>0</v>
      </c>
      <c r="F530" s="176"/>
      <c r="G530" s="176"/>
      <c r="H530" s="176"/>
      <c r="I530" s="176"/>
      <c r="J530" s="176"/>
      <c r="K530" s="176"/>
      <c r="L530" s="176"/>
      <c r="M530" s="177"/>
      <c r="N530" s="163" t="str">
        <f t="shared" si="41"/>
        <v/>
      </c>
      <c r="O530" s="126"/>
      <c r="P530" s="164"/>
      <c r="Q530" s="164"/>
      <c r="R530" s="164"/>
      <c r="S530" s="164"/>
      <c r="T530" s="164"/>
      <c r="U530" s="164"/>
      <c r="V530" s="166"/>
      <c r="W530" s="164"/>
      <c r="X530" s="164"/>
      <c r="Y530" s="164"/>
    </row>
    <row r="531" spans="1:25">
      <c r="O531" s="142"/>
      <c r="P531" s="197"/>
      <c r="Q531" s="197"/>
      <c r="R531" s="197"/>
      <c r="S531" s="197"/>
      <c r="T531" s="197"/>
      <c r="U531" s="197"/>
      <c r="V531" s="197"/>
    </row>
    <row r="532" spans="1:25">
      <c r="O532" s="142"/>
      <c r="P532" s="197"/>
      <c r="Q532" s="197"/>
      <c r="R532" s="197"/>
      <c r="S532" s="197"/>
      <c r="T532" s="197"/>
      <c r="U532" s="197"/>
      <c r="V532" s="197"/>
    </row>
  </sheetData>
  <autoFilter ref="A5:N5"/>
  <mergeCells count="4">
    <mergeCell ref="B4:B5"/>
    <mergeCell ref="C4:C5"/>
    <mergeCell ref="H4:I4"/>
    <mergeCell ref="M4:M5"/>
  </mergeCells>
  <phoneticPr fontId="7" type="noConversion"/>
  <printOptions horizontalCentered="1" verticalCentered="1"/>
  <pageMargins left="0.19685039370078741" right="0.19685039370078741" top="1.1811023622047245" bottom="0.59055118110236227" header="0.59055118110236227" footer="0.19685039370078741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16</vt:i4>
      </vt:variant>
    </vt:vector>
  </HeadingPairs>
  <TitlesOfParts>
    <vt:vector size="24" baseType="lpstr">
      <vt:lpstr>토지조서</vt:lpstr>
      <vt:lpstr>도문리(편입없음)</vt:lpstr>
      <vt:lpstr>5</vt:lpstr>
      <vt:lpstr>6</vt:lpstr>
      <vt:lpstr>7</vt:lpstr>
      <vt:lpstr>8</vt:lpstr>
      <vt:lpstr>9</vt:lpstr>
      <vt:lpstr>10</vt:lpstr>
      <vt:lpstr>'10'!Print_Area</vt:lpstr>
      <vt:lpstr>'5'!Print_Area</vt:lpstr>
      <vt:lpstr>'6'!Print_Area</vt:lpstr>
      <vt:lpstr>'7'!Print_Area</vt:lpstr>
      <vt:lpstr>'8'!Print_Area</vt:lpstr>
      <vt:lpstr>'9'!Print_Area</vt:lpstr>
      <vt:lpstr>'도문리(편입없음)'!Print_Area</vt:lpstr>
      <vt:lpstr>토지조서!Print_Area</vt:lpstr>
      <vt:lpstr>'10'!Print_Titles</vt:lpstr>
      <vt:lpstr>'5'!Print_Titles</vt:lpstr>
      <vt:lpstr>'6'!Print_Titles</vt:lpstr>
      <vt:lpstr>'7'!Print_Titles</vt:lpstr>
      <vt:lpstr>'8'!Print_Titles</vt:lpstr>
      <vt:lpstr>'9'!Print_Titles</vt:lpstr>
      <vt:lpstr>'도문리(편입없음)'!Print_Titles</vt:lpstr>
      <vt:lpstr>토지조서!Print_Titles</vt:lpstr>
    </vt:vector>
  </TitlesOfParts>
  <Manager>이중훈</Manager>
  <Company>청석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도로조서</dc:title>
  <dc:creator>이중훈</dc:creator>
  <cp:lastModifiedBy>user</cp:lastModifiedBy>
  <cp:lastPrinted>2016-03-12T08:36:57Z</cp:lastPrinted>
  <dcterms:created xsi:type="dcterms:W3CDTF">2002-09-08T05:27:19Z</dcterms:created>
  <dcterms:modified xsi:type="dcterms:W3CDTF">2016-04-06T05:35:08Z</dcterms:modified>
</cp:coreProperties>
</file>